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общее цикл меню" sheetId="1" r:id="rId1"/>
    <sheet name="завтраки" sheetId="2" r:id="rId2"/>
    <sheet name="обеды" sheetId="3" r:id="rId3"/>
    <sheet name="полдники" sheetId="4" r:id="rId4"/>
  </sheets>
  <definedNames>
    <definedName name="_xlnm.Print_Area" localSheetId="0">'общее цикл меню'!$A$1:$X$268</definedName>
  </definedNames>
  <calcPr calcId="124519"/>
</workbook>
</file>

<file path=xl/calcChain.xml><?xml version="1.0" encoding="utf-8"?>
<calcChain xmlns="http://schemas.openxmlformats.org/spreadsheetml/2006/main">
  <c r="Q52" i="1"/>
  <c r="P52"/>
  <c r="O52"/>
  <c r="N52"/>
  <c r="M52"/>
  <c r="H52"/>
  <c r="G52"/>
  <c r="D52"/>
  <c r="D101"/>
  <c r="D33" i="4"/>
  <c r="Q18"/>
  <c r="P18"/>
  <c r="O18"/>
  <c r="N18"/>
  <c r="M18"/>
  <c r="H18"/>
  <c r="G18"/>
  <c r="D18"/>
  <c r="H49" i="1" l="1"/>
  <c r="I49"/>
  <c r="J49"/>
  <c r="K49"/>
  <c r="L49"/>
  <c r="R49"/>
  <c r="S49"/>
  <c r="T49"/>
  <c r="B49"/>
  <c r="Q33" i="2" l="1"/>
  <c r="P33"/>
  <c r="O33"/>
  <c r="N33"/>
  <c r="M33"/>
  <c r="H33"/>
  <c r="G33"/>
  <c r="D33"/>
  <c r="Q62" i="1" l="1"/>
  <c r="P62"/>
  <c r="O62"/>
  <c r="N62"/>
  <c r="M62"/>
  <c r="H62"/>
  <c r="G62"/>
  <c r="D62"/>
  <c r="T83" i="4" l="1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T127" i="3"/>
  <c r="S127"/>
  <c r="R127"/>
  <c r="K127"/>
  <c r="J127"/>
  <c r="I127"/>
  <c r="B127"/>
  <c r="D121"/>
  <c r="C121"/>
  <c r="Q120"/>
  <c r="Q127" s="1"/>
  <c r="P120"/>
  <c r="P127" s="1"/>
  <c r="O120"/>
  <c r="O127" s="1"/>
  <c r="N120"/>
  <c r="N127" s="1"/>
  <c r="M120"/>
  <c r="M127" s="1"/>
  <c r="L120"/>
  <c r="L127" s="1"/>
  <c r="H120"/>
  <c r="H127" s="1"/>
  <c r="G120"/>
  <c r="G127" s="1"/>
  <c r="F120"/>
  <c r="F127" s="1"/>
  <c r="E120"/>
  <c r="E127" s="1"/>
  <c r="D120"/>
  <c r="D127" s="1"/>
  <c r="C120"/>
  <c r="C127" s="1"/>
  <c r="T107" i="2"/>
  <c r="S107"/>
  <c r="R107"/>
  <c r="Q107"/>
  <c r="P107"/>
  <c r="O107"/>
  <c r="N107"/>
  <c r="M107"/>
  <c r="L107"/>
  <c r="K107"/>
  <c r="J107"/>
  <c r="I107"/>
  <c r="H107"/>
  <c r="G107"/>
  <c r="D107"/>
  <c r="B107"/>
  <c r="F103"/>
  <c r="F107" s="1"/>
  <c r="E103"/>
  <c r="E107" s="1"/>
  <c r="C103"/>
  <c r="C107" s="1"/>
  <c r="T76" i="4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T114" i="3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T97" i="2"/>
  <c r="S97"/>
  <c r="R97"/>
  <c r="Q97"/>
  <c r="P97"/>
  <c r="O97"/>
  <c r="N97"/>
  <c r="M97"/>
  <c r="L97"/>
  <c r="K97"/>
  <c r="J97"/>
  <c r="I97"/>
  <c r="H97"/>
  <c r="G97"/>
  <c r="B97"/>
  <c r="F95"/>
  <c r="E95"/>
  <c r="D95"/>
  <c r="F94"/>
  <c r="E94"/>
  <c r="E97" s="1"/>
  <c r="D94"/>
  <c r="C94"/>
  <c r="C97" s="1"/>
  <c r="T68" i="4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T101" i="3"/>
  <c r="S101"/>
  <c r="R101"/>
  <c r="Q101"/>
  <c r="P101"/>
  <c r="O101"/>
  <c r="N101"/>
  <c r="M101"/>
  <c r="L101"/>
  <c r="K101"/>
  <c r="J101"/>
  <c r="I101"/>
  <c r="H101"/>
  <c r="G101"/>
  <c r="B101"/>
  <c r="F98"/>
  <c r="E98"/>
  <c r="D98"/>
  <c r="C98"/>
  <c r="F97"/>
  <c r="E97"/>
  <c r="D97"/>
  <c r="C97"/>
  <c r="C96"/>
  <c r="F95"/>
  <c r="E95"/>
  <c r="D95"/>
  <c r="C95"/>
  <c r="F94"/>
  <c r="E94"/>
  <c r="E101" s="1"/>
  <c r="D94"/>
  <c r="C94"/>
  <c r="C101" s="1"/>
  <c r="T87" i="2"/>
  <c r="S87"/>
  <c r="R87"/>
  <c r="Q87"/>
  <c r="P87"/>
  <c r="O87"/>
  <c r="N87"/>
  <c r="M87"/>
  <c r="L87"/>
  <c r="K87"/>
  <c r="J87"/>
  <c r="I87"/>
  <c r="H87"/>
  <c r="G87"/>
  <c r="B87"/>
  <c r="F84"/>
  <c r="F87" s="1"/>
  <c r="E84"/>
  <c r="E87" s="1"/>
  <c r="D84"/>
  <c r="D87" s="1"/>
  <c r="C84"/>
  <c r="C87" s="1"/>
  <c r="T60" i="4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T89" i="3"/>
  <c r="S89"/>
  <c r="R89"/>
  <c r="Q89"/>
  <c r="P89"/>
  <c r="O89"/>
  <c r="N89"/>
  <c r="M89"/>
  <c r="L89"/>
  <c r="K89"/>
  <c r="J89"/>
  <c r="I89"/>
  <c r="H89"/>
  <c r="G89"/>
  <c r="B89"/>
  <c r="F85"/>
  <c r="E85"/>
  <c r="C85"/>
  <c r="F84"/>
  <c r="E84"/>
  <c r="D84"/>
  <c r="C84"/>
  <c r="F83"/>
  <c r="E83"/>
  <c r="E89" s="1"/>
  <c r="D83"/>
  <c r="D89" s="1"/>
  <c r="C83"/>
  <c r="C89" s="1"/>
  <c r="T77" i="2"/>
  <c r="S77"/>
  <c r="R77"/>
  <c r="Q77"/>
  <c r="P77"/>
  <c r="O77"/>
  <c r="N77"/>
  <c r="M77"/>
  <c r="L77"/>
  <c r="K77"/>
  <c r="J77"/>
  <c r="I77"/>
  <c r="H77"/>
  <c r="G77"/>
  <c r="B77"/>
  <c r="F73"/>
  <c r="F77" s="1"/>
  <c r="E73"/>
  <c r="E77" s="1"/>
  <c r="D73"/>
  <c r="D77" s="1"/>
  <c r="C73"/>
  <c r="C77" s="1"/>
  <c r="T52" i="4"/>
  <c r="S52"/>
  <c r="R52"/>
  <c r="Q52"/>
  <c r="P52"/>
  <c r="O52"/>
  <c r="N52"/>
  <c r="M52"/>
  <c r="L52"/>
  <c r="K52"/>
  <c r="J52"/>
  <c r="I52"/>
  <c r="H52"/>
  <c r="G52"/>
  <c r="B52"/>
  <c r="F50"/>
  <c r="E50"/>
  <c r="D50"/>
  <c r="F49"/>
  <c r="E49"/>
  <c r="D49"/>
  <c r="C49"/>
  <c r="D48"/>
  <c r="C48"/>
  <c r="C52" s="1"/>
  <c r="T77" i="3"/>
  <c r="S77"/>
  <c r="R77"/>
  <c r="K77"/>
  <c r="J77"/>
  <c r="B77"/>
  <c r="Q72"/>
  <c r="P72"/>
  <c r="O72"/>
  <c r="N72"/>
  <c r="M72"/>
  <c r="L72"/>
  <c r="I72"/>
  <c r="I77" s="1"/>
  <c r="H72"/>
  <c r="G72"/>
  <c r="G77" s="1"/>
  <c r="F72"/>
  <c r="E72"/>
  <c r="E77" s="1"/>
  <c r="D72"/>
  <c r="C72"/>
  <c r="C77" s="1"/>
  <c r="Q71"/>
  <c r="P71"/>
  <c r="O71"/>
  <c r="N71"/>
  <c r="M71"/>
  <c r="L71"/>
  <c r="I71"/>
  <c r="H71"/>
  <c r="G71"/>
  <c r="F71"/>
  <c r="E71"/>
  <c r="D71"/>
  <c r="C71"/>
  <c r="Q70"/>
  <c r="Q77" s="1"/>
  <c r="P70"/>
  <c r="O70"/>
  <c r="O77" s="1"/>
  <c r="N70"/>
  <c r="M70"/>
  <c r="M77" s="1"/>
  <c r="L70"/>
  <c r="H70"/>
  <c r="H77" s="1"/>
  <c r="G70"/>
  <c r="F70"/>
  <c r="F77" s="1"/>
  <c r="E70"/>
  <c r="D70"/>
  <c r="D77" s="1"/>
  <c r="C70"/>
  <c r="T66" i="2"/>
  <c r="S66"/>
  <c r="R66"/>
  <c r="K66"/>
  <c r="J66"/>
  <c r="F66"/>
  <c r="E66"/>
  <c r="D66"/>
  <c r="B66"/>
  <c r="C63"/>
  <c r="C66" s="1"/>
  <c r="Q62"/>
  <c r="Q66" s="1"/>
  <c r="P62"/>
  <c r="P66" s="1"/>
  <c r="O62"/>
  <c r="O66" s="1"/>
  <c r="N62"/>
  <c r="N66" s="1"/>
  <c r="M62"/>
  <c r="M66" s="1"/>
  <c r="L62"/>
  <c r="L66" s="1"/>
  <c r="I62"/>
  <c r="I66" s="1"/>
  <c r="H62"/>
  <c r="H66" s="1"/>
  <c r="G62"/>
  <c r="G66" s="1"/>
  <c r="T43" i="4"/>
  <c r="S43"/>
  <c r="R43"/>
  <c r="L43"/>
  <c r="K43"/>
  <c r="J43"/>
  <c r="I43"/>
  <c r="F43"/>
  <c r="E43"/>
  <c r="C43"/>
  <c r="B43"/>
  <c r="Q43"/>
  <c r="P43"/>
  <c r="O43"/>
  <c r="N43"/>
  <c r="M43"/>
  <c r="H43"/>
  <c r="G43"/>
  <c r="D43"/>
  <c r="T64" i="3"/>
  <c r="S64"/>
  <c r="R64"/>
  <c r="K64"/>
  <c r="J64"/>
  <c r="F64"/>
  <c r="E64"/>
  <c r="D64"/>
  <c r="C64"/>
  <c r="B64"/>
  <c r="Q60"/>
  <c r="Q64" s="1"/>
  <c r="P60"/>
  <c r="O60"/>
  <c r="O64" s="1"/>
  <c r="N60"/>
  <c r="M60"/>
  <c r="M64" s="1"/>
  <c r="L60"/>
  <c r="I60"/>
  <c r="I64" s="1"/>
  <c r="H60"/>
  <c r="G60"/>
  <c r="Q57"/>
  <c r="P57"/>
  <c r="P64" s="1"/>
  <c r="O57"/>
  <c r="N57"/>
  <c r="N64" s="1"/>
  <c r="M57"/>
  <c r="L57"/>
  <c r="L64" s="1"/>
  <c r="H57"/>
  <c r="H64" s="1"/>
  <c r="G57"/>
  <c r="G64" s="1"/>
  <c r="T57" i="2"/>
  <c r="S57"/>
  <c r="R57"/>
  <c r="K57"/>
  <c r="J57"/>
  <c r="B57"/>
  <c r="Q54"/>
  <c r="P54"/>
  <c r="P57" s="1"/>
  <c r="O54"/>
  <c r="N54"/>
  <c r="N57" s="1"/>
  <c r="M54"/>
  <c r="L54"/>
  <c r="L57" s="1"/>
  <c r="I54"/>
  <c r="I57" s="1"/>
  <c r="H54"/>
  <c r="H57" s="1"/>
  <c r="G54"/>
  <c r="F54"/>
  <c r="F57" s="1"/>
  <c r="E54"/>
  <c r="D54"/>
  <c r="D57" s="1"/>
  <c r="C54"/>
  <c r="Q53"/>
  <c r="Q57" s="1"/>
  <c r="O53"/>
  <c r="O57" s="1"/>
  <c r="M53"/>
  <c r="M57" s="1"/>
  <c r="L53"/>
  <c r="G53"/>
  <c r="G57" s="1"/>
  <c r="F53"/>
  <c r="E53"/>
  <c r="E57" s="1"/>
  <c r="D53"/>
  <c r="C53"/>
  <c r="C57" s="1"/>
  <c r="T35" i="4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T52" i="3"/>
  <c r="S52"/>
  <c r="R52"/>
  <c r="Q52"/>
  <c r="P52"/>
  <c r="O52"/>
  <c r="N52"/>
  <c r="M52"/>
  <c r="L52"/>
  <c r="K52"/>
  <c r="J52"/>
  <c r="I52"/>
  <c r="H52"/>
  <c r="G52"/>
  <c r="B52"/>
  <c r="F47"/>
  <c r="F52" s="1"/>
  <c r="E47"/>
  <c r="E52" s="1"/>
  <c r="D47"/>
  <c r="D52" s="1"/>
  <c r="C47"/>
  <c r="C52" s="1"/>
  <c r="T46" i="2"/>
  <c r="S46"/>
  <c r="R46"/>
  <c r="K46"/>
  <c r="J46"/>
  <c r="E46"/>
  <c r="B46"/>
  <c r="D46"/>
  <c r="Q42"/>
  <c r="Q46" s="1"/>
  <c r="P42"/>
  <c r="P46" s="1"/>
  <c r="O42"/>
  <c r="O46" s="1"/>
  <c r="N42"/>
  <c r="N46" s="1"/>
  <c r="M42"/>
  <c r="M46" s="1"/>
  <c r="L42"/>
  <c r="L46" s="1"/>
  <c r="I42"/>
  <c r="I46" s="1"/>
  <c r="H42"/>
  <c r="H46" s="1"/>
  <c r="G42"/>
  <c r="G46" s="1"/>
  <c r="F42"/>
  <c r="F46" s="1"/>
  <c r="C41"/>
  <c r="C46" s="1"/>
  <c r="T28" i="4"/>
  <c r="S28"/>
  <c r="R28"/>
  <c r="Q28"/>
  <c r="P28"/>
  <c r="O28"/>
  <c r="N28"/>
  <c r="M28"/>
  <c r="L28"/>
  <c r="K28"/>
  <c r="J28"/>
  <c r="I28"/>
  <c r="H28"/>
  <c r="B28"/>
  <c r="G26"/>
  <c r="G28" s="1"/>
  <c r="F26"/>
  <c r="F28" s="1"/>
  <c r="E26"/>
  <c r="E28" s="1"/>
  <c r="D26"/>
  <c r="D28" s="1"/>
  <c r="C26"/>
  <c r="C28" s="1"/>
  <c r="T40" i="3"/>
  <c r="S40"/>
  <c r="R40"/>
  <c r="K40"/>
  <c r="J40"/>
  <c r="I40"/>
  <c r="B40"/>
  <c r="Q37"/>
  <c r="Q40" s="1"/>
  <c r="P37"/>
  <c r="O37"/>
  <c r="O40" s="1"/>
  <c r="N37"/>
  <c r="M37"/>
  <c r="M40" s="1"/>
  <c r="H37"/>
  <c r="G37"/>
  <c r="G40" s="1"/>
  <c r="F37"/>
  <c r="P36"/>
  <c r="O36"/>
  <c r="N36"/>
  <c r="M36"/>
  <c r="L36"/>
  <c r="F36"/>
  <c r="E36"/>
  <c r="E40" s="1"/>
  <c r="D36"/>
  <c r="C36"/>
  <c r="C40" s="1"/>
  <c r="Q35"/>
  <c r="P35"/>
  <c r="P40" s="1"/>
  <c r="O35"/>
  <c r="N35"/>
  <c r="N40" s="1"/>
  <c r="M35"/>
  <c r="L35"/>
  <c r="L40" s="1"/>
  <c r="I35"/>
  <c r="H35"/>
  <c r="H40" s="1"/>
  <c r="G35"/>
  <c r="F35"/>
  <c r="E35"/>
  <c r="D35"/>
  <c r="C35"/>
  <c r="F34"/>
  <c r="E34"/>
  <c r="D34"/>
  <c r="D40" s="1"/>
  <c r="C34"/>
  <c r="T36" i="2"/>
  <c r="S36"/>
  <c r="R36"/>
  <c r="K36"/>
  <c r="J36"/>
  <c r="I36"/>
  <c r="G36"/>
  <c r="C36"/>
  <c r="B36"/>
  <c r="Q31"/>
  <c r="Q36" s="1"/>
  <c r="P31"/>
  <c r="P36" s="1"/>
  <c r="O31"/>
  <c r="O36" s="1"/>
  <c r="N31"/>
  <c r="N36" s="1"/>
  <c r="M31"/>
  <c r="M36" s="1"/>
  <c r="L31"/>
  <c r="L36" s="1"/>
  <c r="H31"/>
  <c r="H36" s="1"/>
  <c r="G31"/>
  <c r="F31"/>
  <c r="F36" s="1"/>
  <c r="E31"/>
  <c r="E36" s="1"/>
  <c r="D31"/>
  <c r="D36" s="1"/>
  <c r="C31"/>
  <c r="T20" i="4"/>
  <c r="S20"/>
  <c r="R20"/>
  <c r="Q20"/>
  <c r="P20"/>
  <c r="O20"/>
  <c r="N20"/>
  <c r="M20"/>
  <c r="L20"/>
  <c r="K20"/>
  <c r="J20"/>
  <c r="I20"/>
  <c r="H20"/>
  <c r="G20"/>
  <c r="F20"/>
  <c r="E20"/>
  <c r="C20"/>
  <c r="B20"/>
  <c r="D20"/>
  <c r="T28" i="3"/>
  <c r="S28"/>
  <c r="R28"/>
  <c r="L28"/>
  <c r="K28"/>
  <c r="J28"/>
  <c r="I28"/>
  <c r="H28"/>
  <c r="G28"/>
  <c r="C28"/>
  <c r="B28"/>
  <c r="Q22"/>
  <c r="Q28" s="1"/>
  <c r="P22"/>
  <c r="P28" s="1"/>
  <c r="O22"/>
  <c r="O28" s="1"/>
  <c r="N22"/>
  <c r="N28" s="1"/>
  <c r="M22"/>
  <c r="M28" s="1"/>
  <c r="G22"/>
  <c r="F22"/>
  <c r="F28" s="1"/>
  <c r="E22"/>
  <c r="E28" s="1"/>
  <c r="D22"/>
  <c r="D28" s="1"/>
  <c r="C22"/>
  <c r="T26" i="2"/>
  <c r="S26"/>
  <c r="R26"/>
  <c r="K26"/>
  <c r="J26"/>
  <c r="H26"/>
  <c r="B26"/>
  <c r="Q22"/>
  <c r="Q26" s="1"/>
  <c r="P22"/>
  <c r="P26" s="1"/>
  <c r="O22"/>
  <c r="O26" s="1"/>
  <c r="N22"/>
  <c r="N26" s="1"/>
  <c r="M22"/>
  <c r="M26" s="1"/>
  <c r="L22"/>
  <c r="L26" s="1"/>
  <c r="I22"/>
  <c r="I26" s="1"/>
  <c r="G22"/>
  <c r="G26" s="1"/>
  <c r="F22"/>
  <c r="E22"/>
  <c r="D22"/>
  <c r="C22"/>
  <c r="F20"/>
  <c r="F26" s="1"/>
  <c r="E20"/>
  <c r="E26" s="1"/>
  <c r="D20"/>
  <c r="D26" s="1"/>
  <c r="C20"/>
  <c r="C26" s="1"/>
  <c r="T12" i="4"/>
  <c r="S12"/>
  <c r="R12"/>
  <c r="Q12"/>
  <c r="P12"/>
  <c r="O12"/>
  <c r="N12"/>
  <c r="M12"/>
  <c r="L12"/>
  <c r="K12"/>
  <c r="J12"/>
  <c r="I12"/>
  <c r="H12"/>
  <c r="G12"/>
  <c r="B12"/>
  <c r="F9"/>
  <c r="F12" s="1"/>
  <c r="E9"/>
  <c r="E12" s="1"/>
  <c r="D9"/>
  <c r="D12" s="1"/>
  <c r="C9"/>
  <c r="C12" s="1"/>
  <c r="U16" i="3"/>
  <c r="T16"/>
  <c r="S16"/>
  <c r="R16"/>
  <c r="K16"/>
  <c r="J16"/>
  <c r="I16"/>
  <c r="H16"/>
  <c r="B16"/>
  <c r="F13"/>
  <c r="E13"/>
  <c r="D13"/>
  <c r="C13"/>
  <c r="Q12"/>
  <c r="P12"/>
  <c r="O12"/>
  <c r="N12"/>
  <c r="M12"/>
  <c r="L12"/>
  <c r="G12"/>
  <c r="Q11"/>
  <c r="O11"/>
  <c r="M11"/>
  <c r="L11"/>
  <c r="G11"/>
  <c r="F11"/>
  <c r="E11"/>
  <c r="D11"/>
  <c r="C11"/>
  <c r="Q10"/>
  <c r="P10"/>
  <c r="P16" s="1"/>
  <c r="O10"/>
  <c r="O16" s="1"/>
  <c r="N10"/>
  <c r="N16" s="1"/>
  <c r="M10"/>
  <c r="L10"/>
  <c r="L16" s="1"/>
  <c r="G10"/>
  <c r="F10"/>
  <c r="F16" s="1"/>
  <c r="E10"/>
  <c r="D10"/>
  <c r="D16" s="1"/>
  <c r="C10"/>
  <c r="T14" i="2"/>
  <c r="S14"/>
  <c r="R14"/>
  <c r="M14"/>
  <c r="K14"/>
  <c r="J14"/>
  <c r="I14"/>
  <c r="C14"/>
  <c r="B14"/>
  <c r="G11"/>
  <c r="G14" s="1"/>
  <c r="F11"/>
  <c r="D11"/>
  <c r="C11"/>
  <c r="Q9"/>
  <c r="Q14" s="1"/>
  <c r="P9"/>
  <c r="P14" s="1"/>
  <c r="O9"/>
  <c r="O14" s="1"/>
  <c r="N9"/>
  <c r="N14" s="1"/>
  <c r="L9"/>
  <c r="L14" s="1"/>
  <c r="I9"/>
  <c r="H9"/>
  <c r="H14" s="1"/>
  <c r="G9"/>
  <c r="F9"/>
  <c r="F14" s="1"/>
  <c r="E9"/>
  <c r="E14" s="1"/>
  <c r="D9"/>
  <c r="D14" s="1"/>
  <c r="F152" i="1"/>
  <c r="E152"/>
  <c r="D152"/>
  <c r="E52" i="4" l="1"/>
  <c r="F40" i="3"/>
  <c r="C16"/>
  <c r="E16"/>
  <c r="G16"/>
  <c r="M16"/>
  <c r="Q16"/>
  <c r="L77"/>
  <c r="N77"/>
  <c r="P77"/>
  <c r="F89"/>
  <c r="D101"/>
  <c r="F101"/>
  <c r="D97" i="2"/>
  <c r="F97"/>
  <c r="D52" i="4"/>
  <c r="F52"/>
  <c r="F77" i="1"/>
  <c r="E77"/>
  <c r="D77"/>
  <c r="C77"/>
  <c r="F24" l="1"/>
  <c r="E24"/>
  <c r="D24"/>
  <c r="C24"/>
  <c r="D79" l="1"/>
  <c r="E79"/>
  <c r="F79"/>
  <c r="H79"/>
  <c r="I79"/>
  <c r="J79"/>
  <c r="K79"/>
  <c r="L79"/>
  <c r="M79"/>
  <c r="N79"/>
  <c r="O79"/>
  <c r="P79"/>
  <c r="Q79"/>
  <c r="R79"/>
  <c r="S79"/>
  <c r="T79"/>
  <c r="B79"/>
  <c r="C85"/>
  <c r="D246"/>
  <c r="C246"/>
  <c r="B112" i="2" l="1"/>
  <c r="E112"/>
  <c r="C112"/>
  <c r="F112"/>
  <c r="D112"/>
  <c r="F170" i="1"/>
  <c r="F196" l="1"/>
  <c r="E196"/>
  <c r="D196"/>
  <c r="C196"/>
  <c r="C70" l="1"/>
  <c r="F71"/>
  <c r="F70"/>
  <c r="E70"/>
  <c r="D70"/>
  <c r="T22" l="1"/>
  <c r="S22"/>
  <c r="R22"/>
  <c r="K22"/>
  <c r="J22"/>
  <c r="I22"/>
  <c r="H22"/>
  <c r="B22"/>
  <c r="F19"/>
  <c r="E19"/>
  <c r="D19"/>
  <c r="C19"/>
  <c r="Q18"/>
  <c r="P18"/>
  <c r="O18"/>
  <c r="N18"/>
  <c r="M18"/>
  <c r="L18"/>
  <c r="G18"/>
  <c r="Q17"/>
  <c r="O17"/>
  <c r="M17"/>
  <c r="L17"/>
  <c r="G17"/>
  <c r="F17"/>
  <c r="E17"/>
  <c r="D17"/>
  <c r="C17"/>
  <c r="Q16"/>
  <c r="P16"/>
  <c r="P22" s="1"/>
  <c r="O16"/>
  <c r="O22" s="1"/>
  <c r="N16"/>
  <c r="N22" s="1"/>
  <c r="M16"/>
  <c r="L16"/>
  <c r="G16"/>
  <c r="F16"/>
  <c r="E16"/>
  <c r="D16"/>
  <c r="C16"/>
  <c r="C113" i="2"/>
  <c r="D113"/>
  <c r="E113"/>
  <c r="F113"/>
  <c r="T39" i="1"/>
  <c r="S39"/>
  <c r="R39"/>
  <c r="K39"/>
  <c r="J39"/>
  <c r="H39"/>
  <c r="B39"/>
  <c r="Q35"/>
  <c r="Q39" s="1"/>
  <c r="P35"/>
  <c r="P39" s="1"/>
  <c r="O35"/>
  <c r="O39" s="1"/>
  <c r="N35"/>
  <c r="N39" s="1"/>
  <c r="M35"/>
  <c r="M39" s="1"/>
  <c r="L35"/>
  <c r="L39" s="1"/>
  <c r="I35"/>
  <c r="I39" s="1"/>
  <c r="G35"/>
  <c r="G39" s="1"/>
  <c r="F35"/>
  <c r="E35"/>
  <c r="D35"/>
  <c r="C35"/>
  <c r="F33"/>
  <c r="F39" s="1"/>
  <c r="E33"/>
  <c r="E39" s="1"/>
  <c r="D33"/>
  <c r="D39" s="1"/>
  <c r="C33"/>
  <c r="C39" s="1"/>
  <c r="F60"/>
  <c r="E60"/>
  <c r="D60"/>
  <c r="C22" l="1"/>
  <c r="E22"/>
  <c r="G22"/>
  <c r="M22"/>
  <c r="D22"/>
  <c r="Q22"/>
  <c r="F22"/>
  <c r="L22"/>
  <c r="F151" l="1"/>
  <c r="E151"/>
  <c r="D151"/>
  <c r="C151"/>
  <c r="B87" i="4" l="1"/>
  <c r="B88" s="1"/>
  <c r="F131" i="3"/>
  <c r="F132" s="1"/>
  <c r="D131"/>
  <c r="D132" s="1"/>
  <c r="B131"/>
  <c r="B132" s="1"/>
  <c r="E131"/>
  <c r="E132" s="1"/>
  <c r="E256" i="1"/>
  <c r="C256"/>
  <c r="D256"/>
  <c r="F256"/>
  <c r="G256"/>
  <c r="H256"/>
  <c r="I256"/>
  <c r="J256"/>
  <c r="K256"/>
  <c r="L256"/>
  <c r="M256"/>
  <c r="N256"/>
  <c r="O256"/>
  <c r="P256"/>
  <c r="Q256"/>
  <c r="R256"/>
  <c r="S256"/>
  <c r="T256"/>
  <c r="B256"/>
  <c r="I252"/>
  <c r="J252"/>
  <c r="K252"/>
  <c r="R252"/>
  <c r="S252"/>
  <c r="Q245"/>
  <c r="Q252" s="1"/>
  <c r="P245"/>
  <c r="P252" s="1"/>
  <c r="O245"/>
  <c r="O252" s="1"/>
  <c r="N245"/>
  <c r="N252" s="1"/>
  <c r="M245"/>
  <c r="M252" s="1"/>
  <c r="L245"/>
  <c r="L252" s="1"/>
  <c r="H245"/>
  <c r="H252" s="1"/>
  <c r="G245"/>
  <c r="G252" s="1"/>
  <c r="F245"/>
  <c r="E245"/>
  <c r="D245"/>
  <c r="C245"/>
  <c r="F252"/>
  <c r="E252"/>
  <c r="D252"/>
  <c r="C252"/>
  <c r="C230"/>
  <c r="D230"/>
  <c r="E230"/>
  <c r="F230"/>
  <c r="G230"/>
  <c r="H230"/>
  <c r="I230"/>
  <c r="J230"/>
  <c r="K230"/>
  <c r="L230"/>
  <c r="M230"/>
  <c r="N230"/>
  <c r="O230"/>
  <c r="P230"/>
  <c r="Q230"/>
  <c r="R230"/>
  <c r="S230"/>
  <c r="T230"/>
  <c r="B230"/>
  <c r="C205"/>
  <c r="D205"/>
  <c r="E205"/>
  <c r="F205"/>
  <c r="G205"/>
  <c r="H205"/>
  <c r="I205"/>
  <c r="J205"/>
  <c r="K205"/>
  <c r="L205"/>
  <c r="M205"/>
  <c r="N205"/>
  <c r="O205"/>
  <c r="P205"/>
  <c r="Q205"/>
  <c r="R205"/>
  <c r="S205"/>
  <c r="T205"/>
  <c r="B205"/>
  <c r="F197"/>
  <c r="E197"/>
  <c r="D197"/>
  <c r="C197"/>
  <c r="C195"/>
  <c r="F194"/>
  <c r="E194"/>
  <c r="D194"/>
  <c r="C194"/>
  <c r="F193"/>
  <c r="E193"/>
  <c r="D193"/>
  <c r="C193"/>
  <c r="F180"/>
  <c r="E180"/>
  <c r="C180"/>
  <c r="D180"/>
  <c r="G180"/>
  <c r="H180"/>
  <c r="I180"/>
  <c r="J180"/>
  <c r="K180"/>
  <c r="L180"/>
  <c r="M180"/>
  <c r="N180"/>
  <c r="O180"/>
  <c r="P180"/>
  <c r="Q180"/>
  <c r="R180"/>
  <c r="S180"/>
  <c r="T180"/>
  <c r="B180"/>
  <c r="E170"/>
  <c r="C170"/>
  <c r="F171"/>
  <c r="E171"/>
  <c r="C171"/>
  <c r="D170"/>
  <c r="F169"/>
  <c r="E169"/>
  <c r="D169"/>
  <c r="C169"/>
  <c r="G154"/>
  <c r="H154"/>
  <c r="I154"/>
  <c r="J154"/>
  <c r="K154"/>
  <c r="L154"/>
  <c r="M154"/>
  <c r="N154"/>
  <c r="O154"/>
  <c r="P154"/>
  <c r="Q154"/>
  <c r="R154"/>
  <c r="S154"/>
  <c r="T154"/>
  <c r="D150"/>
  <c r="C150"/>
  <c r="F154"/>
  <c r="B154"/>
  <c r="E143"/>
  <c r="D143"/>
  <c r="Q143"/>
  <c r="P143"/>
  <c r="O143"/>
  <c r="N143"/>
  <c r="M143"/>
  <c r="L143"/>
  <c r="I143"/>
  <c r="H143"/>
  <c r="G143"/>
  <c r="F143"/>
  <c r="C143"/>
  <c r="Q142"/>
  <c r="P142"/>
  <c r="O142"/>
  <c r="N142"/>
  <c r="M142"/>
  <c r="L142"/>
  <c r="I142"/>
  <c r="H142"/>
  <c r="G142"/>
  <c r="F142"/>
  <c r="E142"/>
  <c r="D142"/>
  <c r="C142"/>
  <c r="Q141"/>
  <c r="P141"/>
  <c r="O141"/>
  <c r="N141"/>
  <c r="M141"/>
  <c r="L141"/>
  <c r="H141"/>
  <c r="G141"/>
  <c r="F141"/>
  <c r="E141"/>
  <c r="D141"/>
  <c r="C141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B128"/>
  <c r="Q119"/>
  <c r="P119"/>
  <c r="O119"/>
  <c r="N119"/>
  <c r="M119"/>
  <c r="L119"/>
  <c r="I119"/>
  <c r="H119"/>
  <c r="G119"/>
  <c r="Q116"/>
  <c r="P116"/>
  <c r="O116"/>
  <c r="N116"/>
  <c r="M116"/>
  <c r="L116"/>
  <c r="H116"/>
  <c r="G116"/>
  <c r="I103"/>
  <c r="J103"/>
  <c r="K103"/>
  <c r="L103"/>
  <c r="R103"/>
  <c r="S103"/>
  <c r="T103"/>
  <c r="B103"/>
  <c r="Q103"/>
  <c r="P103"/>
  <c r="O103"/>
  <c r="N103"/>
  <c r="M103"/>
  <c r="H103"/>
  <c r="G103"/>
  <c r="F103"/>
  <c r="E103"/>
  <c r="D103"/>
  <c r="C103"/>
  <c r="F94"/>
  <c r="F99" s="1"/>
  <c r="D94"/>
  <c r="D99" s="1"/>
  <c r="E94"/>
  <c r="C94"/>
  <c r="C99" s="1"/>
  <c r="E99"/>
  <c r="G99"/>
  <c r="H99"/>
  <c r="I99"/>
  <c r="J99"/>
  <c r="K99"/>
  <c r="L99"/>
  <c r="M99"/>
  <c r="N99"/>
  <c r="O99"/>
  <c r="P99"/>
  <c r="Q99"/>
  <c r="R99"/>
  <c r="S99"/>
  <c r="T99"/>
  <c r="G77"/>
  <c r="G79" s="1"/>
  <c r="C79"/>
  <c r="E69"/>
  <c r="J74"/>
  <c r="K74"/>
  <c r="R74"/>
  <c r="S74"/>
  <c r="T74"/>
  <c r="H71"/>
  <c r="Q71"/>
  <c r="P71"/>
  <c r="O71"/>
  <c r="N71"/>
  <c r="M71"/>
  <c r="G71"/>
  <c r="P70"/>
  <c r="O70"/>
  <c r="N70"/>
  <c r="M70"/>
  <c r="L70"/>
  <c r="Q69"/>
  <c r="P69"/>
  <c r="O69"/>
  <c r="N69"/>
  <c r="M69"/>
  <c r="L69"/>
  <c r="L74" s="1"/>
  <c r="I69"/>
  <c r="I74" s="1"/>
  <c r="H69"/>
  <c r="G69"/>
  <c r="F69"/>
  <c r="D69"/>
  <c r="C69"/>
  <c r="F68"/>
  <c r="E68"/>
  <c r="D68"/>
  <c r="C68"/>
  <c r="E54"/>
  <c r="C54"/>
  <c r="D54"/>
  <c r="F54"/>
  <c r="G54"/>
  <c r="H54"/>
  <c r="I54"/>
  <c r="J54"/>
  <c r="K54"/>
  <c r="L54"/>
  <c r="M54"/>
  <c r="N54"/>
  <c r="O54"/>
  <c r="P54"/>
  <c r="Q54"/>
  <c r="R54"/>
  <c r="S54"/>
  <c r="T54"/>
  <c r="B54"/>
  <c r="Q42"/>
  <c r="Q49" s="1"/>
  <c r="P42"/>
  <c r="P49" s="1"/>
  <c r="O42"/>
  <c r="O49" s="1"/>
  <c r="N42"/>
  <c r="N49" s="1"/>
  <c r="M42"/>
  <c r="M49" s="1"/>
  <c r="G42"/>
  <c r="G49" s="1"/>
  <c r="F42"/>
  <c r="F49" s="1"/>
  <c r="E42"/>
  <c r="E49" s="1"/>
  <c r="D42"/>
  <c r="D49" s="1"/>
  <c r="C42"/>
  <c r="C49" s="1"/>
  <c r="P74" l="1"/>
  <c r="M74"/>
  <c r="O74"/>
  <c r="Q74"/>
  <c r="C131" i="3"/>
  <c r="C132" s="1"/>
  <c r="C87" i="4"/>
  <c r="C88" s="1"/>
  <c r="D87"/>
  <c r="D88" s="1"/>
  <c r="F87"/>
  <c r="F88" s="1"/>
  <c r="E87"/>
  <c r="E88" s="1"/>
  <c r="N74" i="1"/>
  <c r="D74"/>
  <c r="G74"/>
  <c r="C74"/>
  <c r="H74"/>
  <c r="C154"/>
  <c r="E154"/>
  <c r="D154"/>
  <c r="F74"/>
  <c r="E74"/>
  <c r="T252" l="1"/>
  <c r="B252"/>
  <c r="C225"/>
  <c r="D225"/>
  <c r="E225"/>
  <c r="F225"/>
  <c r="G225"/>
  <c r="H225"/>
  <c r="I225"/>
  <c r="J225"/>
  <c r="K225"/>
  <c r="L225"/>
  <c r="M225"/>
  <c r="N225"/>
  <c r="O225"/>
  <c r="P225"/>
  <c r="Q225"/>
  <c r="R225"/>
  <c r="S225"/>
  <c r="T225"/>
  <c r="B225"/>
  <c r="C200"/>
  <c r="D200"/>
  <c r="E200"/>
  <c r="F200"/>
  <c r="G200"/>
  <c r="H200"/>
  <c r="I200"/>
  <c r="J200"/>
  <c r="K200"/>
  <c r="L200"/>
  <c r="M200"/>
  <c r="N200"/>
  <c r="O200"/>
  <c r="P200"/>
  <c r="Q200"/>
  <c r="R200"/>
  <c r="S200"/>
  <c r="T200"/>
  <c r="B200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B175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B148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B123"/>
  <c r="B99"/>
  <c r="B74"/>
  <c r="C213"/>
  <c r="D213"/>
  <c r="E213"/>
  <c r="F213"/>
  <c r="D214"/>
  <c r="E214"/>
  <c r="F214"/>
  <c r="B216"/>
  <c r="G216"/>
  <c r="H216"/>
  <c r="I216"/>
  <c r="J216"/>
  <c r="K216"/>
  <c r="L216"/>
  <c r="M216"/>
  <c r="N216"/>
  <c r="O216"/>
  <c r="P216"/>
  <c r="Q216"/>
  <c r="R216"/>
  <c r="S216"/>
  <c r="T216"/>
  <c r="G242"/>
  <c r="G257" s="1"/>
  <c r="H242"/>
  <c r="H257" s="1"/>
  <c r="I242"/>
  <c r="I257" s="1"/>
  <c r="J242"/>
  <c r="J257" s="1"/>
  <c r="K242"/>
  <c r="K257" s="1"/>
  <c r="L242"/>
  <c r="L257" s="1"/>
  <c r="M242"/>
  <c r="M257" s="1"/>
  <c r="N242"/>
  <c r="N257" s="1"/>
  <c r="O242"/>
  <c r="O257" s="1"/>
  <c r="P242"/>
  <c r="P257" s="1"/>
  <c r="Q242"/>
  <c r="Q257" s="1"/>
  <c r="R242"/>
  <c r="R257" s="1"/>
  <c r="S242"/>
  <c r="S257" s="1"/>
  <c r="T242"/>
  <c r="B242"/>
  <c r="F238"/>
  <c r="F242" s="1"/>
  <c r="F257" s="1"/>
  <c r="E238"/>
  <c r="E242" s="1"/>
  <c r="E257" s="1"/>
  <c r="D242"/>
  <c r="D257" s="1"/>
  <c r="C238"/>
  <c r="C242" s="1"/>
  <c r="C257" s="1"/>
  <c r="F188"/>
  <c r="F191" s="1"/>
  <c r="E188"/>
  <c r="E191" s="1"/>
  <c r="D188"/>
  <c r="C188"/>
  <c r="C191" s="1"/>
  <c r="D191"/>
  <c r="G191"/>
  <c r="H191"/>
  <c r="I191"/>
  <c r="J191"/>
  <c r="K191"/>
  <c r="L191"/>
  <c r="M191"/>
  <c r="N191"/>
  <c r="O191"/>
  <c r="P191"/>
  <c r="Q191"/>
  <c r="R191"/>
  <c r="S191"/>
  <c r="T191"/>
  <c r="B191"/>
  <c r="E162"/>
  <c r="D162"/>
  <c r="D166" s="1"/>
  <c r="C162"/>
  <c r="C166" s="1"/>
  <c r="F162"/>
  <c r="E166"/>
  <c r="F166"/>
  <c r="G166"/>
  <c r="H166"/>
  <c r="I166"/>
  <c r="J166"/>
  <c r="K166"/>
  <c r="L166"/>
  <c r="M166"/>
  <c r="N166"/>
  <c r="O166"/>
  <c r="P166"/>
  <c r="Q166"/>
  <c r="R166"/>
  <c r="S166"/>
  <c r="T166"/>
  <c r="B166"/>
  <c r="C135"/>
  <c r="Q134"/>
  <c r="Q138" s="1"/>
  <c r="P134"/>
  <c r="P138" s="1"/>
  <c r="O134"/>
  <c r="O138" s="1"/>
  <c r="M134"/>
  <c r="M138" s="1"/>
  <c r="I134"/>
  <c r="L134"/>
  <c r="L138" s="1"/>
  <c r="H134"/>
  <c r="H138" s="1"/>
  <c r="G134"/>
  <c r="G138" s="1"/>
  <c r="N134"/>
  <c r="N138" s="1"/>
  <c r="T138"/>
  <c r="I138"/>
  <c r="J138"/>
  <c r="K138"/>
  <c r="R138"/>
  <c r="S138"/>
  <c r="B138"/>
  <c r="Q111"/>
  <c r="P111"/>
  <c r="P114" s="1"/>
  <c r="O111"/>
  <c r="N111"/>
  <c r="N114" s="1"/>
  <c r="M111"/>
  <c r="L111"/>
  <c r="I111"/>
  <c r="I114" s="1"/>
  <c r="H111"/>
  <c r="H114" s="1"/>
  <c r="G111"/>
  <c r="F111"/>
  <c r="E111"/>
  <c r="D111"/>
  <c r="C111"/>
  <c r="Q110"/>
  <c r="O110"/>
  <c r="O114" s="1"/>
  <c r="M110"/>
  <c r="L110"/>
  <c r="G110"/>
  <c r="F110"/>
  <c r="E110"/>
  <c r="D110"/>
  <c r="C110"/>
  <c r="J114"/>
  <c r="K114"/>
  <c r="R114"/>
  <c r="S114"/>
  <c r="T114"/>
  <c r="B114"/>
  <c r="Q86"/>
  <c r="Q90" s="1"/>
  <c r="Q104" s="1"/>
  <c r="P86"/>
  <c r="P90" s="1"/>
  <c r="P104" s="1"/>
  <c r="O86"/>
  <c r="O90" s="1"/>
  <c r="O104" s="1"/>
  <c r="N86"/>
  <c r="N90" s="1"/>
  <c r="N104" s="1"/>
  <c r="M86"/>
  <c r="M90" s="1"/>
  <c r="M104" s="1"/>
  <c r="L86"/>
  <c r="L90" s="1"/>
  <c r="L104" s="1"/>
  <c r="I86"/>
  <c r="I90" s="1"/>
  <c r="I104" s="1"/>
  <c r="H86"/>
  <c r="H90" s="1"/>
  <c r="H104" s="1"/>
  <c r="G86"/>
  <c r="G90" s="1"/>
  <c r="G104" s="1"/>
  <c r="F86"/>
  <c r="F90" s="1"/>
  <c r="F104" s="1"/>
  <c r="E90"/>
  <c r="E104" s="1"/>
  <c r="D90"/>
  <c r="D104" s="1"/>
  <c r="C90"/>
  <c r="C104" s="1"/>
  <c r="J90"/>
  <c r="J104" s="1"/>
  <c r="K90"/>
  <c r="K104" s="1"/>
  <c r="R90"/>
  <c r="R104" s="1"/>
  <c r="S90"/>
  <c r="S104" s="1"/>
  <c r="T90"/>
  <c r="T104" s="1"/>
  <c r="B90"/>
  <c r="Q60"/>
  <c r="P60"/>
  <c r="P65" s="1"/>
  <c r="P80" s="1"/>
  <c r="O60"/>
  <c r="O65" s="1"/>
  <c r="O80" s="1"/>
  <c r="N60"/>
  <c r="N65" s="1"/>
  <c r="N80" s="1"/>
  <c r="M60"/>
  <c r="M65" s="1"/>
  <c r="M80" s="1"/>
  <c r="L60"/>
  <c r="L65" s="1"/>
  <c r="L80" s="1"/>
  <c r="H60"/>
  <c r="H65" s="1"/>
  <c r="H80" s="1"/>
  <c r="G60"/>
  <c r="F65"/>
  <c r="F80" s="1"/>
  <c r="C60"/>
  <c r="D65"/>
  <c r="D80" s="1"/>
  <c r="I65"/>
  <c r="I80" s="1"/>
  <c r="J65"/>
  <c r="J80" s="1"/>
  <c r="K65"/>
  <c r="K80" s="1"/>
  <c r="Q65"/>
  <c r="Q80" s="1"/>
  <c r="R65"/>
  <c r="R80" s="1"/>
  <c r="S65"/>
  <c r="S80" s="1"/>
  <c r="T65"/>
  <c r="T80" s="1"/>
  <c r="B65"/>
  <c r="F10"/>
  <c r="D10"/>
  <c r="C10"/>
  <c r="C13" s="1"/>
  <c r="G10"/>
  <c r="I8"/>
  <c r="I13" s="1"/>
  <c r="H8"/>
  <c r="H13" s="1"/>
  <c r="G8"/>
  <c r="F8"/>
  <c r="E8"/>
  <c r="E13" s="1"/>
  <c r="D8"/>
  <c r="D13" s="1"/>
  <c r="Q8"/>
  <c r="Q13" s="1"/>
  <c r="P8"/>
  <c r="P13" s="1"/>
  <c r="O8"/>
  <c r="O13" s="1"/>
  <c r="N8"/>
  <c r="N13" s="1"/>
  <c r="L8"/>
  <c r="L13" s="1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B27"/>
  <c r="E268" s="1"/>
  <c r="J13"/>
  <c r="K13"/>
  <c r="M13"/>
  <c r="R13"/>
  <c r="S13"/>
  <c r="T13"/>
  <c r="B13"/>
  <c r="D216" l="1"/>
  <c r="D231" s="1"/>
  <c r="F13"/>
  <c r="F28" s="1"/>
  <c r="D268"/>
  <c r="C268"/>
  <c r="T231"/>
  <c r="R231"/>
  <c r="P231"/>
  <c r="N231"/>
  <c r="L231"/>
  <c r="J231"/>
  <c r="H231"/>
  <c r="T206"/>
  <c r="R206"/>
  <c r="P206"/>
  <c r="N206"/>
  <c r="L206"/>
  <c r="J206"/>
  <c r="H206"/>
  <c r="F206"/>
  <c r="D206"/>
  <c r="S231"/>
  <c r="Q231"/>
  <c r="O231"/>
  <c r="M231"/>
  <c r="K231"/>
  <c r="I231"/>
  <c r="G231"/>
  <c r="T257"/>
  <c r="S206"/>
  <c r="Q206"/>
  <c r="O206"/>
  <c r="M206"/>
  <c r="K206"/>
  <c r="I206"/>
  <c r="G206"/>
  <c r="E206"/>
  <c r="C206"/>
  <c r="S155"/>
  <c r="Q155"/>
  <c r="O155"/>
  <c r="M155"/>
  <c r="K155"/>
  <c r="I155"/>
  <c r="G155"/>
  <c r="T181"/>
  <c r="R181"/>
  <c r="P181"/>
  <c r="N181"/>
  <c r="L181"/>
  <c r="J181"/>
  <c r="H181"/>
  <c r="F181"/>
  <c r="D181"/>
  <c r="O129"/>
  <c r="I129"/>
  <c r="T155"/>
  <c r="R155"/>
  <c r="P155"/>
  <c r="N155"/>
  <c r="L155"/>
  <c r="J155"/>
  <c r="H155"/>
  <c r="S181"/>
  <c r="Q181"/>
  <c r="O181"/>
  <c r="M181"/>
  <c r="K181"/>
  <c r="I181"/>
  <c r="G181"/>
  <c r="E181"/>
  <c r="C181"/>
  <c r="S129"/>
  <c r="K129"/>
  <c r="T129"/>
  <c r="R129"/>
  <c r="P129"/>
  <c r="N129"/>
  <c r="J129"/>
  <c r="H129"/>
  <c r="F216"/>
  <c r="F231" s="1"/>
  <c r="T55"/>
  <c r="R55"/>
  <c r="P55"/>
  <c r="N55"/>
  <c r="L55"/>
  <c r="J55"/>
  <c r="H55"/>
  <c r="F55"/>
  <c r="D55"/>
  <c r="S55"/>
  <c r="Q55"/>
  <c r="O55"/>
  <c r="M55"/>
  <c r="K55"/>
  <c r="I55"/>
  <c r="G55"/>
  <c r="E55"/>
  <c r="E216"/>
  <c r="E231" s="1"/>
  <c r="C216"/>
  <c r="C231" s="1"/>
  <c r="C138"/>
  <c r="C155" s="1"/>
  <c r="E138"/>
  <c r="E155" s="1"/>
  <c r="B113" i="2"/>
  <c r="F114" i="1"/>
  <c r="F129" s="1"/>
  <c r="H28"/>
  <c r="C114"/>
  <c r="C129" s="1"/>
  <c r="E114"/>
  <c r="E129" s="1"/>
  <c r="G114"/>
  <c r="G129" s="1"/>
  <c r="M114"/>
  <c r="M129" s="1"/>
  <c r="Q114"/>
  <c r="Q129" s="1"/>
  <c r="D114"/>
  <c r="D129" s="1"/>
  <c r="L114"/>
  <c r="L129" s="1"/>
  <c r="D138"/>
  <c r="D155" s="1"/>
  <c r="F138"/>
  <c r="F155" s="1"/>
  <c r="P28"/>
  <c r="D28"/>
  <c r="N28"/>
  <c r="C65"/>
  <c r="C80" s="1"/>
  <c r="E65"/>
  <c r="E80" s="1"/>
  <c r="G65"/>
  <c r="G80" s="1"/>
  <c r="T28"/>
  <c r="R28"/>
  <c r="L28"/>
  <c r="J28"/>
  <c r="O28"/>
  <c r="Q28"/>
  <c r="E28"/>
  <c r="G13"/>
  <c r="G28" s="1"/>
  <c r="I28"/>
  <c r="C28"/>
  <c r="C55"/>
  <c r="S28"/>
  <c r="M28"/>
  <c r="K28"/>
  <c r="F263" l="1"/>
  <c r="F264" s="1"/>
  <c r="E263"/>
  <c r="E264" s="1"/>
  <c r="C263"/>
  <c r="C264" s="1"/>
  <c r="H263"/>
  <c r="H264" s="1"/>
  <c r="L263"/>
  <c r="L264" s="1"/>
  <c r="P263"/>
  <c r="P264" s="1"/>
  <c r="G263"/>
  <c r="G264" s="1"/>
  <c r="K263"/>
  <c r="K264" s="1"/>
  <c r="O263"/>
  <c r="O264" s="1"/>
  <c r="S263"/>
  <c r="S264" s="1"/>
  <c r="D263"/>
  <c r="D264" s="1"/>
  <c r="J263"/>
  <c r="J264" s="1"/>
  <c r="N263"/>
  <c r="N264" s="1"/>
  <c r="R263"/>
  <c r="R264" s="1"/>
  <c r="I263"/>
  <c r="I264" s="1"/>
  <c r="M263"/>
  <c r="M264" s="1"/>
  <c r="Q263"/>
  <c r="Q264" s="1"/>
  <c r="T263"/>
  <c r="T264" s="1"/>
</calcChain>
</file>

<file path=xl/sharedStrings.xml><?xml version="1.0" encoding="utf-8"?>
<sst xmlns="http://schemas.openxmlformats.org/spreadsheetml/2006/main" count="2078" uniqueCount="307">
  <si>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</si>
  <si>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</si>
  <si>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</si>
  <si>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</si>
  <si>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</si>
  <si>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</si>
  <si>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</si>
  <si>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</si>
  <si>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</si>
  <si>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</si>
  <si>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</si>
  <si>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</si>
  <si>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</si>
  <si>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</si>
  <si>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</si>
  <si>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</si>
  <si>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Д, мкг</t>
  </si>
  <si>
    <t>В2, мг</t>
  </si>
  <si>
    <t>Са, мг</t>
  </si>
  <si>
    <t>Mg, мг</t>
  </si>
  <si>
    <t>Р, мг</t>
  </si>
  <si>
    <t>Fе, мг</t>
  </si>
  <si>
    <t>К, мг</t>
  </si>
  <si>
    <t>I, мкг</t>
  </si>
  <si>
    <t>F, мг</t>
  </si>
  <si>
    <t>Se, мг</t>
  </si>
  <si>
    <t>Завтрак</t>
  </si>
  <si>
    <t>КАША ВЯЗКАЯ МОЛОЧНАЯ ИЗ РИСА И ПШЕНА</t>
  </si>
  <si>
    <t>175</t>
  </si>
  <si>
    <t>2017</t>
  </si>
  <si>
    <t>БУТЕРБРОД С СЫРОМ И МАСЛОМ</t>
  </si>
  <si>
    <t>3</t>
  </si>
  <si>
    <t>2008</t>
  </si>
  <si>
    <t xml:space="preserve">ЧАЙ С МОЛОКОМ </t>
  </si>
  <si>
    <t>378</t>
  </si>
  <si>
    <t>ФРУКТЫ СВЕЖИЕ ПО СЕЗОНУ * /ЯБЛОКО/</t>
  </si>
  <si>
    <t>338</t>
  </si>
  <si>
    <t>ХЛЕБ РЖАНОЙ</t>
  </si>
  <si>
    <t>2020</t>
  </si>
  <si>
    <t>Итого за прием пищи:</t>
  </si>
  <si>
    <t>Обед</t>
  </si>
  <si>
    <t>ИКРА КАБАЧКОВАЯ КОНСЕРВИРОВАННАЯ</t>
  </si>
  <si>
    <t>2022</t>
  </si>
  <si>
    <t>СУП КАРТОФЕЛЬНЫЙ С МАКАРОННЫМИ ИЗДЕЛИЯМИ</t>
  </si>
  <si>
    <t>103</t>
  </si>
  <si>
    <t>ПЮРЕ КАРТОФЕЛЬНОЕ</t>
  </si>
  <si>
    <t>312</t>
  </si>
  <si>
    <t>КОТЛЕТЫ  РЫБНЫЕ /СОУС МОЛОЧНЫЙ   90/25</t>
  </si>
  <si>
    <t>234</t>
  </si>
  <si>
    <t>КИСЕЛЬ ИЗ ЯБЛОК СУШЕНЫХ</t>
  </si>
  <si>
    <t>354</t>
  </si>
  <si>
    <t>ХЛЕБ ПШЕНИЧНЫЙ</t>
  </si>
  <si>
    <t>Полдник</t>
  </si>
  <si>
    <t>2023</t>
  </si>
  <si>
    <t>КИСЛОМОЛОЧНЫЙ НАПИТОК*****  СНЕЖОК</t>
  </si>
  <si>
    <t>386</t>
  </si>
  <si>
    <t>Всего за день:</t>
  </si>
  <si>
    <t>2 день</t>
  </si>
  <si>
    <t>ОВОЩИ НАТУРАЛЬНЫЕ ПО СЕЗОНУ****/ ОГУРЦЫ /</t>
  </si>
  <si>
    <t>71</t>
  </si>
  <si>
    <t>КАША ЯЧНЕВАЯ РАССЫПЧАТАЯ ПО-КУПЕЧЕСКИ</t>
  </si>
  <si>
    <t>КОТЛЕТЫ ДОМАШНИЕ С МАСЛОМ 90/5</t>
  </si>
  <si>
    <t>271</t>
  </si>
  <si>
    <t>КОФЕЙНЫЙ НАПИТОК С МОЛОКОМ</t>
  </si>
  <si>
    <t>379</t>
  </si>
  <si>
    <t>САЛАТ ИЗ СВЕКЛЫ С  ИЗЮМОМ</t>
  </si>
  <si>
    <t>ЩИ ИЗ СВЕЖЕЙ КАПУСТЫ</t>
  </si>
  <si>
    <t>87</t>
  </si>
  <si>
    <t>291</t>
  </si>
  <si>
    <t>ФРУКТЫ СВЕЖИЕ ПО СЕЗОНУ* АПЕЛЬСИН/</t>
  </si>
  <si>
    <t>КОМПОТ ИЗ СВЕЖИХ ПЛОДОВ (1-ЫЙ ВАРИАНТ) ЯБЛОЧНЫЙ</t>
  </si>
  <si>
    <t>342.1</t>
  </si>
  <si>
    <t>2</t>
  </si>
  <si>
    <t>3 день</t>
  </si>
  <si>
    <t>Завтрак</t>
  </si>
  <si>
    <t>САЛАТ ИЗ БЕЛОКОЧАННОЙ КАПУСТЫ С ЯБЛОКАМИ</t>
  </si>
  <si>
    <t>46</t>
  </si>
  <si>
    <t>ГРАТЕН ИЗ ПЕЧЕНИ С КАРТОФЕЛЕМ</t>
  </si>
  <si>
    <t>КОМПОТ ИЗ СМЕСИ СУХОФРУКТОВ</t>
  </si>
  <si>
    <t>349</t>
  </si>
  <si>
    <t>2017</t>
  </si>
  <si>
    <t>СУП КРЕСТЬЯНСКИЙ С КРУПОЙ</t>
  </si>
  <si>
    <t>98</t>
  </si>
  <si>
    <t>РАГУ ИЗ ОВОЩЕЙ</t>
  </si>
  <si>
    <t>143</t>
  </si>
  <si>
    <t>КАКАО С МОЛОКОМ</t>
  </si>
  <si>
    <t>382</t>
  </si>
  <si>
    <t>2020</t>
  </si>
  <si>
    <t>Итого за прием пищи:</t>
  </si>
  <si>
    <t xml:space="preserve">ЧАЙ С МОЛОКОМ </t>
  </si>
  <si>
    <t>378</t>
  </si>
  <si>
    <t>4 день</t>
  </si>
  <si>
    <t>ФРУКТЫ СВЕЖИЕ ПО СЕЗОНУ* /ЯБЛОКО/</t>
  </si>
  <si>
    <t>338</t>
  </si>
  <si>
    <t>223</t>
  </si>
  <si>
    <t>КИСЛОМОЛОЧНЫЙ НАПИТОК***** /КЕФИР/</t>
  </si>
  <si>
    <t>Обед</t>
  </si>
  <si>
    <t>БОРЩ С ФАСОЛЬЮ И КАРТОФЕЛЕМ</t>
  </si>
  <si>
    <t>84</t>
  </si>
  <si>
    <t>СОК ФРУКТОВЫЙ **/ЯБЛОЧНЫЙ/</t>
  </si>
  <si>
    <t>389</t>
  </si>
  <si>
    <t>Полдник</t>
  </si>
  <si>
    <t>Всего за день:</t>
  </si>
  <si>
    <t>5 день</t>
  </si>
  <si>
    <t>ОВОЩИ НАТУРАЛЬНЫЕ ПО СЕЗОНУ**** /ТОМАТЫ/</t>
  </si>
  <si>
    <t>ПЮРЕ КАРТОФЕЛЬНОЕ</t>
  </si>
  <si>
    <t>312</t>
  </si>
  <si>
    <t>47</t>
  </si>
  <si>
    <t>СУП ИЗ ОВОЩЕЙ С ФРИКАДЕЛЬКАМИ 150/50</t>
  </si>
  <si>
    <t>99</t>
  </si>
  <si>
    <t xml:space="preserve">МАКАРОНЫ, ЗАПЕЧЕННЫЕ С ЯЙЦОМ И СЫРОМ </t>
  </si>
  <si>
    <t>206</t>
  </si>
  <si>
    <t>Молоко для детского питания 2,5% 200 г т/п</t>
  </si>
  <si>
    <t>424</t>
  </si>
  <si>
    <t>ЧАЙ С ЛИМОНОМ</t>
  </si>
  <si>
    <t>6 день</t>
  </si>
  <si>
    <t>Завтрак</t>
  </si>
  <si>
    <t>179</t>
  </si>
  <si>
    <t>2017</t>
  </si>
  <si>
    <t>БУТЕРБРОДЫ С ПОВИДЛОМ И МАСЛОМ</t>
  </si>
  <si>
    <t>2</t>
  </si>
  <si>
    <t>2020</t>
  </si>
  <si>
    <t>Итого за прием пищи:</t>
  </si>
  <si>
    <t>ИКРА КАБАЧКОВАЯ КОНСЕРВИРОВАННАЯ</t>
  </si>
  <si>
    <t>2022</t>
  </si>
  <si>
    <t xml:space="preserve">СУП КАРТОФЕЛЬНЫЙ С БОБОВЫМИ </t>
  </si>
  <si>
    <t>102</t>
  </si>
  <si>
    <t>КАПУСТА, ТУШЕННАЯ С ЯБЛОКАМИ</t>
  </si>
  <si>
    <t>322</t>
  </si>
  <si>
    <t>ТЕФТЕЛИ МЯСНЫЕ  110/20</t>
  </si>
  <si>
    <t>278</t>
  </si>
  <si>
    <t>КИСЛОМОЛОЧНЫЙ НАПИТОК***** /КЕФИР/</t>
  </si>
  <si>
    <t>ХЛЕБ ПШЕНИЧНЫЙ</t>
  </si>
  <si>
    <t>ХЛЕБ РЖАНОЙ</t>
  </si>
  <si>
    <t>234</t>
  </si>
  <si>
    <t>7 день</t>
  </si>
  <si>
    <t>2023</t>
  </si>
  <si>
    <t>КАРТОФЕЛЬ ЗАПЕЧЕННЫЙ С ОВОЩАМИ И ЯЙЦОМ</t>
  </si>
  <si>
    <t>Обед</t>
  </si>
  <si>
    <t xml:space="preserve">САЛАТ ВИТАМИННЫЙ </t>
  </si>
  <si>
    <t>ТТК 2</t>
  </si>
  <si>
    <t>РАССОЛЬНИК ЛЕНИНГРАДСКИЙ</t>
  </si>
  <si>
    <t>96</t>
  </si>
  <si>
    <t>ЗАПЕКАНКА ИЗ ТВОРОГА / МОЛОКО СГУЩ 160/20</t>
  </si>
  <si>
    <t>223</t>
  </si>
  <si>
    <t>СОК ФРУКТОВЫЙ**/ВИНОГРАДНЫЙ/</t>
  </si>
  <si>
    <t>389</t>
  </si>
  <si>
    <t>Молоко для детского питания 2,5% 200 г т/п</t>
  </si>
  <si>
    <t>Полдник</t>
  </si>
  <si>
    <t>КАША  "ЯНТАРНАЯ "ИЗ ПШЕННОЙ КРУПЫ С ЯБЛОКАМИ</t>
  </si>
  <si>
    <t>305</t>
  </si>
  <si>
    <t>2004</t>
  </si>
  <si>
    <t>382</t>
  </si>
  <si>
    <t>Всего за день:</t>
  </si>
  <si>
    <t>8 день</t>
  </si>
  <si>
    <t>Завтрак</t>
  </si>
  <si>
    <t>ПАСТА С КУРИЦЕЙ 120/80</t>
  </si>
  <si>
    <t>КОМПОТ ИЗ СМЕСИ СУХОФРУКТОВ</t>
  </si>
  <si>
    <t>349</t>
  </si>
  <si>
    <t>2017</t>
  </si>
  <si>
    <t xml:space="preserve">ИКРА СВЕКОЛЬНАЯ </t>
  </si>
  <si>
    <t>75</t>
  </si>
  <si>
    <t>СУП-ЛАПША ДОМАШНЯЯ</t>
  </si>
  <si>
    <t>113</t>
  </si>
  <si>
    <t>КАША РАССЫПЧАТАЯ ПЕРЛОВАЯ</t>
  </si>
  <si>
    <t>171.3</t>
  </si>
  <si>
    <t>КОТЛЕТЫ  РЫБНЫЕ /СОУС МОЛОЧНЫЙ   90/25</t>
  </si>
  <si>
    <t>ЧАЙ С САХАРОМ</t>
  </si>
  <si>
    <t>376</t>
  </si>
  <si>
    <t>2020</t>
  </si>
  <si>
    <t>Итого за прием пищи:</t>
  </si>
  <si>
    <t>МЯСО ТУШЕНОЕ С ОВОЩАМИ В СОУСЕ</t>
  </si>
  <si>
    <t>2012</t>
  </si>
  <si>
    <t>9 день</t>
  </si>
  <si>
    <t>ЯБЛОКИ, ЗАПЕЧЕННЫЕ  ПО-КУБАНСКИ</t>
  </si>
  <si>
    <t>ЖАРКОЕ ПО-ДОМАШНЕМУ</t>
  </si>
  <si>
    <t>259</t>
  </si>
  <si>
    <t xml:space="preserve">КАКАО С МОЛОКОМ </t>
  </si>
  <si>
    <t>ХЛЕБ ПШЕНИЧНЫЙ</t>
  </si>
  <si>
    <t>САЛАТ "КУБАНОЧКА"</t>
  </si>
  <si>
    <t>2022</t>
  </si>
  <si>
    <t>БОРЩ ПО-КУБАНСКИ</t>
  </si>
  <si>
    <t>КАРТОФЕЛЬ  ПО-ХУТОРСКИ</t>
  </si>
  <si>
    <t>КОТЛЕТЫ  КУРИНЫЕ "КАЗАЧОК"</t>
  </si>
  <si>
    <t xml:space="preserve">УЗВАР ИЗ СУХОФРУКТОВ И   ПЛОДОВ ШИПОВНИКА </t>
  </si>
  <si>
    <t>2023</t>
  </si>
  <si>
    <t>ХЛЕБ РЖАНОЙ</t>
  </si>
  <si>
    <t>СЫР (ПОРЦИЯМИ)</t>
  </si>
  <si>
    <t>15</t>
  </si>
  <si>
    <t>КАПУСТА ТУШЕНАЯ</t>
  </si>
  <si>
    <t>321</t>
  </si>
  <si>
    <t>КОТЛЕТЫ РЫБНЫЕ ЛЮБИТЕЛЬСКИЕ</t>
  </si>
  <si>
    <t>241</t>
  </si>
  <si>
    <t>2008</t>
  </si>
  <si>
    <t>СОК ФРУКТОВЫЙ **/ЯБЛОЧНЫЙ/</t>
  </si>
  <si>
    <t>389</t>
  </si>
  <si>
    <t xml:space="preserve">СУП ИЗ ОВОЩЕЙ </t>
  </si>
  <si>
    <t>99</t>
  </si>
  <si>
    <t>ЗАПЕКАНКА ИЗ ПЕЧЕНИ  ПО-ЦАРСКИ</t>
  </si>
  <si>
    <t xml:space="preserve">СОУС ТОМАТНЫЙ С ОВОЩАМИ </t>
  </si>
  <si>
    <t>МАКАРОНЫ, ЗАПЕЧЕННЫЕ С ЯЙЦОМ</t>
  </si>
  <si>
    <t>Всего за день:</t>
  </si>
  <si>
    <t>ООО "ВИТА ЛАЙН"</t>
  </si>
  <si>
    <t>ТТК 3</t>
  </si>
  <si>
    <t>ТТК 4</t>
  </si>
  <si>
    <t>ТТК 9</t>
  </si>
  <si>
    <t>ТТК 10</t>
  </si>
  <si>
    <t>ТТК 5</t>
  </si>
  <si>
    <t>ТТК 8</t>
  </si>
  <si>
    <t>ТТК 13</t>
  </si>
  <si>
    <t>ДЕНЬ КУБАНСКОЙ КУХНИ</t>
  </si>
  <si>
    <t>ТТК 15</t>
  </si>
  <si>
    <t>ТТК 6</t>
  </si>
  <si>
    <t>ТТК 7</t>
  </si>
  <si>
    <t>ИТОГО</t>
  </si>
  <si>
    <t>ОБЪЕМЫ БЛЮД</t>
  </si>
  <si>
    <t>ИТОГО ЗА ВЕСЬ ПЕРИОД</t>
  </si>
  <si>
    <t>СРЕДНЕЕ ЗНАЧЕНИЕ ЗА ПЕРИОД</t>
  </si>
  <si>
    <t>АЗУ</t>
  </si>
  <si>
    <t>КАРТОФЕЛЬ ОТВАРНОЙ</t>
  </si>
  <si>
    <t>ТЫКВА ПРИПУЩЕННАЯ С ЯБЛОКАМИ</t>
  </si>
  <si>
    <t>ВОЗРАСТ ДЕТЕЙ</t>
  </si>
  <si>
    <t>7-11 ЛЕТ</t>
  </si>
  <si>
    <t>ПП</t>
  </si>
  <si>
    <t>125</t>
  </si>
  <si>
    <t xml:space="preserve">                                                                                     СУММАРНЫЕ ОБЪЕМЫ БЛЮД ПО ПРИЕМАМ ПИЩИ (В ГРАММАХ)</t>
  </si>
  <si>
    <t>ЗАВТРАК</t>
  </si>
  <si>
    <t>ОБЕД</t>
  </si>
  <si>
    <t>ПОЛДНИК</t>
  </si>
  <si>
    <t>ТТК 1</t>
  </si>
  <si>
    <t>ТТК 11</t>
  </si>
  <si>
    <t>ТТК 12</t>
  </si>
  <si>
    <t>ТТК 14</t>
  </si>
  <si>
    <t>ТТК 16</t>
  </si>
  <si>
    <t>ТТК 17</t>
  </si>
  <si>
    <t>ТТК 19</t>
  </si>
  <si>
    <t>ТТК 20</t>
  </si>
  <si>
    <t>10день</t>
  </si>
  <si>
    <t>ЗАВТРАКИ</t>
  </si>
  <si>
    <t>ОБЕДЫ</t>
  </si>
  <si>
    <t>ПОЛДНИКИ</t>
  </si>
  <si>
    <t>КОТЛЕТЫ РЫБНЫЕ С МАСЛОМ   90/5</t>
  </si>
  <si>
    <t>САЛАТ ИЗ КАПУСТЫ Б/К С МОРКОВЬЮ****</t>
  </si>
  <si>
    <t>ОВОЩИ НАТУРАЛЬНЫЕ /МОРКОВНЫЕ ПАЛОЧКИ/****</t>
  </si>
  <si>
    <t>ТЕФТЕЛИ РЫБНЫЕ/ СОУС ТОМАТНЫЙ С ОВОЩАМИ  90/15</t>
  </si>
  <si>
    <t>239/ТТК20</t>
  </si>
  <si>
    <t>МЮСЛИ С МОЛОКОМ</t>
  </si>
  <si>
    <t xml:space="preserve">ИКРА МОРКОВНАЯ </t>
  </si>
  <si>
    <t>ТТК 21</t>
  </si>
  <si>
    <t xml:space="preserve">БИТОЧКИ РЫБНЫЕ </t>
  </si>
  <si>
    <t>ТТК24</t>
  </si>
  <si>
    <t>ТТК 23</t>
  </si>
  <si>
    <t>БУЛОЧКА ДОМАШНЯЯ ПП</t>
  </si>
  <si>
    <t>ПЛОВ ИЗ ЦЫПЛЕНКА</t>
  </si>
  <si>
    <t>ПИРОЖОК ПЕЧЕНЫЙ С КАПУСТОЙ</t>
  </si>
  <si>
    <t>ИТОГО ПО ОСНОВНОМУ  МЕНЮ</t>
  </si>
  <si>
    <t>ЗАПЕКАНКА ИЗ ТВОРОГА С  ТЫКВОЙ / ПОВИДЛО150/10</t>
  </si>
  <si>
    <t>ЗАПЕКАНКА ИЗ ТВОРОГА/ПОВИДЛО 150/10</t>
  </si>
  <si>
    <t>КОТЛЕТЫ РУБЛЕННЫЕ ИЗ ЦЫПЛЕНКА</t>
  </si>
  <si>
    <t>ЗАПЕКАНКА ОВОЩНАЯ С КУРИЦЕЙ</t>
  </si>
  <si>
    <t>ТТК 25</t>
  </si>
  <si>
    <t>ЗАПЕКАНКА ИЗ ПЕЧЕНИ С РИСОМ/ СОУС ТОМАТНЫЙ С ОВОЩАМИ 150/20</t>
  </si>
  <si>
    <t>1 день 1 неделя</t>
  </si>
  <si>
    <t>2 день 1 неделя</t>
  </si>
  <si>
    <t>3 день 1 неделя</t>
  </si>
  <si>
    <t>4 день 1 неделя</t>
  </si>
  <si>
    <t>5 день 1 неделя</t>
  </si>
  <si>
    <t xml:space="preserve">1 день 2 неделя </t>
  </si>
  <si>
    <t>2 день 2 неделя</t>
  </si>
  <si>
    <t>3  день 2 неделя</t>
  </si>
  <si>
    <t>4 день  2 неделя</t>
  </si>
  <si>
    <t>5  день 2 неделя</t>
  </si>
  <si>
    <t xml:space="preserve">4 день 1 неделя </t>
  </si>
  <si>
    <t>1 день 2 неделя</t>
  </si>
  <si>
    <t>3 день 2 неделя</t>
  </si>
  <si>
    <t>4 день 2 неделя</t>
  </si>
  <si>
    <t>1 день 1неделя</t>
  </si>
  <si>
    <t>1  день 2 неделя</t>
  </si>
  <si>
    <t>5 день 2 неделя</t>
  </si>
  <si>
    <t xml:space="preserve"> ОСНОВНОЕ  ЦИКЛИЧНОЕ МЕНЮ ПРИГОТАВЛИВАЕМЫХ БЛЮД  НА ЛЕТНЕ-ОСЕННИЙ ПЕРИОД ДЛЯ ВОЗРАСТНОЙ КАТЕГОРИИ ДЕТЕЙ 7-11 ЛЕТ </t>
  </si>
  <si>
    <t>"СОГЛАСОВАНО"
"____"______________ 2023 г.</t>
  </si>
  <si>
    <t>"УТВЕРЖДАЮ
Директор
 ООО "ВИТАЛАЙН"
____________Н.Н.Клоков
"____"______________ 2023 г.</t>
  </si>
  <si>
    <t>ИТОГО ЗАВТРАКИ</t>
  </si>
  <si>
    <t>ИТОГО ОБЕДЫ</t>
  </si>
  <si>
    <t>ИТОГО ПОЛДНИКИ</t>
  </si>
  <si>
    <t>КИСЛОМОЛОЧНЫЙ НАПИТОК/  СНЕЖОК/</t>
  </si>
  <si>
    <t>ФРУКТЫ СВЕЖИЕ ПО СЕЗОНУ /ЯБЛОКО/</t>
  </si>
  <si>
    <t>СОК ФРУКТОВЫЙ /ЯБЛОЧНЫЙ/</t>
  </si>
  <si>
    <t>ФРУКТЫ СВЕЖИЕ ПО СЕЗОНУ  /ЯБЛОКО/</t>
  </si>
  <si>
    <t>КИСЛОМОЛОЧНЫЙ НАПИТОК / КЕФИР/</t>
  </si>
  <si>
    <t>ФРУКТЫ СВЕЖИЕ ПО СЕЗОНУ АПЕЛЬСИН/</t>
  </si>
  <si>
    <t>СОК ФРУКТОВЫЙ /ВИНОГРАДНЫЙ/</t>
  </si>
  <si>
    <t>КИСЛОМОЛОЧНЫЙ НАПИТОК /КЕФИР/</t>
  </si>
  <si>
    <t>КОНДИТЕРСКИЕ ИЗДЕЛИЯ /ПЕЧЕНЬЕ САХАРНОЕ/</t>
  </si>
  <si>
    <t>СОК ФРУКТОВЫЙ / ВИШНЕВЫЙ/</t>
  </si>
  <si>
    <t>ОВОЩИ НАТУРАЛЬНЫЕ ПО СЕЗОНУ/ ОГУРЦЫ /</t>
  </si>
  <si>
    <t>КИСЛОМОЛОЧНЫЙ НАПИТОК/КЕФИР/</t>
  </si>
  <si>
    <t>ФРУКТЫ СВЕЖИЕ ПО СЕЗОНУ/ЯБЛОКО/</t>
  </si>
  <si>
    <t>ОВОЩИ НАТУРАЛЬНЫЕ ПО СЕЗОНУ /ТОМАТЫ/</t>
  </si>
  <si>
    <t>ОВОЩИ НАТУРАЛЬНЫЕ /МОРКОВНЫЕ ПАЛОЧКИ/</t>
  </si>
  <si>
    <t>АЗУ С МЯСОМ И ОВОЩАМИ</t>
  </si>
  <si>
    <t>ФРУКТЫ СВЕЖИЕ ПО СЕЗОНУ/ АПЕЛЬСИН/</t>
  </si>
  <si>
    <t>СОК ФРУКТОВЫЙ/ВИНОГРАДНЫЙ/</t>
  </si>
  <si>
    <t>ФРУКТЫ СВЕЖИЕ ПО СЕЗОНУ /АПЕЛЬСИН/</t>
  </si>
  <si>
    <t>ОВОЩИ НАТУРАЛЬНЫЕ ПО СЕЗОНУ/ТОМАТЫ/</t>
  </si>
  <si>
    <t>КИСЛОМОЛОЧНЫЙ НАПИТОК/ КЕФИР/</t>
  </si>
  <si>
    <t xml:space="preserve">  </t>
  </si>
</sst>
</file>

<file path=xl/styles.xml><?xml version="1.0" encoding="utf-8"?>
<styleSheet xmlns="http://schemas.openxmlformats.org/spreadsheetml/2006/main">
  <fonts count="14">
    <font>
      <sz val="8"/>
      <color rgb="FF000000"/>
      <name val="Tahoma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i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sz val="10"/>
      <color rgb="FF00000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0" borderId="0" xfId="0" applyFont="1" applyAlignment="1">
      <alignment horizontal="center" vertical="center"/>
    </xf>
    <xf numFmtId="0" fontId="6" fillId="7" borderId="12" xfId="0" applyFont="1" applyFill="1" applyBorder="1" applyAlignment="1">
      <alignment horizontal="center" vertical="center" wrapText="1"/>
    </xf>
    <xf numFmtId="0" fontId="2" fillId="0" borderId="0" xfId="0" applyFont="1"/>
    <xf numFmtId="4" fontId="6" fillId="7" borderId="12" xfId="0" applyNumberFormat="1" applyFont="1" applyFill="1" applyBorder="1" applyAlignment="1">
      <alignment horizontal="center" vertical="center" wrapText="1"/>
    </xf>
    <xf numFmtId="0" fontId="2" fillId="8" borderId="0" xfId="0" applyFont="1" applyFill="1"/>
    <xf numFmtId="4" fontId="7" fillId="0" borderId="0" xfId="0" applyNumberFormat="1" applyFont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6" fillId="7" borderId="13" xfId="0" applyFont="1" applyFill="1" applyBorder="1" applyAlignment="1">
      <alignment horizontal="center" vertical="center" wrapText="1"/>
    </xf>
    <xf numFmtId="4" fontId="6" fillId="7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left" vertical="center"/>
    </xf>
    <xf numFmtId="0" fontId="7" fillId="8" borderId="0" xfId="0" applyFont="1" applyFill="1"/>
    <xf numFmtId="0" fontId="8" fillId="8" borderId="11" xfId="0" applyFont="1" applyFill="1" applyBorder="1" applyAlignment="1">
      <alignment horizontal="left" vertical="top" wrapText="1"/>
    </xf>
    <xf numFmtId="4" fontId="5" fillId="8" borderId="0" xfId="0" applyNumberFormat="1" applyFont="1" applyFill="1" applyAlignment="1">
      <alignment horizontal="center" vertical="center"/>
    </xf>
    <xf numFmtId="4" fontId="7" fillId="8" borderId="0" xfId="0" applyNumberFormat="1" applyFont="1" applyFill="1" applyAlignment="1">
      <alignment horizontal="center" vertical="center"/>
    </xf>
    <xf numFmtId="0" fontId="10" fillId="8" borderId="14" xfId="0" applyFont="1" applyFill="1" applyBorder="1" applyAlignment="1">
      <alignment horizontal="left" vertical="top" wrapText="1"/>
    </xf>
    <xf numFmtId="0" fontId="6" fillId="8" borderId="0" xfId="0" applyFont="1" applyFill="1"/>
    <xf numFmtId="0" fontId="11" fillId="8" borderId="0" xfId="0" applyFont="1" applyFill="1"/>
    <xf numFmtId="0" fontId="11" fillId="0" borderId="0" xfId="0" applyFont="1"/>
    <xf numFmtId="4" fontId="6" fillId="8" borderId="0" xfId="0" applyNumberFormat="1" applyFont="1" applyFill="1" applyAlignment="1">
      <alignment horizontal="center" vertical="center"/>
    </xf>
    <xf numFmtId="0" fontId="10" fillId="7" borderId="14" xfId="0" applyFont="1" applyFill="1" applyBorder="1" applyAlignment="1">
      <alignment horizontal="left" vertical="top" wrapText="1"/>
    </xf>
    <xf numFmtId="0" fontId="10" fillId="7" borderId="14" xfId="0" applyFont="1" applyFill="1" applyBorder="1" applyAlignment="1">
      <alignment horizontal="center" vertical="top" wrapText="1"/>
    </xf>
    <xf numFmtId="4" fontId="10" fillId="7" borderId="14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0" fillId="0" borderId="0" xfId="0" applyAlignment="1"/>
    <xf numFmtId="4" fontId="7" fillId="0" borderId="0" xfId="0" applyNumberFormat="1" applyFont="1" applyAlignment="1">
      <alignment horizontal="center"/>
    </xf>
    <xf numFmtId="4" fontId="6" fillId="8" borderId="13" xfId="0" applyNumberFormat="1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10" fillId="8" borderId="14" xfId="0" applyNumberFormat="1" applyFont="1" applyFill="1" applyBorder="1" applyAlignment="1">
      <alignment horizontal="center" vertical="center" wrapText="1"/>
    </xf>
    <xf numFmtId="4" fontId="8" fillId="8" borderId="11" xfId="0" applyNumberFormat="1" applyFont="1" applyFill="1" applyBorder="1" applyAlignment="1">
      <alignment horizontal="center" vertical="center" wrapText="1"/>
    </xf>
    <xf numFmtId="4" fontId="10" fillId="8" borderId="11" xfId="0" applyNumberFormat="1" applyFont="1" applyFill="1" applyBorder="1" applyAlignment="1">
      <alignment horizontal="center" vertical="center" wrapText="1"/>
    </xf>
    <xf numFmtId="4" fontId="6" fillId="7" borderId="13" xfId="0" applyNumberFormat="1" applyFont="1" applyFill="1" applyBorder="1" applyAlignment="1">
      <alignment horizontal="center" vertical="center" wrapText="1"/>
    </xf>
    <xf numFmtId="4" fontId="10" fillId="7" borderId="14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6" fillId="7" borderId="12" xfId="0" applyNumberFormat="1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8" borderId="4" xfId="0" applyFont="1" applyFill="1" applyBorder="1" applyAlignment="1">
      <alignment horizontal="left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" fontId="1" fillId="8" borderId="12" xfId="0" applyNumberFormat="1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8" borderId="6" xfId="0" applyNumberFormat="1" applyFont="1" applyFill="1" applyBorder="1" applyAlignment="1">
      <alignment horizontal="center" vertical="center" wrapText="1"/>
    </xf>
    <xf numFmtId="4" fontId="1" fillId="8" borderId="7" xfId="0" applyNumberFormat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8" borderId="2" xfId="0" applyNumberFormat="1" applyFont="1" applyFill="1" applyBorder="1" applyAlignment="1">
      <alignment horizontal="center" vertical="center" wrapText="1"/>
    </xf>
    <xf numFmtId="4" fontId="4" fillId="8" borderId="2" xfId="0" applyNumberFormat="1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center" vertical="center" wrapText="1"/>
    </xf>
    <xf numFmtId="4" fontId="4" fillId="8" borderId="3" xfId="0" applyNumberFormat="1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left" vertical="center" wrapText="1"/>
    </xf>
    <xf numFmtId="0" fontId="1" fillId="8" borderId="12" xfId="0" applyNumberFormat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4" fontId="4" fillId="8" borderId="9" xfId="0" applyNumberFormat="1" applyFont="1" applyFill="1" applyBorder="1" applyAlignment="1">
      <alignment horizontal="center" vertical="center" wrapText="1"/>
    </xf>
    <xf numFmtId="4" fontId="4" fillId="7" borderId="12" xfId="0" applyNumberFormat="1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1" fillId="7" borderId="12" xfId="0" applyFont="1" applyFill="1" applyBorder="1" applyAlignment="1">
      <alignment horizontal="left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8" borderId="0" xfId="0" applyFont="1" applyFill="1"/>
    <xf numFmtId="0" fontId="1" fillId="8" borderId="0" xfId="0" applyFont="1" applyFill="1" applyAlignment="1">
      <alignment horizontal="left" vertical="center"/>
    </xf>
    <xf numFmtId="4" fontId="1" fillId="8" borderId="0" xfId="0" applyNumberFormat="1" applyFont="1" applyFill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7" borderId="11" xfId="0" applyFont="1" applyFill="1" applyBorder="1" applyAlignment="1">
      <alignment horizontal="left" vertical="center" wrapText="1"/>
    </xf>
    <xf numFmtId="0" fontId="8" fillId="8" borderId="11" xfId="0" applyFont="1" applyFill="1" applyBorder="1" applyAlignment="1">
      <alignment horizontal="left" vertical="top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4" fontId="6" fillId="8" borderId="12" xfId="0" applyNumberFormat="1" applyFont="1" applyFill="1" applyBorder="1" applyAlignment="1">
      <alignment horizontal="center" vertical="center" wrapText="1"/>
    </xf>
    <xf numFmtId="4" fontId="6" fillId="8" borderId="13" xfId="0" applyNumberFormat="1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7" fillId="7" borderId="11" xfId="0" applyFont="1" applyFill="1" applyBorder="1" applyAlignment="1">
      <alignment horizontal="left" vertical="top" wrapText="1"/>
    </xf>
    <xf numFmtId="0" fontId="7" fillId="8" borderId="11" xfId="0" applyFont="1" applyFill="1" applyBorder="1" applyAlignment="1">
      <alignment horizontal="right" vertical="top" wrapText="1"/>
    </xf>
    <xf numFmtId="0" fontId="7" fillId="0" borderId="0" xfId="0" applyFont="1" applyAlignment="1"/>
    <xf numFmtId="0" fontId="6" fillId="7" borderId="11" xfId="0" applyFont="1" applyFill="1" applyBorder="1" applyAlignment="1">
      <alignment horizontal="center" vertical="top" wrapText="1"/>
    </xf>
    <xf numFmtId="0" fontId="3" fillId="8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4" fontId="6" fillId="7" borderId="12" xfId="0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top" wrapText="1"/>
    </xf>
    <xf numFmtId="4" fontId="4" fillId="7" borderId="12" xfId="0" applyNumberFormat="1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4" fontId="6" fillId="7" borderId="13" xfId="0" applyNumberFormat="1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top" wrapText="1"/>
    </xf>
    <xf numFmtId="0" fontId="6" fillId="7" borderId="1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4" fillId="7" borderId="15" xfId="0" applyFont="1" applyFill="1" applyBorder="1" applyAlignment="1">
      <alignment horizontal="center" vertical="center" wrapText="1"/>
    </xf>
    <xf numFmtId="4" fontId="6" fillId="7" borderId="16" xfId="0" applyNumberFormat="1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8"/>
  <sheetViews>
    <sheetView tabSelected="1" topLeftCell="A16" workbookViewId="0">
      <selection activeCell="K1" sqref="K1:V2"/>
    </sheetView>
  </sheetViews>
  <sheetFormatPr defaultColWidth="9.1640625" defaultRowHeight="15.75"/>
  <cols>
    <col min="1" max="1" width="46.6640625" style="13" customWidth="1"/>
    <col min="2" max="2" width="8.6640625" style="12" customWidth="1"/>
    <col min="3" max="3" width="17.1640625" style="16" customWidth="1"/>
    <col min="4" max="4" width="11.6640625" style="16" customWidth="1"/>
    <col min="5" max="5" width="15" style="16" customWidth="1"/>
    <col min="6" max="6" width="13.5" style="16" customWidth="1"/>
    <col min="7" max="12" width="8.6640625" style="16" customWidth="1"/>
    <col min="13" max="13" width="11" style="16" customWidth="1"/>
    <col min="14" max="14" width="8.6640625" style="16" customWidth="1"/>
    <col min="15" max="15" width="10.5" style="16" customWidth="1"/>
    <col min="16" max="16" width="8.6640625" style="16" customWidth="1"/>
    <col min="17" max="17" width="12.83203125" style="16" customWidth="1"/>
    <col min="18" max="20" width="8.6640625" style="16" customWidth="1"/>
    <col min="21" max="21" width="15" style="12" customWidth="1"/>
    <col min="22" max="22" width="8.6640625" style="12" customWidth="1"/>
    <col min="23" max="23" width="9.1640625" style="12"/>
    <col min="24" max="16384" width="9.1640625" style="1"/>
  </cols>
  <sheetData>
    <row r="1" spans="1:23" s="8" customFormat="1" ht="19.5" customHeight="1">
      <c r="A1" s="87"/>
      <c r="B1" s="87"/>
      <c r="C1" s="87"/>
      <c r="D1" s="29"/>
      <c r="E1" s="29"/>
      <c r="F1" s="29"/>
      <c r="G1" s="29"/>
      <c r="H1" s="29"/>
      <c r="I1" s="29"/>
      <c r="J1" s="29"/>
      <c r="K1" s="88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3" s="8" customFormat="1" ht="22.5" hidden="1" customHeight="1">
      <c r="A2" s="78"/>
      <c r="C2" s="29"/>
      <c r="D2" s="29"/>
      <c r="E2" s="29"/>
      <c r="F2" s="29"/>
      <c r="G2" s="29"/>
      <c r="H2" s="29"/>
      <c r="I2" s="29"/>
      <c r="J2" s="2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3" ht="13.5" customHeight="1">
      <c r="A3" s="90" t="s">
        <v>279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3" ht="28.35" customHeight="1">
      <c r="A4" s="91" t="s">
        <v>262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</row>
    <row r="5" spans="1:23" s="3" customFormat="1" ht="13.35" customHeight="1">
      <c r="A5" s="95" t="s">
        <v>1</v>
      </c>
      <c r="B5" s="96" t="s">
        <v>2</v>
      </c>
      <c r="C5" s="97" t="s">
        <v>3</v>
      </c>
      <c r="D5" s="97"/>
      <c r="E5" s="97"/>
      <c r="F5" s="97" t="s">
        <v>4</v>
      </c>
      <c r="G5" s="97" t="s">
        <v>5</v>
      </c>
      <c r="H5" s="97"/>
      <c r="I5" s="97"/>
      <c r="J5" s="97"/>
      <c r="K5" s="97"/>
      <c r="L5" s="97"/>
      <c r="M5" s="97" t="s">
        <v>6</v>
      </c>
      <c r="N5" s="97"/>
      <c r="O5" s="97"/>
      <c r="P5" s="97"/>
      <c r="Q5" s="97"/>
      <c r="R5" s="97"/>
      <c r="S5" s="97"/>
      <c r="T5" s="97"/>
      <c r="U5" s="96" t="s">
        <v>7</v>
      </c>
      <c r="V5" s="96" t="s">
        <v>8</v>
      </c>
    </row>
    <row r="6" spans="1:23" s="3" customFormat="1" ht="26.65" customHeight="1">
      <c r="A6" s="95"/>
      <c r="B6" s="96"/>
      <c r="C6" s="39" t="s">
        <v>9</v>
      </c>
      <c r="D6" s="39" t="s">
        <v>10</v>
      </c>
      <c r="E6" s="39" t="s">
        <v>11</v>
      </c>
      <c r="F6" s="97"/>
      <c r="G6" s="39" t="s">
        <v>12</v>
      </c>
      <c r="H6" s="39" t="s">
        <v>13</v>
      </c>
      <c r="I6" s="39" t="s">
        <v>14</v>
      </c>
      <c r="J6" s="39" t="s">
        <v>15</v>
      </c>
      <c r="K6" s="39" t="s">
        <v>16</v>
      </c>
      <c r="L6" s="39" t="s">
        <v>17</v>
      </c>
      <c r="M6" s="39" t="s">
        <v>18</v>
      </c>
      <c r="N6" s="39" t="s">
        <v>19</v>
      </c>
      <c r="O6" s="39" t="s">
        <v>20</v>
      </c>
      <c r="P6" s="39" t="s">
        <v>21</v>
      </c>
      <c r="Q6" s="39" t="s">
        <v>22</v>
      </c>
      <c r="R6" s="39" t="s">
        <v>23</v>
      </c>
      <c r="S6" s="39" t="s">
        <v>24</v>
      </c>
      <c r="T6" s="39" t="s">
        <v>25</v>
      </c>
      <c r="U6" s="96"/>
      <c r="V6" s="96"/>
    </row>
    <row r="7" spans="1:23" ht="14.65" customHeight="1">
      <c r="A7" s="101" t="s">
        <v>26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100"/>
    </row>
    <row r="8" spans="1:23" s="48" customFormat="1" ht="26.25" customHeight="1">
      <c r="A8" s="43" t="s">
        <v>27</v>
      </c>
      <c r="B8" s="44">
        <v>150</v>
      </c>
      <c r="C8" s="45">
        <v>6.08</v>
      </c>
      <c r="D8" s="45">
        <f>11.18*150/210</f>
        <v>7.9857142857142858</v>
      </c>
      <c r="E8" s="45">
        <f>33.48*150/210</f>
        <v>23.914285714285711</v>
      </c>
      <c r="F8" s="45">
        <f>260*150/210</f>
        <v>185.71428571428572</v>
      </c>
      <c r="G8" s="45">
        <f>0.1*150/210</f>
        <v>7.1428571428571425E-2</v>
      </c>
      <c r="H8" s="45">
        <f>0.96*150/210</f>
        <v>0.68571428571428572</v>
      </c>
      <c r="I8" s="45">
        <f>54.08*150/210</f>
        <v>38.628571428571426</v>
      </c>
      <c r="J8" s="45">
        <v>0.64</v>
      </c>
      <c r="K8" s="45">
        <v>0.15</v>
      </c>
      <c r="L8" s="45">
        <f>0.14*160/210</f>
        <v>0.10666666666666667</v>
      </c>
      <c r="M8" s="45">
        <v>83.75</v>
      </c>
      <c r="N8" s="45">
        <f>37.22*160/210</f>
        <v>28.358095238095238</v>
      </c>
      <c r="O8" s="45">
        <f>156.72*160/210</f>
        <v>119.40571428571428</v>
      </c>
      <c r="P8" s="45">
        <f>0.81*160/210</f>
        <v>0.61714285714285722</v>
      </c>
      <c r="Q8" s="45">
        <f>201.34*160/210</f>
        <v>153.40190476190477</v>
      </c>
      <c r="R8" s="45">
        <v>7.53</v>
      </c>
      <c r="S8" s="45">
        <v>0.01</v>
      </c>
      <c r="T8" s="45">
        <v>0</v>
      </c>
      <c r="U8" s="46" t="s">
        <v>28</v>
      </c>
      <c r="V8" s="46" t="s">
        <v>29</v>
      </c>
      <c r="W8" s="47"/>
    </row>
    <row r="9" spans="1:23" s="48" customFormat="1" ht="24.75" customHeight="1">
      <c r="A9" s="43" t="s">
        <v>30</v>
      </c>
      <c r="B9" s="44">
        <v>50</v>
      </c>
      <c r="C9" s="49">
        <v>6.27</v>
      </c>
      <c r="D9" s="49">
        <v>7.86</v>
      </c>
      <c r="E9" s="49">
        <v>14.83</v>
      </c>
      <c r="F9" s="49">
        <v>180</v>
      </c>
      <c r="G9" s="50">
        <v>0.05</v>
      </c>
      <c r="H9" s="50">
        <v>7.0000000000000007E-2</v>
      </c>
      <c r="I9" s="50">
        <v>0.08</v>
      </c>
      <c r="J9" s="50">
        <v>0.84</v>
      </c>
      <c r="K9" s="50">
        <v>0.15</v>
      </c>
      <c r="L9" s="50">
        <v>0.05</v>
      </c>
      <c r="M9" s="50">
        <v>95.92</v>
      </c>
      <c r="N9" s="50">
        <v>13.4</v>
      </c>
      <c r="O9" s="50">
        <v>76.72</v>
      </c>
      <c r="P9" s="50">
        <v>0.72</v>
      </c>
      <c r="Q9" s="50">
        <v>49</v>
      </c>
      <c r="R9" s="50">
        <v>0</v>
      </c>
      <c r="S9" s="50">
        <v>0.01</v>
      </c>
      <c r="T9" s="50">
        <v>0</v>
      </c>
      <c r="U9" s="46" t="s">
        <v>31</v>
      </c>
      <c r="V9" s="46">
        <v>2017</v>
      </c>
      <c r="W9" s="47"/>
    </row>
    <row r="10" spans="1:23" s="48" customFormat="1" ht="23.25" customHeight="1">
      <c r="A10" s="43" t="s">
        <v>33</v>
      </c>
      <c r="B10" s="44">
        <v>180</v>
      </c>
      <c r="C10" s="45">
        <f>1.52*180/200</f>
        <v>1.3680000000000001</v>
      </c>
      <c r="D10" s="45">
        <f>1.35*180/200</f>
        <v>1.2150000000000001</v>
      </c>
      <c r="E10" s="45">
        <v>14.31</v>
      </c>
      <c r="F10" s="45">
        <f>81*180/200</f>
        <v>72.900000000000006</v>
      </c>
      <c r="G10" s="45">
        <f>0.04</f>
        <v>0.04</v>
      </c>
      <c r="H10" s="45">
        <v>1.33</v>
      </c>
      <c r="I10" s="45">
        <v>0.41</v>
      </c>
      <c r="J10" s="45">
        <v>0</v>
      </c>
      <c r="K10" s="45">
        <v>0</v>
      </c>
      <c r="L10" s="45">
        <v>0.16</v>
      </c>
      <c r="M10" s="45">
        <v>126.6</v>
      </c>
      <c r="N10" s="45">
        <v>15.4</v>
      </c>
      <c r="O10" s="45">
        <v>92.8</v>
      </c>
      <c r="P10" s="45">
        <v>0.41</v>
      </c>
      <c r="Q10" s="45">
        <v>154.6</v>
      </c>
      <c r="R10" s="45">
        <v>4.5</v>
      </c>
      <c r="S10" s="45">
        <v>0</v>
      </c>
      <c r="T10" s="45">
        <v>0</v>
      </c>
      <c r="U10" s="46" t="s">
        <v>34</v>
      </c>
      <c r="V10" s="46">
        <v>2017</v>
      </c>
      <c r="W10" s="47"/>
    </row>
    <row r="11" spans="1:23" s="48" customFormat="1" ht="24.75" customHeight="1">
      <c r="A11" s="43" t="s">
        <v>288</v>
      </c>
      <c r="B11" s="44">
        <v>100</v>
      </c>
      <c r="C11" s="49">
        <v>0.4</v>
      </c>
      <c r="D11" s="49">
        <v>0.4</v>
      </c>
      <c r="E11" s="49">
        <v>9.8000000000000007</v>
      </c>
      <c r="F11" s="49">
        <v>47</v>
      </c>
      <c r="G11" s="50">
        <v>0.03</v>
      </c>
      <c r="H11" s="50">
        <v>10</v>
      </c>
      <c r="I11" s="50">
        <v>0.01</v>
      </c>
      <c r="J11" s="50">
        <v>0.63</v>
      </c>
      <c r="K11" s="50">
        <v>0</v>
      </c>
      <c r="L11" s="50">
        <v>0.02</v>
      </c>
      <c r="M11" s="50">
        <v>16</v>
      </c>
      <c r="N11" s="50">
        <v>8</v>
      </c>
      <c r="O11" s="50">
        <v>11</v>
      </c>
      <c r="P11" s="50">
        <v>2.2000000000000002</v>
      </c>
      <c r="Q11" s="50">
        <v>278</v>
      </c>
      <c r="R11" s="50">
        <v>2</v>
      </c>
      <c r="S11" s="50">
        <v>0.01</v>
      </c>
      <c r="T11" s="50">
        <v>0</v>
      </c>
      <c r="U11" s="46" t="s">
        <v>36</v>
      </c>
      <c r="V11" s="46" t="s">
        <v>29</v>
      </c>
      <c r="W11" s="47"/>
    </row>
    <row r="12" spans="1:23" s="48" customFormat="1" ht="23.25" customHeight="1">
      <c r="A12" s="43" t="s">
        <v>37</v>
      </c>
      <c r="B12" s="44">
        <v>20</v>
      </c>
      <c r="C12" s="49">
        <v>1.1200000000000001</v>
      </c>
      <c r="D12" s="49">
        <v>0.22</v>
      </c>
      <c r="E12" s="49">
        <v>9.8800000000000008</v>
      </c>
      <c r="F12" s="49">
        <v>45.98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46" t="s">
        <v>223</v>
      </c>
      <c r="V12" s="46" t="s">
        <v>38</v>
      </c>
      <c r="W12" s="47"/>
    </row>
    <row r="13" spans="1:23" s="48" customFormat="1" ht="12.2" customHeight="1">
      <c r="A13" s="51" t="s">
        <v>39</v>
      </c>
      <c r="B13" s="52">
        <f>SUM(B8:B12)</f>
        <v>500</v>
      </c>
      <c r="C13" s="53">
        <f t="shared" ref="C13:T13" si="0">SUM(C8:C12)</f>
        <v>15.238</v>
      </c>
      <c r="D13" s="53">
        <f t="shared" si="0"/>
        <v>17.680714285714284</v>
      </c>
      <c r="E13" s="53">
        <f t="shared" si="0"/>
        <v>72.734285714285704</v>
      </c>
      <c r="F13" s="53">
        <f t="shared" si="0"/>
        <v>531.59428571428577</v>
      </c>
      <c r="G13" s="53">
        <f t="shared" si="0"/>
        <v>0.19142857142857142</v>
      </c>
      <c r="H13" s="53">
        <f t="shared" si="0"/>
        <v>12.085714285714285</v>
      </c>
      <c r="I13" s="53">
        <f t="shared" si="0"/>
        <v>39.128571428571419</v>
      </c>
      <c r="J13" s="53">
        <f t="shared" si="0"/>
        <v>2.11</v>
      </c>
      <c r="K13" s="53">
        <f t="shared" si="0"/>
        <v>0.3</v>
      </c>
      <c r="L13" s="53">
        <f t="shared" si="0"/>
        <v>0.33666666666666667</v>
      </c>
      <c r="M13" s="53">
        <f t="shared" si="0"/>
        <v>322.27</v>
      </c>
      <c r="N13" s="53">
        <f t="shared" si="0"/>
        <v>65.158095238095228</v>
      </c>
      <c r="O13" s="53">
        <f t="shared" si="0"/>
        <v>299.92571428571426</v>
      </c>
      <c r="P13" s="53">
        <f t="shared" si="0"/>
        <v>3.9471428571428575</v>
      </c>
      <c r="Q13" s="53">
        <f t="shared" si="0"/>
        <v>635.00190476190483</v>
      </c>
      <c r="R13" s="53">
        <f t="shared" si="0"/>
        <v>14.030000000000001</v>
      </c>
      <c r="S13" s="53">
        <f t="shared" si="0"/>
        <v>0.03</v>
      </c>
      <c r="T13" s="53">
        <f t="shared" si="0"/>
        <v>0</v>
      </c>
      <c r="U13" s="54"/>
      <c r="V13" s="54"/>
      <c r="W13" s="47"/>
    </row>
    <row r="14" spans="1:23" s="48" customFormat="1" ht="14.65" customHeight="1">
      <c r="A14" s="98" t="s">
        <v>40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100"/>
      <c r="W14" s="47"/>
    </row>
    <row r="15" spans="1:23" s="48" customFormat="1" ht="22.5" customHeight="1">
      <c r="A15" s="43" t="s">
        <v>41</v>
      </c>
      <c r="B15" s="44">
        <v>60</v>
      </c>
      <c r="C15" s="45">
        <v>1.5</v>
      </c>
      <c r="D15" s="45">
        <v>7.3</v>
      </c>
      <c r="E15" s="45">
        <v>4.5999999999999996</v>
      </c>
      <c r="F15" s="45">
        <v>71.400000000000006</v>
      </c>
      <c r="G15" s="45">
        <v>0.01</v>
      </c>
      <c r="H15" s="45">
        <v>4.2</v>
      </c>
      <c r="I15" s="45">
        <v>0.11</v>
      </c>
      <c r="J15" s="45">
        <v>0</v>
      </c>
      <c r="K15" s="45">
        <v>0</v>
      </c>
      <c r="L15" s="45">
        <v>0.03</v>
      </c>
      <c r="M15" s="45">
        <v>24.6</v>
      </c>
      <c r="N15" s="45">
        <v>9</v>
      </c>
      <c r="O15" s="45">
        <v>22.2</v>
      </c>
      <c r="P15" s="45">
        <v>0.42</v>
      </c>
      <c r="Q15" s="45">
        <v>189</v>
      </c>
      <c r="R15" s="45">
        <v>0</v>
      </c>
      <c r="S15" s="45">
        <v>0</v>
      </c>
      <c r="T15" s="45">
        <v>0</v>
      </c>
      <c r="U15" s="58" t="s">
        <v>223</v>
      </c>
      <c r="V15" s="58" t="s">
        <v>42</v>
      </c>
      <c r="W15" s="47"/>
    </row>
    <row r="16" spans="1:23" s="48" customFormat="1" ht="26.25" customHeight="1">
      <c r="A16" s="43" t="s">
        <v>43</v>
      </c>
      <c r="B16" s="44">
        <v>200</v>
      </c>
      <c r="C16" s="45">
        <f>10.75*0.2</f>
        <v>2.15</v>
      </c>
      <c r="D16" s="45">
        <f>11.35*0.2</f>
        <v>2.27</v>
      </c>
      <c r="E16" s="45">
        <f>69.82*0.2</f>
        <v>13.963999999999999</v>
      </c>
      <c r="F16" s="45">
        <f>473*0.2</f>
        <v>94.600000000000009</v>
      </c>
      <c r="G16" s="45">
        <f>0.45*0.2</f>
        <v>9.0000000000000011E-2</v>
      </c>
      <c r="H16" s="45">
        <v>6.17</v>
      </c>
      <c r="I16" s="45">
        <v>0.17</v>
      </c>
      <c r="J16" s="45">
        <v>0.99</v>
      </c>
      <c r="K16" s="45">
        <v>0</v>
      </c>
      <c r="L16" s="45">
        <f>0.25*0.2</f>
        <v>0.05</v>
      </c>
      <c r="M16" s="45">
        <f>116.8*0.2</f>
        <v>23.36</v>
      </c>
      <c r="N16" s="45">
        <f>185*0.15</f>
        <v>27.75</v>
      </c>
      <c r="O16" s="45">
        <f>270.3*0.2</f>
        <v>54.06</v>
      </c>
      <c r="P16" s="45">
        <f>4.5*0.2</f>
        <v>0.9</v>
      </c>
      <c r="Q16" s="45">
        <f>1925.7*0.2</f>
        <v>385.14000000000004</v>
      </c>
      <c r="R16" s="45">
        <v>3.96</v>
      </c>
      <c r="S16" s="45">
        <v>0.03</v>
      </c>
      <c r="T16" s="45">
        <v>0</v>
      </c>
      <c r="U16" s="58" t="s">
        <v>44</v>
      </c>
      <c r="V16" s="58" t="s">
        <v>29</v>
      </c>
      <c r="W16" s="47"/>
    </row>
    <row r="17" spans="1:23" s="48" customFormat="1" ht="23.25" customHeight="1">
      <c r="A17" s="43" t="s">
        <v>45</v>
      </c>
      <c r="B17" s="44">
        <v>150</v>
      </c>
      <c r="C17" s="45">
        <f>20.43*0.15</f>
        <v>3.0644999999999998</v>
      </c>
      <c r="D17" s="45">
        <f>32.01*0.15</f>
        <v>4.8014999999999999</v>
      </c>
      <c r="E17" s="45">
        <f>136*0.15</f>
        <v>20.399999999999999</v>
      </c>
      <c r="F17" s="45">
        <f>915*0.15</f>
        <v>137.25</v>
      </c>
      <c r="G17" s="45">
        <f>0.93*0.15</f>
        <v>0.13950000000000001</v>
      </c>
      <c r="H17" s="45">
        <v>8.33</v>
      </c>
      <c r="I17" s="45">
        <v>0.03</v>
      </c>
      <c r="J17" s="45">
        <v>0.22</v>
      </c>
      <c r="K17" s="45">
        <v>0.08</v>
      </c>
      <c r="L17" s="45">
        <f>0.74*0.15</f>
        <v>0.111</v>
      </c>
      <c r="M17" s="45">
        <f>246.5*0.15</f>
        <v>36.975000000000001</v>
      </c>
      <c r="N17" s="45">
        <v>25.06</v>
      </c>
      <c r="O17" s="45">
        <f>577.3*0.15</f>
        <v>86.594999999999985</v>
      </c>
      <c r="P17" s="45">
        <v>1</v>
      </c>
      <c r="Q17" s="45">
        <f>4323*0.15</f>
        <v>648.44999999999993</v>
      </c>
      <c r="R17" s="45">
        <v>7.26</v>
      </c>
      <c r="S17" s="45">
        <v>0.03</v>
      </c>
      <c r="T17" s="45">
        <v>0</v>
      </c>
      <c r="U17" s="46" t="s">
        <v>46</v>
      </c>
      <c r="V17" s="46" t="s">
        <v>29</v>
      </c>
      <c r="W17" s="47"/>
    </row>
    <row r="18" spans="1:23" s="48" customFormat="1" ht="24" customHeight="1">
      <c r="A18" s="43" t="s">
        <v>47</v>
      </c>
      <c r="B18" s="44">
        <v>115</v>
      </c>
      <c r="C18" s="45">
        <v>9.4700000000000006</v>
      </c>
      <c r="D18" s="45">
        <v>8.11</v>
      </c>
      <c r="E18" s="45">
        <v>13.48</v>
      </c>
      <c r="F18" s="45">
        <v>165.31</v>
      </c>
      <c r="G18" s="45">
        <f>0.046*115/80</f>
        <v>6.6125000000000003E-2</v>
      </c>
      <c r="H18" s="45">
        <v>0.21</v>
      </c>
      <c r="I18" s="45">
        <v>0.02</v>
      </c>
      <c r="J18" s="45">
        <v>4.29</v>
      </c>
      <c r="K18" s="45">
        <v>0.02</v>
      </c>
      <c r="L18" s="45">
        <f>0.08*115/80</f>
        <v>0.11500000000000002</v>
      </c>
      <c r="M18" s="45">
        <f>44.13*115/80</f>
        <v>63.436875000000008</v>
      </c>
      <c r="N18" s="45">
        <f>22.33*115/80</f>
        <v>32.099374999999995</v>
      </c>
      <c r="O18" s="45">
        <f>99.55*115/80</f>
        <v>143.10312500000001</v>
      </c>
      <c r="P18" s="45">
        <f>0.79*115/80</f>
        <v>1.1356250000000001</v>
      </c>
      <c r="Q18" s="45">
        <f>164.91*115/80</f>
        <v>237.05812499999996</v>
      </c>
      <c r="R18" s="45">
        <v>95.87</v>
      </c>
      <c r="S18" s="45">
        <v>0.4</v>
      </c>
      <c r="T18" s="45">
        <v>0.01</v>
      </c>
      <c r="U18" s="58" t="s">
        <v>48</v>
      </c>
      <c r="V18" s="58" t="s">
        <v>29</v>
      </c>
      <c r="W18" s="47"/>
    </row>
    <row r="19" spans="1:23" s="48" customFormat="1" ht="24" customHeight="1">
      <c r="A19" s="43" t="s">
        <v>49</v>
      </c>
      <c r="B19" s="44">
        <v>200</v>
      </c>
      <c r="C19" s="49">
        <f>1.16*0.2</f>
        <v>0.23199999999999998</v>
      </c>
      <c r="D19" s="49">
        <f>0.06*0.2</f>
        <v>1.2E-2</v>
      </c>
      <c r="E19" s="49">
        <f>164.1*0.2</f>
        <v>32.82</v>
      </c>
      <c r="F19" s="49">
        <f>756*0.2</f>
        <v>151.20000000000002</v>
      </c>
      <c r="G19" s="50">
        <v>0</v>
      </c>
      <c r="H19" s="50">
        <v>0.1</v>
      </c>
      <c r="I19" s="50">
        <v>0</v>
      </c>
      <c r="J19" s="50">
        <v>0</v>
      </c>
      <c r="K19" s="50">
        <v>0</v>
      </c>
      <c r="L19" s="50">
        <v>0</v>
      </c>
      <c r="M19" s="50">
        <v>24.05</v>
      </c>
      <c r="N19" s="50">
        <v>5.26</v>
      </c>
      <c r="O19" s="50">
        <v>13.86</v>
      </c>
      <c r="P19" s="50">
        <v>0.65</v>
      </c>
      <c r="Q19" s="50">
        <v>72.17</v>
      </c>
      <c r="R19" s="50">
        <v>0</v>
      </c>
      <c r="S19" s="50">
        <v>0</v>
      </c>
      <c r="T19" s="50">
        <v>0</v>
      </c>
      <c r="U19" s="46" t="s">
        <v>50</v>
      </c>
      <c r="V19" s="46" t="s">
        <v>29</v>
      </c>
      <c r="W19" s="47"/>
    </row>
    <row r="20" spans="1:23" s="48" customFormat="1" ht="23.25" customHeight="1">
      <c r="A20" s="43" t="s">
        <v>51</v>
      </c>
      <c r="B20" s="44">
        <v>40</v>
      </c>
      <c r="C20" s="49">
        <v>3.05</v>
      </c>
      <c r="D20" s="49">
        <v>0.25</v>
      </c>
      <c r="E20" s="49">
        <v>20.07</v>
      </c>
      <c r="F20" s="49">
        <v>94.73</v>
      </c>
      <c r="G20" s="50">
        <v>0.06</v>
      </c>
      <c r="H20" s="50">
        <v>0</v>
      </c>
      <c r="I20" s="50">
        <v>0</v>
      </c>
      <c r="J20" s="50">
        <v>0.78</v>
      </c>
      <c r="K20" s="50">
        <v>0</v>
      </c>
      <c r="L20" s="50">
        <v>0.02</v>
      </c>
      <c r="M20" s="50">
        <v>9.1999999999999993</v>
      </c>
      <c r="N20" s="50">
        <v>13.2</v>
      </c>
      <c r="O20" s="50">
        <v>33.6</v>
      </c>
      <c r="P20" s="50">
        <v>0.8</v>
      </c>
      <c r="Q20" s="50">
        <v>51.6</v>
      </c>
      <c r="R20" s="50">
        <v>0</v>
      </c>
      <c r="S20" s="50">
        <v>0.01</v>
      </c>
      <c r="T20" s="50">
        <v>0</v>
      </c>
      <c r="U20" s="46" t="s">
        <v>223</v>
      </c>
      <c r="V20" s="46" t="s">
        <v>38</v>
      </c>
      <c r="W20" s="47"/>
    </row>
    <row r="21" spans="1:23" s="48" customFormat="1" ht="17.25" customHeight="1">
      <c r="A21" s="43" t="s">
        <v>37</v>
      </c>
      <c r="B21" s="44">
        <v>40</v>
      </c>
      <c r="C21" s="49">
        <v>2.65</v>
      </c>
      <c r="D21" s="49">
        <v>0.35</v>
      </c>
      <c r="E21" s="49">
        <v>16.96</v>
      </c>
      <c r="F21" s="49">
        <v>81.58</v>
      </c>
      <c r="G21" s="50">
        <v>7.0000000000000007E-2</v>
      </c>
      <c r="H21" s="50">
        <v>0</v>
      </c>
      <c r="I21" s="50">
        <v>0</v>
      </c>
      <c r="J21" s="50">
        <v>0.88</v>
      </c>
      <c r="K21" s="50">
        <v>0</v>
      </c>
      <c r="L21" s="50">
        <v>0.03</v>
      </c>
      <c r="M21" s="50">
        <v>7.2</v>
      </c>
      <c r="N21" s="50">
        <v>7.6</v>
      </c>
      <c r="O21" s="50">
        <v>34.799999999999997</v>
      </c>
      <c r="P21" s="50">
        <v>1.6</v>
      </c>
      <c r="Q21" s="50">
        <v>54.4</v>
      </c>
      <c r="R21" s="50">
        <v>2.2400000000000002</v>
      </c>
      <c r="S21" s="50">
        <v>0</v>
      </c>
      <c r="T21" s="50">
        <v>0</v>
      </c>
      <c r="U21" s="46" t="s">
        <v>223</v>
      </c>
      <c r="V21" s="46" t="s">
        <v>38</v>
      </c>
      <c r="W21" s="47"/>
    </row>
    <row r="22" spans="1:23" s="48" customFormat="1" ht="21.6" customHeight="1">
      <c r="A22" s="59" t="s">
        <v>39</v>
      </c>
      <c r="B22" s="60">
        <f t="shared" ref="B22:T22" si="1">SUM(B15:B21)</f>
        <v>805</v>
      </c>
      <c r="C22" s="61">
        <f t="shared" si="1"/>
        <v>22.116499999999998</v>
      </c>
      <c r="D22" s="61">
        <f t="shared" si="1"/>
        <v>23.093500000000002</v>
      </c>
      <c r="E22" s="61">
        <f t="shared" si="1"/>
        <v>122.29400000000001</v>
      </c>
      <c r="F22" s="61">
        <f t="shared" si="1"/>
        <v>796.07</v>
      </c>
      <c r="G22" s="61">
        <f t="shared" si="1"/>
        <v>0.43562500000000004</v>
      </c>
      <c r="H22" s="61">
        <f t="shared" si="1"/>
        <v>19.010000000000005</v>
      </c>
      <c r="I22" s="61">
        <f t="shared" si="1"/>
        <v>0.33000000000000007</v>
      </c>
      <c r="J22" s="61">
        <f t="shared" si="1"/>
        <v>7.16</v>
      </c>
      <c r="K22" s="61">
        <f t="shared" si="1"/>
        <v>0.1</v>
      </c>
      <c r="L22" s="61">
        <f t="shared" si="1"/>
        <v>0.35600000000000009</v>
      </c>
      <c r="M22" s="61">
        <f t="shared" si="1"/>
        <v>188.82187500000001</v>
      </c>
      <c r="N22" s="61">
        <f t="shared" si="1"/>
        <v>119.969375</v>
      </c>
      <c r="O22" s="61">
        <f t="shared" si="1"/>
        <v>388.21812500000004</v>
      </c>
      <c r="P22" s="61">
        <f t="shared" si="1"/>
        <v>6.5056250000000002</v>
      </c>
      <c r="Q22" s="61">
        <f t="shared" si="1"/>
        <v>1637.8181250000002</v>
      </c>
      <c r="R22" s="61">
        <f t="shared" si="1"/>
        <v>109.33</v>
      </c>
      <c r="S22" s="61">
        <f t="shared" si="1"/>
        <v>0.47000000000000003</v>
      </c>
      <c r="T22" s="61">
        <f t="shared" si="1"/>
        <v>0.01</v>
      </c>
      <c r="U22" s="60"/>
      <c r="V22" s="62"/>
    </row>
    <row r="23" spans="1:23" s="48" customFormat="1" ht="14.65" customHeight="1">
      <c r="A23" s="98" t="s">
        <v>52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100"/>
      <c r="W23" s="47"/>
    </row>
    <row r="24" spans="1:23" s="48" customFormat="1" ht="25.5" customHeight="1">
      <c r="A24" s="43" t="s">
        <v>261</v>
      </c>
      <c r="B24" s="44">
        <v>170</v>
      </c>
      <c r="C24" s="49">
        <f>7.3*150/130</f>
        <v>8.4230769230769234</v>
      </c>
      <c r="D24" s="49">
        <f>6.9*150/130</f>
        <v>7.9615384615384617</v>
      </c>
      <c r="E24" s="49">
        <f>20.8*150/130</f>
        <v>24</v>
      </c>
      <c r="F24" s="49">
        <f>199.7*150/130</f>
        <v>230.42307692307693</v>
      </c>
      <c r="G24" s="50">
        <v>0.12</v>
      </c>
      <c r="H24" s="50">
        <v>7.7</v>
      </c>
      <c r="I24" s="50">
        <v>2.89</v>
      </c>
      <c r="J24" s="50">
        <v>2.36</v>
      </c>
      <c r="K24" s="50">
        <v>0.26</v>
      </c>
      <c r="L24" s="50">
        <v>0.73</v>
      </c>
      <c r="M24" s="50">
        <v>24.5</v>
      </c>
      <c r="N24" s="50">
        <v>25.84</v>
      </c>
      <c r="O24" s="50">
        <v>184.92</v>
      </c>
      <c r="P24" s="50">
        <v>3.36</v>
      </c>
      <c r="Q24" s="50">
        <v>249.5</v>
      </c>
      <c r="R24" s="50">
        <v>6.45</v>
      </c>
      <c r="S24" s="50">
        <v>0.11</v>
      </c>
      <c r="T24" s="50">
        <v>0.02</v>
      </c>
      <c r="U24" s="46" t="s">
        <v>229</v>
      </c>
      <c r="V24" s="46" t="s">
        <v>53</v>
      </c>
      <c r="W24" s="47"/>
    </row>
    <row r="25" spans="1:23" s="48" customFormat="1" ht="26.25" customHeight="1">
      <c r="A25" s="63" t="s">
        <v>114</v>
      </c>
      <c r="B25" s="64">
        <v>180</v>
      </c>
      <c r="C25" s="45">
        <v>0.16</v>
      </c>
      <c r="D25" s="45">
        <v>0.01</v>
      </c>
      <c r="E25" s="45">
        <v>7.35</v>
      </c>
      <c r="F25" s="45">
        <v>31.15</v>
      </c>
      <c r="G25" s="45">
        <v>0</v>
      </c>
      <c r="H25" s="45">
        <v>2.83</v>
      </c>
      <c r="I25" s="45">
        <v>0</v>
      </c>
      <c r="J25" s="45">
        <v>0</v>
      </c>
      <c r="K25" s="45">
        <v>0</v>
      </c>
      <c r="L25" s="45">
        <v>0</v>
      </c>
      <c r="M25" s="45">
        <v>14.2</v>
      </c>
      <c r="N25" s="45">
        <v>2.4</v>
      </c>
      <c r="O25" s="45">
        <v>4.4000000000000004</v>
      </c>
      <c r="P25" s="45">
        <v>0.36</v>
      </c>
      <c r="Q25" s="45">
        <v>21.3</v>
      </c>
      <c r="R25" s="45">
        <v>12</v>
      </c>
      <c r="S25" s="45">
        <v>0</v>
      </c>
      <c r="T25" s="45">
        <v>0</v>
      </c>
      <c r="U25" s="58" t="s">
        <v>100</v>
      </c>
      <c r="V25" s="46" t="s">
        <v>29</v>
      </c>
      <c r="W25" s="47"/>
    </row>
    <row r="26" spans="1:23" s="48" customFormat="1" ht="24.75" customHeight="1">
      <c r="A26" s="43" t="s">
        <v>37</v>
      </c>
      <c r="B26" s="44">
        <v>20</v>
      </c>
      <c r="C26" s="49">
        <v>1.1200000000000001</v>
      </c>
      <c r="D26" s="49">
        <v>0.22</v>
      </c>
      <c r="E26" s="49">
        <v>9.8800000000000008</v>
      </c>
      <c r="F26" s="49">
        <v>45.98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46" t="s">
        <v>223</v>
      </c>
      <c r="V26" s="46" t="s">
        <v>38</v>
      </c>
      <c r="W26" s="47"/>
    </row>
    <row r="27" spans="1:23" s="48" customFormat="1" ht="12.2" customHeight="1">
      <c r="A27" s="51" t="s">
        <v>39</v>
      </c>
      <c r="B27" s="52">
        <f t="shared" ref="B27:T27" si="2">SUM(B24:B26)</f>
        <v>370</v>
      </c>
      <c r="C27" s="53">
        <f t="shared" si="2"/>
        <v>9.7030769230769245</v>
      </c>
      <c r="D27" s="53">
        <f t="shared" si="2"/>
        <v>8.1915384615384621</v>
      </c>
      <c r="E27" s="53">
        <f t="shared" si="2"/>
        <v>41.230000000000004</v>
      </c>
      <c r="F27" s="53">
        <f t="shared" si="2"/>
        <v>307.55307692307696</v>
      </c>
      <c r="G27" s="53">
        <f t="shared" si="2"/>
        <v>0.12</v>
      </c>
      <c r="H27" s="53">
        <f t="shared" si="2"/>
        <v>10.530000000000001</v>
      </c>
      <c r="I27" s="53">
        <f t="shared" si="2"/>
        <v>2.89</v>
      </c>
      <c r="J27" s="53">
        <f t="shared" si="2"/>
        <v>2.36</v>
      </c>
      <c r="K27" s="53">
        <f t="shared" si="2"/>
        <v>0.26</v>
      </c>
      <c r="L27" s="53">
        <f t="shared" si="2"/>
        <v>0.73</v>
      </c>
      <c r="M27" s="53">
        <f t="shared" si="2"/>
        <v>38.700000000000003</v>
      </c>
      <c r="N27" s="53">
        <f t="shared" si="2"/>
        <v>28.24</v>
      </c>
      <c r="O27" s="53">
        <f t="shared" si="2"/>
        <v>189.32</v>
      </c>
      <c r="P27" s="53">
        <f t="shared" si="2"/>
        <v>3.7199999999999998</v>
      </c>
      <c r="Q27" s="53">
        <f t="shared" si="2"/>
        <v>270.8</v>
      </c>
      <c r="R27" s="53">
        <f t="shared" si="2"/>
        <v>18.45</v>
      </c>
      <c r="S27" s="53">
        <f t="shared" si="2"/>
        <v>0.11</v>
      </c>
      <c r="T27" s="53">
        <f t="shared" si="2"/>
        <v>0.02</v>
      </c>
      <c r="U27" s="54"/>
      <c r="V27" s="54"/>
      <c r="W27" s="47"/>
    </row>
    <row r="28" spans="1:23" s="48" customFormat="1" ht="21.6" customHeight="1">
      <c r="A28" s="51" t="s">
        <v>56</v>
      </c>
      <c r="B28" s="65"/>
      <c r="C28" s="66">
        <f t="shared" ref="C28:T28" si="3">C27+C22+C13</f>
        <v>47.057576923076923</v>
      </c>
      <c r="D28" s="66">
        <f t="shared" si="3"/>
        <v>48.965752747252751</v>
      </c>
      <c r="E28" s="66">
        <f t="shared" si="3"/>
        <v>236.25828571428571</v>
      </c>
      <c r="F28" s="66">
        <f t="shared" si="3"/>
        <v>1635.2173626373628</v>
      </c>
      <c r="G28" s="66">
        <f t="shared" si="3"/>
        <v>0.74705357142857143</v>
      </c>
      <c r="H28" s="66">
        <f t="shared" si="3"/>
        <v>41.625714285714295</v>
      </c>
      <c r="I28" s="66">
        <f t="shared" si="3"/>
        <v>42.348571428571418</v>
      </c>
      <c r="J28" s="66">
        <f t="shared" si="3"/>
        <v>11.629999999999999</v>
      </c>
      <c r="K28" s="66">
        <f t="shared" si="3"/>
        <v>0.65999999999999992</v>
      </c>
      <c r="L28" s="66">
        <f t="shared" si="3"/>
        <v>1.4226666666666667</v>
      </c>
      <c r="M28" s="66">
        <f t="shared" si="3"/>
        <v>549.791875</v>
      </c>
      <c r="N28" s="66">
        <f t="shared" si="3"/>
        <v>213.36747023809522</v>
      </c>
      <c r="O28" s="66">
        <f t="shared" si="3"/>
        <v>877.46383928571436</v>
      </c>
      <c r="P28" s="66">
        <f t="shared" si="3"/>
        <v>14.172767857142858</v>
      </c>
      <c r="Q28" s="66">
        <f t="shared" si="3"/>
        <v>2543.6200297619052</v>
      </c>
      <c r="R28" s="66">
        <f t="shared" si="3"/>
        <v>141.81</v>
      </c>
      <c r="S28" s="66">
        <f t="shared" si="3"/>
        <v>0.6100000000000001</v>
      </c>
      <c r="T28" s="66">
        <f t="shared" si="3"/>
        <v>0.03</v>
      </c>
      <c r="U28" s="54"/>
      <c r="V28" s="54"/>
      <c r="W28" s="47"/>
    </row>
    <row r="29" spans="1:23" s="48" customFormat="1" ht="28.35" customHeight="1">
      <c r="A29" s="93" t="s">
        <v>263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47"/>
    </row>
    <row r="30" spans="1:23" s="7" customFormat="1" ht="13.35" customHeight="1">
      <c r="A30" s="95" t="s">
        <v>1</v>
      </c>
      <c r="B30" s="95" t="s">
        <v>2</v>
      </c>
      <c r="C30" s="103" t="s">
        <v>3</v>
      </c>
      <c r="D30" s="103"/>
      <c r="E30" s="103"/>
      <c r="F30" s="103" t="s">
        <v>4</v>
      </c>
      <c r="G30" s="103" t="s">
        <v>5</v>
      </c>
      <c r="H30" s="103"/>
      <c r="I30" s="103"/>
      <c r="J30" s="103"/>
      <c r="K30" s="103"/>
      <c r="L30" s="103"/>
      <c r="M30" s="103" t="s">
        <v>6</v>
      </c>
      <c r="N30" s="103"/>
      <c r="O30" s="103"/>
      <c r="P30" s="103"/>
      <c r="Q30" s="103"/>
      <c r="R30" s="103"/>
      <c r="S30" s="103"/>
      <c r="T30" s="103"/>
      <c r="U30" s="95" t="s">
        <v>7</v>
      </c>
      <c r="V30" s="95" t="s">
        <v>8</v>
      </c>
    </row>
    <row r="31" spans="1:23" s="7" customFormat="1" ht="26.65" customHeight="1">
      <c r="A31" s="95"/>
      <c r="B31" s="95"/>
      <c r="C31" s="67" t="s">
        <v>9</v>
      </c>
      <c r="D31" s="67" t="s">
        <v>10</v>
      </c>
      <c r="E31" s="67" t="s">
        <v>11</v>
      </c>
      <c r="F31" s="103"/>
      <c r="G31" s="67" t="s">
        <v>12</v>
      </c>
      <c r="H31" s="67" t="s">
        <v>13</v>
      </c>
      <c r="I31" s="67" t="s">
        <v>14</v>
      </c>
      <c r="J31" s="67" t="s">
        <v>15</v>
      </c>
      <c r="K31" s="67" t="s">
        <v>16</v>
      </c>
      <c r="L31" s="67" t="s">
        <v>17</v>
      </c>
      <c r="M31" s="67" t="s">
        <v>18</v>
      </c>
      <c r="N31" s="67" t="s">
        <v>19</v>
      </c>
      <c r="O31" s="67" t="s">
        <v>20</v>
      </c>
      <c r="P31" s="67" t="s">
        <v>21</v>
      </c>
      <c r="Q31" s="67" t="s">
        <v>22</v>
      </c>
      <c r="R31" s="67" t="s">
        <v>23</v>
      </c>
      <c r="S31" s="67" t="s">
        <v>24</v>
      </c>
      <c r="T31" s="67" t="s">
        <v>25</v>
      </c>
      <c r="U31" s="95"/>
      <c r="V31" s="95"/>
    </row>
    <row r="32" spans="1:23" s="48" customFormat="1" ht="14.65" customHeight="1">
      <c r="A32" s="98" t="s">
        <v>26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100"/>
      <c r="W32" s="47"/>
    </row>
    <row r="33" spans="1:23" s="48" customFormat="1" ht="31.5" customHeight="1">
      <c r="A33" s="43" t="s">
        <v>58</v>
      </c>
      <c r="B33" s="44">
        <v>60</v>
      </c>
      <c r="C33" s="45">
        <f>0.35*60/50</f>
        <v>0.42</v>
      </c>
      <c r="D33" s="45">
        <f>0.05*60/50</f>
        <v>0.06</v>
      </c>
      <c r="E33" s="45">
        <f>0.95*60/50</f>
        <v>1.1399999999999999</v>
      </c>
      <c r="F33" s="45">
        <f>6*60/50</f>
        <v>7.2</v>
      </c>
      <c r="G33" s="45">
        <v>0.02</v>
      </c>
      <c r="H33" s="45">
        <v>2.4500000000000002</v>
      </c>
      <c r="I33" s="45">
        <v>0</v>
      </c>
      <c r="J33" s="45">
        <v>0</v>
      </c>
      <c r="K33" s="45">
        <v>0</v>
      </c>
      <c r="L33" s="45">
        <v>0.01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6" t="s">
        <v>59</v>
      </c>
      <c r="V33" s="46" t="s">
        <v>29</v>
      </c>
      <c r="W33" s="47"/>
    </row>
    <row r="34" spans="1:23" s="48" customFormat="1" ht="31.5" customHeight="1">
      <c r="A34" s="43" t="s">
        <v>60</v>
      </c>
      <c r="B34" s="44">
        <v>150</v>
      </c>
      <c r="C34" s="49">
        <v>3.8</v>
      </c>
      <c r="D34" s="49">
        <v>4.3</v>
      </c>
      <c r="E34" s="49">
        <v>27.6</v>
      </c>
      <c r="F34" s="49">
        <v>142.5</v>
      </c>
      <c r="G34" s="50">
        <v>0.1</v>
      </c>
      <c r="H34" s="50">
        <v>0.21</v>
      </c>
      <c r="I34" s="50">
        <v>0.02</v>
      </c>
      <c r="J34" s="50">
        <v>1.36</v>
      </c>
      <c r="K34" s="50">
        <v>0.06</v>
      </c>
      <c r="L34" s="50">
        <v>0.04</v>
      </c>
      <c r="M34" s="50">
        <v>46.8</v>
      </c>
      <c r="N34" s="50">
        <v>23.36</v>
      </c>
      <c r="O34" s="50">
        <v>150.53</v>
      </c>
      <c r="P34" s="50">
        <v>0.95</v>
      </c>
      <c r="Q34" s="50">
        <v>107.94</v>
      </c>
      <c r="R34" s="50">
        <v>0.13</v>
      </c>
      <c r="S34" s="50">
        <v>0.04</v>
      </c>
      <c r="T34" s="50">
        <v>0.02</v>
      </c>
      <c r="U34" s="46" t="s">
        <v>140</v>
      </c>
      <c r="V34" s="46" t="s">
        <v>53</v>
      </c>
      <c r="W34" s="47"/>
    </row>
    <row r="35" spans="1:23" s="48" customFormat="1" ht="26.25" customHeight="1">
      <c r="A35" s="43" t="s">
        <v>61</v>
      </c>
      <c r="B35" s="44">
        <v>95</v>
      </c>
      <c r="C35" s="45">
        <f>4.59*95/46</f>
        <v>9.4793478260869559</v>
      </c>
      <c r="D35" s="45">
        <f>7.68*95/46</f>
        <v>15.860869565217392</v>
      </c>
      <c r="E35" s="45">
        <f>4.21*95/46</f>
        <v>8.6945652173913039</v>
      </c>
      <c r="F35" s="45">
        <f>105*95/46</f>
        <v>216.84782608695653</v>
      </c>
      <c r="G35" s="45">
        <f>0.07*95/46</f>
        <v>0.14456521739130435</v>
      </c>
      <c r="H35" s="45">
        <v>0.09</v>
      </c>
      <c r="I35" s="45">
        <f>21.4*95/46</f>
        <v>44.195652173913039</v>
      </c>
      <c r="J35" s="45">
        <v>2.69</v>
      </c>
      <c r="K35" s="45">
        <v>0.02</v>
      </c>
      <c r="L35" s="45">
        <f>0.04*95/46</f>
        <v>8.2608695652173922E-2</v>
      </c>
      <c r="M35" s="45">
        <f>8.09*95/46</f>
        <v>16.707608695652173</v>
      </c>
      <c r="N35" s="45">
        <f>8.22*95/46</f>
        <v>16.97608695652174</v>
      </c>
      <c r="O35" s="45">
        <f>54.96*95/46</f>
        <v>113.50434782608696</v>
      </c>
      <c r="P35" s="45">
        <f>0.88*95/46</f>
        <v>1.817391304347826</v>
      </c>
      <c r="Q35" s="45">
        <f>73.69*95/46</f>
        <v>152.18586956521739</v>
      </c>
      <c r="R35" s="45">
        <v>5.65</v>
      </c>
      <c r="S35" s="45">
        <v>0.04</v>
      </c>
      <c r="T35" s="45">
        <v>0</v>
      </c>
      <c r="U35" s="46" t="s">
        <v>62</v>
      </c>
      <c r="V35" s="46" t="s">
        <v>29</v>
      </c>
      <c r="W35" s="47"/>
    </row>
    <row r="36" spans="1:23" s="48" customFormat="1" ht="17.25" customHeight="1">
      <c r="A36" s="43" t="s">
        <v>287</v>
      </c>
      <c r="B36" s="44">
        <v>200</v>
      </c>
      <c r="C36" s="49">
        <v>1</v>
      </c>
      <c r="D36" s="49">
        <v>0</v>
      </c>
      <c r="E36" s="49">
        <v>20.2</v>
      </c>
      <c r="F36" s="49">
        <v>84.8</v>
      </c>
      <c r="G36" s="50">
        <v>0.03</v>
      </c>
      <c r="H36" s="50">
        <v>1.6</v>
      </c>
      <c r="I36" s="50">
        <v>0</v>
      </c>
      <c r="J36" s="50">
        <v>0</v>
      </c>
      <c r="K36" s="50">
        <v>0</v>
      </c>
      <c r="L36" s="50">
        <v>0.02</v>
      </c>
      <c r="M36" s="50">
        <v>36</v>
      </c>
      <c r="N36" s="50">
        <v>16.2</v>
      </c>
      <c r="O36" s="50">
        <v>21.6</v>
      </c>
      <c r="P36" s="50">
        <v>0.72</v>
      </c>
      <c r="Q36" s="50">
        <v>300</v>
      </c>
      <c r="R36" s="50">
        <v>12</v>
      </c>
      <c r="S36" s="50">
        <v>0</v>
      </c>
      <c r="T36" s="50">
        <v>0</v>
      </c>
      <c r="U36" s="46" t="s">
        <v>100</v>
      </c>
      <c r="V36" s="46">
        <v>2017</v>
      </c>
      <c r="W36" s="47"/>
    </row>
    <row r="37" spans="1:23" s="48" customFormat="1" ht="20.25" customHeight="1">
      <c r="A37" s="43" t="s">
        <v>51</v>
      </c>
      <c r="B37" s="44">
        <v>20</v>
      </c>
      <c r="C37" s="49">
        <v>1.53</v>
      </c>
      <c r="D37" s="49">
        <v>0.12</v>
      </c>
      <c r="E37" s="49">
        <v>10.039999999999999</v>
      </c>
      <c r="F37" s="49">
        <v>47.36</v>
      </c>
      <c r="G37" s="50">
        <v>0.03</v>
      </c>
      <c r="H37" s="50">
        <v>0</v>
      </c>
      <c r="I37" s="50">
        <v>0</v>
      </c>
      <c r="J37" s="50">
        <v>0.39</v>
      </c>
      <c r="K37" s="50">
        <v>0</v>
      </c>
      <c r="L37" s="50">
        <v>0.01</v>
      </c>
      <c r="M37" s="50">
        <v>4.5999999999999996</v>
      </c>
      <c r="N37" s="50">
        <v>6.6</v>
      </c>
      <c r="O37" s="50">
        <v>16.8</v>
      </c>
      <c r="P37" s="50">
        <v>0.4</v>
      </c>
      <c r="Q37" s="50">
        <v>25.8</v>
      </c>
      <c r="R37" s="50">
        <v>0</v>
      </c>
      <c r="S37" s="50">
        <v>0</v>
      </c>
      <c r="T37" s="50">
        <v>0</v>
      </c>
      <c r="U37" s="46" t="s">
        <v>223</v>
      </c>
      <c r="V37" s="46" t="s">
        <v>38</v>
      </c>
      <c r="W37" s="47"/>
    </row>
    <row r="38" spans="1:23" s="48" customFormat="1" ht="17.25" customHeight="1">
      <c r="A38" s="43" t="s">
        <v>37</v>
      </c>
      <c r="B38" s="44">
        <v>20</v>
      </c>
      <c r="C38" s="49">
        <v>1.1200000000000001</v>
      </c>
      <c r="D38" s="49">
        <v>0.22</v>
      </c>
      <c r="E38" s="49">
        <v>9.8800000000000008</v>
      </c>
      <c r="F38" s="49">
        <v>45.98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46" t="s">
        <v>223</v>
      </c>
      <c r="V38" s="46" t="s">
        <v>38</v>
      </c>
      <c r="W38" s="47"/>
    </row>
    <row r="39" spans="1:23" s="48" customFormat="1" ht="12.2" customHeight="1">
      <c r="A39" s="51" t="s">
        <v>39</v>
      </c>
      <c r="B39" s="52">
        <f t="shared" ref="B39:T39" si="4">SUM(B33:B38)</f>
        <v>545</v>
      </c>
      <c r="C39" s="53">
        <f t="shared" si="4"/>
        <v>17.349347826086959</v>
      </c>
      <c r="D39" s="53">
        <f t="shared" si="4"/>
        <v>20.560869565217391</v>
      </c>
      <c r="E39" s="53">
        <f t="shared" si="4"/>
        <v>77.554565217391314</v>
      </c>
      <c r="F39" s="53">
        <f t="shared" si="4"/>
        <v>544.68782608695653</v>
      </c>
      <c r="G39" s="53">
        <f t="shared" si="4"/>
        <v>0.32456521739130439</v>
      </c>
      <c r="H39" s="53">
        <f t="shared" si="4"/>
        <v>4.3499999999999996</v>
      </c>
      <c r="I39" s="53">
        <f t="shared" si="4"/>
        <v>44.215652173913043</v>
      </c>
      <c r="J39" s="53">
        <f t="shared" si="4"/>
        <v>4.4399999999999995</v>
      </c>
      <c r="K39" s="53">
        <f t="shared" si="4"/>
        <v>0.08</v>
      </c>
      <c r="L39" s="53">
        <f t="shared" si="4"/>
        <v>0.16260869565217392</v>
      </c>
      <c r="M39" s="53">
        <f t="shared" si="4"/>
        <v>104.10760869565216</v>
      </c>
      <c r="N39" s="53">
        <f t="shared" si="4"/>
        <v>63.136086956521744</v>
      </c>
      <c r="O39" s="53">
        <f t="shared" si="4"/>
        <v>302.43434782608699</v>
      </c>
      <c r="P39" s="53">
        <f t="shared" si="4"/>
        <v>3.8873913043478256</v>
      </c>
      <c r="Q39" s="53">
        <f t="shared" si="4"/>
        <v>585.92586956521734</v>
      </c>
      <c r="R39" s="53">
        <f t="shared" si="4"/>
        <v>17.78</v>
      </c>
      <c r="S39" s="53">
        <f t="shared" si="4"/>
        <v>0.08</v>
      </c>
      <c r="T39" s="53">
        <f t="shared" si="4"/>
        <v>0.02</v>
      </c>
      <c r="U39" s="54"/>
      <c r="V39" s="54"/>
      <c r="W39" s="47"/>
    </row>
    <row r="40" spans="1:23" s="48" customFormat="1" ht="14.65" customHeight="1">
      <c r="A40" s="98" t="s">
        <v>40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100"/>
      <c r="W40" s="47"/>
    </row>
    <row r="41" spans="1:23" s="48" customFormat="1" ht="24.75" customHeight="1">
      <c r="A41" s="43" t="s">
        <v>65</v>
      </c>
      <c r="B41" s="44">
        <v>60</v>
      </c>
      <c r="C41" s="45">
        <v>0.9</v>
      </c>
      <c r="D41" s="45">
        <v>4.7</v>
      </c>
      <c r="E41" s="45">
        <v>11.4</v>
      </c>
      <c r="F41" s="45">
        <v>74.5</v>
      </c>
      <c r="G41" s="45">
        <v>0.02</v>
      </c>
      <c r="H41" s="45">
        <v>2</v>
      </c>
      <c r="I41" s="45">
        <v>0</v>
      </c>
      <c r="J41" s="45">
        <v>1.58</v>
      </c>
      <c r="K41" s="45">
        <v>0</v>
      </c>
      <c r="L41" s="45">
        <v>0.02</v>
      </c>
      <c r="M41" s="45">
        <v>22.41</v>
      </c>
      <c r="N41" s="45">
        <v>12.92</v>
      </c>
      <c r="O41" s="45">
        <v>28.71</v>
      </c>
      <c r="P41" s="45">
        <v>0.85</v>
      </c>
      <c r="Q41" s="45">
        <v>210.4</v>
      </c>
      <c r="R41" s="45">
        <v>3.5</v>
      </c>
      <c r="S41" s="45">
        <v>0.01</v>
      </c>
      <c r="T41" s="45">
        <v>0</v>
      </c>
      <c r="U41" s="46" t="s">
        <v>203</v>
      </c>
      <c r="V41" s="46">
        <v>2022</v>
      </c>
      <c r="W41" s="47"/>
    </row>
    <row r="42" spans="1:23" s="48" customFormat="1" ht="25.5" customHeight="1">
      <c r="A42" s="43" t="s">
        <v>66</v>
      </c>
      <c r="B42" s="44">
        <v>200</v>
      </c>
      <c r="C42" s="45">
        <f>7.02*0.2</f>
        <v>1.4039999999999999</v>
      </c>
      <c r="D42" s="45">
        <f>19.54*0.2</f>
        <v>3.9079999999999999</v>
      </c>
      <c r="E42" s="45">
        <f>23.6*0.2</f>
        <v>4.7200000000000006</v>
      </c>
      <c r="F42" s="45">
        <f>320*0.2</f>
        <v>64</v>
      </c>
      <c r="G42" s="45">
        <f>0.15*0.2</f>
        <v>0.03</v>
      </c>
      <c r="H42" s="45">
        <v>10.95</v>
      </c>
      <c r="I42" s="45">
        <v>0.15</v>
      </c>
      <c r="J42" s="45">
        <v>1.78</v>
      </c>
      <c r="K42" s="45">
        <v>0</v>
      </c>
      <c r="L42" s="45">
        <v>0.03</v>
      </c>
      <c r="M42" s="45">
        <f>202.9*0.2</f>
        <v>40.580000000000005</v>
      </c>
      <c r="N42" s="45">
        <f>75*0.2</f>
        <v>15</v>
      </c>
      <c r="O42" s="45">
        <f>155.4*0.2</f>
        <v>31.080000000000002</v>
      </c>
      <c r="P42" s="45">
        <f>2.7*0.2</f>
        <v>0.54</v>
      </c>
      <c r="Q42" s="45">
        <f>1082.2*0.2</f>
        <v>216.44000000000003</v>
      </c>
      <c r="R42" s="45">
        <v>2.33</v>
      </c>
      <c r="S42" s="45">
        <v>0.01</v>
      </c>
      <c r="T42" s="45">
        <v>0</v>
      </c>
      <c r="U42" s="46" t="s">
        <v>67</v>
      </c>
      <c r="V42" s="46" t="s">
        <v>29</v>
      </c>
      <c r="W42" s="47"/>
    </row>
    <row r="43" spans="1:23" s="48" customFormat="1" ht="25.5" customHeight="1">
      <c r="A43" s="43" t="s">
        <v>253</v>
      </c>
      <c r="B43" s="44">
        <v>150</v>
      </c>
      <c r="C43" s="45">
        <v>13.91</v>
      </c>
      <c r="D43" s="45">
        <v>8.0500000000000007</v>
      </c>
      <c r="E43" s="45">
        <v>27.34</v>
      </c>
      <c r="F43" s="45">
        <v>237</v>
      </c>
      <c r="G43" s="45">
        <v>0.11</v>
      </c>
      <c r="H43" s="45">
        <v>1.79</v>
      </c>
      <c r="I43" s="45">
        <v>0.21</v>
      </c>
      <c r="J43" s="45">
        <v>3.34</v>
      </c>
      <c r="K43" s="45">
        <v>0</v>
      </c>
      <c r="L43" s="45">
        <v>0.11</v>
      </c>
      <c r="M43" s="45">
        <v>27.07</v>
      </c>
      <c r="N43" s="45">
        <v>45</v>
      </c>
      <c r="O43" s="45">
        <v>142</v>
      </c>
      <c r="P43" s="45">
        <v>1.4</v>
      </c>
      <c r="Q43" s="45">
        <v>230.3</v>
      </c>
      <c r="R43" s="45">
        <v>5.43</v>
      </c>
      <c r="S43" s="45">
        <v>0.1</v>
      </c>
      <c r="T43" s="45">
        <v>0.02</v>
      </c>
      <c r="U43" s="46" t="s">
        <v>68</v>
      </c>
      <c r="V43" s="46" t="s">
        <v>29</v>
      </c>
      <c r="W43" s="47"/>
    </row>
    <row r="44" spans="1:23" s="48" customFormat="1" ht="23.25" customHeight="1">
      <c r="A44" s="43" t="s">
        <v>289</v>
      </c>
      <c r="B44" s="44">
        <v>180</v>
      </c>
      <c r="C44" s="49">
        <v>5.22</v>
      </c>
      <c r="D44" s="49">
        <v>4.5</v>
      </c>
      <c r="E44" s="49">
        <v>7.2</v>
      </c>
      <c r="F44" s="49">
        <v>95.4</v>
      </c>
      <c r="G44" s="50">
        <v>7.0000000000000007E-2</v>
      </c>
      <c r="H44" s="50">
        <v>1.26</v>
      </c>
      <c r="I44" s="50">
        <v>0.05</v>
      </c>
      <c r="J44" s="50">
        <v>0.13</v>
      </c>
      <c r="K44" s="50">
        <v>0</v>
      </c>
      <c r="L44" s="50">
        <v>0.31</v>
      </c>
      <c r="M44" s="50">
        <v>216</v>
      </c>
      <c r="N44" s="50">
        <v>25.2</v>
      </c>
      <c r="O44" s="50">
        <v>171</v>
      </c>
      <c r="P44" s="50">
        <v>0.18</v>
      </c>
      <c r="Q44" s="50">
        <v>262.8</v>
      </c>
      <c r="R44" s="50">
        <v>16.2</v>
      </c>
      <c r="S44" s="50">
        <v>0.04</v>
      </c>
      <c r="T44" s="50">
        <v>0</v>
      </c>
      <c r="U44" s="46" t="s">
        <v>223</v>
      </c>
      <c r="V44" s="46">
        <v>2017</v>
      </c>
      <c r="W44" s="47"/>
    </row>
    <row r="45" spans="1:23" s="48" customFormat="1" ht="20.25" customHeight="1">
      <c r="A45" s="43" t="s">
        <v>290</v>
      </c>
      <c r="B45" s="44">
        <v>150</v>
      </c>
      <c r="C45" s="45">
        <v>1.35</v>
      </c>
      <c r="D45" s="45">
        <v>0.3</v>
      </c>
      <c r="E45" s="45">
        <v>12.15</v>
      </c>
      <c r="F45" s="45">
        <v>64.5</v>
      </c>
      <c r="G45" s="45">
        <v>0.06</v>
      </c>
      <c r="H45" s="45">
        <v>90</v>
      </c>
      <c r="I45" s="45">
        <v>0.02</v>
      </c>
      <c r="J45" s="45">
        <v>0.33</v>
      </c>
      <c r="K45" s="45">
        <v>0</v>
      </c>
      <c r="L45" s="45">
        <v>0.05</v>
      </c>
      <c r="M45" s="45">
        <v>51</v>
      </c>
      <c r="N45" s="45">
        <v>19.5</v>
      </c>
      <c r="O45" s="45">
        <v>34.5</v>
      </c>
      <c r="P45" s="45">
        <v>0.45</v>
      </c>
      <c r="Q45" s="45">
        <v>295.5</v>
      </c>
      <c r="R45" s="45">
        <v>3</v>
      </c>
      <c r="S45" s="45">
        <v>0.03</v>
      </c>
      <c r="T45" s="45">
        <v>0</v>
      </c>
      <c r="U45" s="58" t="s">
        <v>251</v>
      </c>
      <c r="V45" s="46" t="s">
        <v>29</v>
      </c>
      <c r="W45" s="47"/>
    </row>
    <row r="46" spans="1:23" s="48" customFormat="1" ht="23.25" customHeight="1">
      <c r="A46" s="43" t="s">
        <v>51</v>
      </c>
      <c r="B46" s="44">
        <v>30</v>
      </c>
      <c r="C46" s="45">
        <v>2.2999999999999998</v>
      </c>
      <c r="D46" s="45">
        <v>0.19</v>
      </c>
      <c r="E46" s="45">
        <v>15.05</v>
      </c>
      <c r="F46" s="45">
        <v>71.05</v>
      </c>
      <c r="G46" s="45">
        <v>0.05</v>
      </c>
      <c r="H46" s="45">
        <v>0</v>
      </c>
      <c r="I46" s="45">
        <v>0</v>
      </c>
      <c r="J46" s="45">
        <v>0.59</v>
      </c>
      <c r="K46" s="45">
        <v>0</v>
      </c>
      <c r="L46" s="45">
        <v>0.02</v>
      </c>
      <c r="M46" s="45">
        <v>6.9</v>
      </c>
      <c r="N46" s="45">
        <v>9.9</v>
      </c>
      <c r="O46" s="45">
        <v>25.2</v>
      </c>
      <c r="P46" s="45">
        <v>0.6</v>
      </c>
      <c r="Q46" s="45">
        <v>38.700000000000003</v>
      </c>
      <c r="R46" s="45">
        <v>0</v>
      </c>
      <c r="S46" s="45">
        <v>0</v>
      </c>
      <c r="T46" s="45">
        <v>0</v>
      </c>
      <c r="U46" s="46" t="s">
        <v>223</v>
      </c>
      <c r="V46" s="46" t="s">
        <v>38</v>
      </c>
      <c r="W46" s="47"/>
    </row>
    <row r="47" spans="1:23" s="48" customFormat="1" ht="24.75" customHeight="1">
      <c r="A47" s="43" t="s">
        <v>37</v>
      </c>
      <c r="B47" s="44">
        <v>30</v>
      </c>
      <c r="C47" s="49">
        <v>1.99</v>
      </c>
      <c r="D47" s="49">
        <v>0.26</v>
      </c>
      <c r="E47" s="49">
        <v>12.72</v>
      </c>
      <c r="F47" s="49">
        <v>61.19</v>
      </c>
      <c r="G47" s="50">
        <v>0.05</v>
      </c>
      <c r="H47" s="50">
        <v>0</v>
      </c>
      <c r="I47" s="50">
        <v>0</v>
      </c>
      <c r="J47" s="50">
        <v>0.66</v>
      </c>
      <c r="K47" s="50">
        <v>0</v>
      </c>
      <c r="L47" s="50">
        <v>0.02</v>
      </c>
      <c r="M47" s="50">
        <v>5.4</v>
      </c>
      <c r="N47" s="50">
        <v>5.7</v>
      </c>
      <c r="O47" s="50">
        <v>26.1</v>
      </c>
      <c r="P47" s="50">
        <v>1.2</v>
      </c>
      <c r="Q47" s="50">
        <v>40.799999999999997</v>
      </c>
      <c r="R47" s="50">
        <v>1.68</v>
      </c>
      <c r="S47" s="50">
        <v>0</v>
      </c>
      <c r="T47" s="50">
        <v>0</v>
      </c>
      <c r="U47" s="46" t="s">
        <v>223</v>
      </c>
      <c r="V47" s="46" t="s">
        <v>38</v>
      </c>
      <c r="W47" s="47"/>
    </row>
    <row r="48" spans="1:23" s="48" customFormat="1" ht="21.75" customHeight="1">
      <c r="A48" s="43" t="s">
        <v>112</v>
      </c>
      <c r="B48" s="44">
        <v>200</v>
      </c>
      <c r="C48" s="45">
        <v>5.8</v>
      </c>
      <c r="D48" s="45">
        <v>5</v>
      </c>
      <c r="E48" s="45">
        <v>9.6</v>
      </c>
      <c r="F48" s="45">
        <v>107</v>
      </c>
      <c r="G48" s="45">
        <v>0.08</v>
      </c>
      <c r="H48" s="45">
        <v>2.6</v>
      </c>
      <c r="I48" s="45">
        <v>40</v>
      </c>
      <c r="J48" s="45">
        <v>0</v>
      </c>
      <c r="K48" s="45">
        <v>0</v>
      </c>
      <c r="L48" s="45">
        <v>0.03</v>
      </c>
      <c r="M48" s="45">
        <v>240</v>
      </c>
      <c r="N48" s="45">
        <v>28</v>
      </c>
      <c r="O48" s="45">
        <v>180</v>
      </c>
      <c r="P48" s="45">
        <v>0.2</v>
      </c>
      <c r="Q48" s="45">
        <v>292</v>
      </c>
      <c r="R48" s="45">
        <v>0</v>
      </c>
      <c r="S48" s="45">
        <v>0</v>
      </c>
      <c r="T48" s="45">
        <v>0</v>
      </c>
      <c r="U48" s="46" t="s">
        <v>223</v>
      </c>
      <c r="V48" s="46"/>
      <c r="W48" s="47"/>
    </row>
    <row r="49" spans="1:23" s="48" customFormat="1" ht="21.6" customHeight="1">
      <c r="A49" s="51" t="s">
        <v>39</v>
      </c>
      <c r="B49" s="52">
        <f>SUM(B41:B48)</f>
        <v>1000</v>
      </c>
      <c r="C49" s="52">
        <f t="shared" ref="C49:T49" si="5">SUM(C41:C48)</f>
        <v>32.873999999999995</v>
      </c>
      <c r="D49" s="52">
        <f t="shared" si="5"/>
        <v>26.908000000000005</v>
      </c>
      <c r="E49" s="52">
        <f t="shared" si="5"/>
        <v>100.17999999999999</v>
      </c>
      <c r="F49" s="52">
        <f t="shared" si="5"/>
        <v>774.63999999999987</v>
      </c>
      <c r="G49" s="52">
        <f t="shared" si="5"/>
        <v>0.47000000000000003</v>
      </c>
      <c r="H49" s="52">
        <f t="shared" si="5"/>
        <v>108.6</v>
      </c>
      <c r="I49" s="52">
        <f t="shared" si="5"/>
        <v>40.43</v>
      </c>
      <c r="J49" s="52">
        <f t="shared" si="5"/>
        <v>8.41</v>
      </c>
      <c r="K49" s="52">
        <f t="shared" si="5"/>
        <v>0</v>
      </c>
      <c r="L49" s="52">
        <f t="shared" si="5"/>
        <v>0.59000000000000008</v>
      </c>
      <c r="M49" s="52">
        <f t="shared" si="5"/>
        <v>609.3599999999999</v>
      </c>
      <c r="N49" s="52">
        <f t="shared" si="5"/>
        <v>161.22</v>
      </c>
      <c r="O49" s="52">
        <f t="shared" si="5"/>
        <v>638.59</v>
      </c>
      <c r="P49" s="52">
        <f t="shared" si="5"/>
        <v>5.4200000000000008</v>
      </c>
      <c r="Q49" s="52">
        <f t="shared" si="5"/>
        <v>1586.94</v>
      </c>
      <c r="R49" s="52">
        <f t="shared" si="5"/>
        <v>32.14</v>
      </c>
      <c r="S49" s="52">
        <f t="shared" si="5"/>
        <v>0.19</v>
      </c>
      <c r="T49" s="52">
        <f t="shared" si="5"/>
        <v>0.02</v>
      </c>
      <c r="U49" s="54"/>
      <c r="V49" s="54"/>
      <c r="W49" s="47"/>
    </row>
    <row r="50" spans="1:23" s="48" customFormat="1" ht="14.65" customHeight="1">
      <c r="A50" s="98" t="s">
        <v>52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100"/>
      <c r="W50" s="47"/>
    </row>
    <row r="51" spans="1:23" s="48" customFormat="1" ht="21.6" customHeight="1">
      <c r="A51" s="43" t="s">
        <v>220</v>
      </c>
      <c r="B51" s="44">
        <v>170</v>
      </c>
      <c r="C51" s="45">
        <v>3.2</v>
      </c>
      <c r="D51" s="45">
        <v>6.9</v>
      </c>
      <c r="E51" s="45">
        <v>19.3</v>
      </c>
      <c r="F51" s="45">
        <v>162</v>
      </c>
      <c r="G51" s="45">
        <v>0.08</v>
      </c>
      <c r="H51" s="45">
        <v>11.78</v>
      </c>
      <c r="I51" s="45">
        <v>0.38</v>
      </c>
      <c r="J51" s="45">
        <v>3.14</v>
      </c>
      <c r="K51" s="45">
        <v>0</v>
      </c>
      <c r="L51" s="45">
        <v>0</v>
      </c>
      <c r="M51" s="45">
        <v>52.35</v>
      </c>
      <c r="N51" s="45">
        <v>27.48</v>
      </c>
      <c r="O51" s="45">
        <v>57.58</v>
      </c>
      <c r="P51" s="45">
        <v>2.62</v>
      </c>
      <c r="Q51" s="45">
        <v>0</v>
      </c>
      <c r="R51" s="45">
        <v>0</v>
      </c>
      <c r="S51" s="45">
        <v>0</v>
      </c>
      <c r="T51" s="45">
        <v>0</v>
      </c>
      <c r="U51" s="46" t="s">
        <v>212</v>
      </c>
      <c r="V51" s="46">
        <v>2023</v>
      </c>
      <c r="W51" s="47"/>
    </row>
    <row r="52" spans="1:23" s="48" customFormat="1" ht="15.75" customHeight="1">
      <c r="A52" s="43" t="s">
        <v>78</v>
      </c>
      <c r="B52" s="44">
        <v>180</v>
      </c>
      <c r="C52" s="45">
        <v>0.59</v>
      </c>
      <c r="D52" s="45">
        <f>0.45*0.18</f>
        <v>8.1000000000000003E-2</v>
      </c>
      <c r="E52" s="45">
        <v>24.92</v>
      </c>
      <c r="F52" s="45">
        <v>119.52</v>
      </c>
      <c r="G52" s="45">
        <f>0.02*0.18</f>
        <v>3.5999999999999999E-3</v>
      </c>
      <c r="H52" s="45">
        <f>3.63*0.18</f>
        <v>0.65339999999999998</v>
      </c>
      <c r="I52" s="45">
        <v>0</v>
      </c>
      <c r="J52" s="45">
        <v>0</v>
      </c>
      <c r="K52" s="45">
        <v>0</v>
      </c>
      <c r="L52" s="45">
        <v>0</v>
      </c>
      <c r="M52" s="45">
        <f>162.4*0.18</f>
        <v>29.231999999999999</v>
      </c>
      <c r="N52" s="45">
        <f>87.3*0.18</f>
        <v>15.713999999999999</v>
      </c>
      <c r="O52" s="45">
        <f>117.2*0.18</f>
        <v>21.096</v>
      </c>
      <c r="P52" s="45">
        <f>3.49*0.18</f>
        <v>0.62819999999999998</v>
      </c>
      <c r="Q52" s="45">
        <f>1149*0.18</f>
        <v>206.82</v>
      </c>
      <c r="R52" s="45">
        <v>0</v>
      </c>
      <c r="S52" s="45">
        <v>0</v>
      </c>
      <c r="T52" s="45">
        <v>0</v>
      </c>
      <c r="U52" s="58" t="s">
        <v>79</v>
      </c>
      <c r="V52" s="46" t="s">
        <v>29</v>
      </c>
      <c r="W52" s="47"/>
    </row>
    <row r="53" spans="1:23" s="48" customFormat="1" ht="18.75" customHeight="1">
      <c r="A53" s="43" t="s">
        <v>51</v>
      </c>
      <c r="B53" s="44">
        <v>20</v>
      </c>
      <c r="C53" s="49">
        <v>1.53</v>
      </c>
      <c r="D53" s="49">
        <v>0.12</v>
      </c>
      <c r="E53" s="49">
        <v>10.039999999999999</v>
      </c>
      <c r="F53" s="49">
        <v>47.36</v>
      </c>
      <c r="G53" s="50">
        <v>0.03</v>
      </c>
      <c r="H53" s="50">
        <v>0</v>
      </c>
      <c r="I53" s="50">
        <v>0</v>
      </c>
      <c r="J53" s="50">
        <v>0.39</v>
      </c>
      <c r="K53" s="50">
        <v>0</v>
      </c>
      <c r="L53" s="50">
        <v>0.01</v>
      </c>
      <c r="M53" s="50">
        <v>4.5999999999999996</v>
      </c>
      <c r="N53" s="50">
        <v>6.6</v>
      </c>
      <c r="O53" s="50">
        <v>16.8</v>
      </c>
      <c r="P53" s="50">
        <v>0.4</v>
      </c>
      <c r="Q53" s="50">
        <v>25.8</v>
      </c>
      <c r="R53" s="50">
        <v>0</v>
      </c>
      <c r="S53" s="50">
        <v>0</v>
      </c>
      <c r="T53" s="50">
        <v>0</v>
      </c>
      <c r="U53" s="46" t="s">
        <v>223</v>
      </c>
      <c r="V53" s="46" t="s">
        <v>38</v>
      </c>
      <c r="W53" s="47"/>
    </row>
    <row r="54" spans="1:23" s="48" customFormat="1" ht="12.2" customHeight="1">
      <c r="A54" s="51" t="s">
        <v>39</v>
      </c>
      <c r="B54" s="52">
        <f>SUM(B51:B53)</f>
        <v>370</v>
      </c>
      <c r="C54" s="53">
        <f t="shared" ref="C54:T54" si="6">SUM(C51:C53)</f>
        <v>5.32</v>
      </c>
      <c r="D54" s="53">
        <f t="shared" si="6"/>
        <v>7.1010000000000009</v>
      </c>
      <c r="E54" s="53">
        <f t="shared" si="6"/>
        <v>54.26</v>
      </c>
      <c r="F54" s="53">
        <f t="shared" si="6"/>
        <v>328.88</v>
      </c>
      <c r="G54" s="53">
        <f t="shared" si="6"/>
        <v>0.11360000000000001</v>
      </c>
      <c r="H54" s="53">
        <f t="shared" si="6"/>
        <v>12.433399999999999</v>
      </c>
      <c r="I54" s="53">
        <f t="shared" si="6"/>
        <v>0.38</v>
      </c>
      <c r="J54" s="53">
        <f t="shared" si="6"/>
        <v>3.5300000000000002</v>
      </c>
      <c r="K54" s="53">
        <f t="shared" si="6"/>
        <v>0</v>
      </c>
      <c r="L54" s="53">
        <f t="shared" si="6"/>
        <v>0.01</v>
      </c>
      <c r="M54" s="53">
        <f t="shared" si="6"/>
        <v>86.181999999999988</v>
      </c>
      <c r="N54" s="53">
        <f t="shared" si="6"/>
        <v>49.794000000000004</v>
      </c>
      <c r="O54" s="53">
        <f t="shared" si="6"/>
        <v>95.475999999999999</v>
      </c>
      <c r="P54" s="53">
        <f t="shared" si="6"/>
        <v>3.6482000000000001</v>
      </c>
      <c r="Q54" s="53">
        <f t="shared" si="6"/>
        <v>232.62</v>
      </c>
      <c r="R54" s="53">
        <f t="shared" si="6"/>
        <v>0</v>
      </c>
      <c r="S54" s="53">
        <f t="shared" si="6"/>
        <v>0</v>
      </c>
      <c r="T54" s="53">
        <f t="shared" si="6"/>
        <v>0</v>
      </c>
      <c r="U54" s="54"/>
      <c r="V54" s="54"/>
      <c r="W54" s="47"/>
    </row>
    <row r="55" spans="1:23" s="48" customFormat="1" ht="21.6" customHeight="1">
      <c r="A55" s="51" t="s">
        <v>56</v>
      </c>
      <c r="B55" s="65"/>
      <c r="C55" s="66">
        <f>C54+C49+C39</f>
        <v>55.543347826086958</v>
      </c>
      <c r="D55" s="66">
        <f t="shared" ref="D55:T55" si="7">D54+D49+D39</f>
        <v>54.569869565217402</v>
      </c>
      <c r="E55" s="66">
        <f t="shared" si="7"/>
        <v>231.99456521739131</v>
      </c>
      <c r="F55" s="66">
        <f t="shared" si="7"/>
        <v>1648.2078260869566</v>
      </c>
      <c r="G55" s="66">
        <f t="shared" si="7"/>
        <v>0.9081652173913044</v>
      </c>
      <c r="H55" s="66">
        <f t="shared" si="7"/>
        <v>125.38339999999999</v>
      </c>
      <c r="I55" s="66">
        <f t="shared" si="7"/>
        <v>85.025652173913045</v>
      </c>
      <c r="J55" s="66">
        <f t="shared" si="7"/>
        <v>16.380000000000003</v>
      </c>
      <c r="K55" s="66">
        <f t="shared" si="7"/>
        <v>0.08</v>
      </c>
      <c r="L55" s="66">
        <f t="shared" si="7"/>
        <v>0.76260869565217404</v>
      </c>
      <c r="M55" s="66">
        <f t="shared" si="7"/>
        <v>799.64960869565209</v>
      </c>
      <c r="N55" s="66">
        <f t="shared" si="7"/>
        <v>274.15008695652176</v>
      </c>
      <c r="O55" s="66">
        <f t="shared" si="7"/>
        <v>1036.5003478260869</v>
      </c>
      <c r="P55" s="66">
        <f t="shared" si="7"/>
        <v>12.955591304347827</v>
      </c>
      <c r="Q55" s="66">
        <f t="shared" si="7"/>
        <v>2405.4858695652174</v>
      </c>
      <c r="R55" s="66">
        <f t="shared" si="7"/>
        <v>49.92</v>
      </c>
      <c r="S55" s="66">
        <f t="shared" si="7"/>
        <v>0.27</v>
      </c>
      <c r="T55" s="66">
        <f t="shared" si="7"/>
        <v>0.04</v>
      </c>
      <c r="U55" s="54"/>
      <c r="V55" s="54"/>
      <c r="W55" s="47"/>
    </row>
    <row r="56" spans="1:23" s="48" customFormat="1" ht="28.35" customHeight="1">
      <c r="A56" s="93" t="s">
        <v>264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47"/>
    </row>
    <row r="57" spans="1:23" s="7" customFormat="1" ht="13.35" customHeight="1">
      <c r="A57" s="95" t="s">
        <v>1</v>
      </c>
      <c r="B57" s="95" t="s">
        <v>2</v>
      </c>
      <c r="C57" s="103" t="s">
        <v>3</v>
      </c>
      <c r="D57" s="103"/>
      <c r="E57" s="103"/>
      <c r="F57" s="103" t="s">
        <v>4</v>
      </c>
      <c r="G57" s="103" t="s">
        <v>5</v>
      </c>
      <c r="H57" s="103"/>
      <c r="I57" s="103"/>
      <c r="J57" s="103"/>
      <c r="K57" s="103"/>
      <c r="L57" s="103"/>
      <c r="M57" s="103" t="s">
        <v>6</v>
      </c>
      <c r="N57" s="103"/>
      <c r="O57" s="103"/>
      <c r="P57" s="103"/>
      <c r="Q57" s="103"/>
      <c r="R57" s="103"/>
      <c r="S57" s="103"/>
      <c r="T57" s="103"/>
      <c r="U57" s="95" t="s">
        <v>7</v>
      </c>
      <c r="V57" s="95" t="s">
        <v>8</v>
      </c>
    </row>
    <row r="58" spans="1:23" s="7" customFormat="1" ht="26.65" customHeight="1">
      <c r="A58" s="95"/>
      <c r="B58" s="95"/>
      <c r="C58" s="67" t="s">
        <v>9</v>
      </c>
      <c r="D58" s="67" t="s">
        <v>10</v>
      </c>
      <c r="E58" s="67" t="s">
        <v>11</v>
      </c>
      <c r="F58" s="103"/>
      <c r="G58" s="67" t="s">
        <v>12</v>
      </c>
      <c r="H58" s="67" t="s">
        <v>13</v>
      </c>
      <c r="I58" s="67" t="s">
        <v>14</v>
      </c>
      <c r="J58" s="67" t="s">
        <v>15</v>
      </c>
      <c r="K58" s="67" t="s">
        <v>16</v>
      </c>
      <c r="L58" s="67" t="s">
        <v>17</v>
      </c>
      <c r="M58" s="67" t="s">
        <v>18</v>
      </c>
      <c r="N58" s="67" t="s">
        <v>19</v>
      </c>
      <c r="O58" s="67" t="s">
        <v>20</v>
      </c>
      <c r="P58" s="67" t="s">
        <v>21</v>
      </c>
      <c r="Q58" s="67" t="s">
        <v>22</v>
      </c>
      <c r="R58" s="67" t="s">
        <v>23</v>
      </c>
      <c r="S58" s="67" t="s">
        <v>24</v>
      </c>
      <c r="T58" s="67" t="s">
        <v>25</v>
      </c>
      <c r="U58" s="95"/>
      <c r="V58" s="95"/>
    </row>
    <row r="59" spans="1:23" s="48" customFormat="1" ht="14.65" customHeight="1">
      <c r="A59" s="98" t="s">
        <v>74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100"/>
      <c r="W59" s="47"/>
    </row>
    <row r="60" spans="1:23" s="48" customFormat="1" ht="33" customHeight="1">
      <c r="A60" s="43" t="s">
        <v>75</v>
      </c>
      <c r="B60" s="44">
        <v>60</v>
      </c>
      <c r="C60" s="45">
        <f>1.22*0.06</f>
        <v>7.3200000000000001E-2</v>
      </c>
      <c r="D60" s="45">
        <f>51.04*0.06</f>
        <v>3.0623999999999998</v>
      </c>
      <c r="E60" s="45">
        <f>111.65*0.06</f>
        <v>6.6989999999999998</v>
      </c>
      <c r="F60" s="45">
        <f>901*0.06</f>
        <v>54.059999999999995</v>
      </c>
      <c r="G60" s="45">
        <f>0.33*0.06</f>
        <v>1.9800000000000002E-2</v>
      </c>
      <c r="H60" s="45">
        <f>168.7*0.06</f>
        <v>10.121999999999998</v>
      </c>
      <c r="I60" s="45">
        <v>0</v>
      </c>
      <c r="J60" s="45">
        <v>1.45</v>
      </c>
      <c r="K60" s="45">
        <v>0</v>
      </c>
      <c r="L60" s="45">
        <f>0.34*0.06</f>
        <v>2.0400000000000001E-2</v>
      </c>
      <c r="M60" s="45">
        <f>334.88*0.06</f>
        <v>20.0928</v>
      </c>
      <c r="N60" s="45">
        <f>160.01*0.06</f>
        <v>9.6005999999999982</v>
      </c>
      <c r="O60" s="45">
        <f>293.47*0.06</f>
        <v>17.6082</v>
      </c>
      <c r="P60" s="45">
        <f>9.78*0.06</f>
        <v>0.58679999999999999</v>
      </c>
      <c r="Q60" s="45">
        <f>2431*0.06</f>
        <v>145.85999999999999</v>
      </c>
      <c r="R60" s="45">
        <v>1.7</v>
      </c>
      <c r="S60" s="45">
        <v>0.01</v>
      </c>
      <c r="T60" s="45">
        <v>0</v>
      </c>
      <c r="U60" s="46" t="s">
        <v>76</v>
      </c>
      <c r="V60" s="46">
        <v>2017</v>
      </c>
      <c r="W60" s="47"/>
    </row>
    <row r="61" spans="1:23" s="48" customFormat="1" ht="24" customHeight="1">
      <c r="A61" s="43" t="s">
        <v>77</v>
      </c>
      <c r="B61" s="44">
        <v>200</v>
      </c>
      <c r="C61" s="45">
        <v>15.2</v>
      </c>
      <c r="D61" s="45">
        <v>16.100000000000001</v>
      </c>
      <c r="E61" s="45">
        <v>23.3</v>
      </c>
      <c r="F61" s="49">
        <v>307.39999999999998</v>
      </c>
      <c r="G61" s="50">
        <v>0.23</v>
      </c>
      <c r="H61" s="50">
        <v>16.96</v>
      </c>
      <c r="I61" s="50">
        <v>4.32</v>
      </c>
      <c r="J61" s="50">
        <v>6.32</v>
      </c>
      <c r="K61" s="50">
        <v>0</v>
      </c>
      <c r="L61" s="50">
        <v>1.04</v>
      </c>
      <c r="M61" s="50">
        <v>135.96</v>
      </c>
      <c r="N61" s="50">
        <v>46.64</v>
      </c>
      <c r="O61" s="50">
        <v>287.91000000000003</v>
      </c>
      <c r="P61" s="50">
        <v>4.88</v>
      </c>
      <c r="Q61" s="50">
        <v>815.11</v>
      </c>
      <c r="R61" s="50">
        <v>12.11</v>
      </c>
      <c r="S61" s="50">
        <v>0.16</v>
      </c>
      <c r="T61" s="50">
        <v>0.02</v>
      </c>
      <c r="U61" s="46" t="s">
        <v>207</v>
      </c>
      <c r="V61" s="46" t="s">
        <v>53</v>
      </c>
      <c r="W61" s="47"/>
    </row>
    <row r="62" spans="1:23" s="48" customFormat="1" ht="23.25" customHeight="1">
      <c r="A62" s="43" t="s">
        <v>78</v>
      </c>
      <c r="B62" s="44">
        <v>200</v>
      </c>
      <c r="C62" s="45">
        <v>0.59</v>
      </c>
      <c r="D62" s="45">
        <f>0.45*0.18</f>
        <v>8.1000000000000003E-2</v>
      </c>
      <c r="E62" s="45">
        <v>28.92</v>
      </c>
      <c r="F62" s="45">
        <v>119.52</v>
      </c>
      <c r="G62" s="45">
        <f>0.02*0.18</f>
        <v>3.5999999999999999E-3</v>
      </c>
      <c r="H62" s="45">
        <f>3.63*0.18</f>
        <v>0.65339999999999998</v>
      </c>
      <c r="I62" s="45">
        <v>0</v>
      </c>
      <c r="J62" s="45">
        <v>0</v>
      </c>
      <c r="K62" s="45">
        <v>0</v>
      </c>
      <c r="L62" s="45">
        <v>0</v>
      </c>
      <c r="M62" s="45">
        <f>162.4*0.18</f>
        <v>29.231999999999999</v>
      </c>
      <c r="N62" s="45">
        <f>87.3*0.18</f>
        <v>15.713999999999999</v>
      </c>
      <c r="O62" s="45">
        <f>117.2*0.18</f>
        <v>21.096</v>
      </c>
      <c r="P62" s="45">
        <f>3.49*0.18</f>
        <v>0.62819999999999998</v>
      </c>
      <c r="Q62" s="45">
        <f>1149*0.18</f>
        <v>206.82</v>
      </c>
      <c r="R62" s="45">
        <v>0</v>
      </c>
      <c r="S62" s="45">
        <v>0</v>
      </c>
      <c r="T62" s="45">
        <v>0</v>
      </c>
      <c r="U62" s="58" t="s">
        <v>79</v>
      </c>
      <c r="V62" s="46" t="s">
        <v>29</v>
      </c>
      <c r="W62" s="47"/>
    </row>
    <row r="63" spans="1:23" s="48" customFormat="1" ht="24.75" customHeight="1">
      <c r="A63" s="43" t="s">
        <v>51</v>
      </c>
      <c r="B63" s="44">
        <v>20</v>
      </c>
      <c r="C63" s="49">
        <v>1.53</v>
      </c>
      <c r="D63" s="49">
        <v>0.12</v>
      </c>
      <c r="E63" s="49">
        <v>10.039999999999999</v>
      </c>
      <c r="F63" s="49">
        <v>47.36</v>
      </c>
      <c r="G63" s="50">
        <v>0.03</v>
      </c>
      <c r="H63" s="50">
        <v>0</v>
      </c>
      <c r="I63" s="50">
        <v>0</v>
      </c>
      <c r="J63" s="50">
        <v>0.39</v>
      </c>
      <c r="K63" s="50">
        <v>0</v>
      </c>
      <c r="L63" s="50">
        <v>0.01</v>
      </c>
      <c r="M63" s="50">
        <v>4.5999999999999996</v>
      </c>
      <c r="N63" s="50">
        <v>6.6</v>
      </c>
      <c r="O63" s="50">
        <v>16.8</v>
      </c>
      <c r="P63" s="50">
        <v>0.4</v>
      </c>
      <c r="Q63" s="50">
        <v>25.8</v>
      </c>
      <c r="R63" s="50">
        <v>0</v>
      </c>
      <c r="S63" s="50">
        <v>0</v>
      </c>
      <c r="T63" s="50">
        <v>0</v>
      </c>
      <c r="U63" s="46" t="s">
        <v>223</v>
      </c>
      <c r="V63" s="46" t="s">
        <v>38</v>
      </c>
      <c r="W63" s="47"/>
    </row>
    <row r="64" spans="1:23" s="48" customFormat="1" ht="22.5" customHeight="1">
      <c r="A64" s="43" t="s">
        <v>37</v>
      </c>
      <c r="B64" s="44">
        <v>20</v>
      </c>
      <c r="C64" s="49">
        <v>1.1200000000000001</v>
      </c>
      <c r="D64" s="49">
        <v>0.22</v>
      </c>
      <c r="E64" s="49">
        <v>9.8800000000000008</v>
      </c>
      <c r="F64" s="49">
        <v>45.98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46" t="s">
        <v>223</v>
      </c>
      <c r="V64" s="46" t="s">
        <v>38</v>
      </c>
      <c r="W64" s="47"/>
    </row>
    <row r="65" spans="1:23" s="48" customFormat="1" ht="12.2" customHeight="1">
      <c r="A65" s="51" t="s">
        <v>39</v>
      </c>
      <c r="B65" s="52">
        <f t="shared" ref="B65:T65" si="8">SUM(B60:B64)</f>
        <v>500</v>
      </c>
      <c r="C65" s="53">
        <f t="shared" si="8"/>
        <v>18.513200000000001</v>
      </c>
      <c r="D65" s="53">
        <f t="shared" si="8"/>
        <v>19.583400000000001</v>
      </c>
      <c r="E65" s="53">
        <f t="shared" si="8"/>
        <v>78.838999999999999</v>
      </c>
      <c r="F65" s="53">
        <f t="shared" si="8"/>
        <v>574.31999999999994</v>
      </c>
      <c r="G65" s="53">
        <f t="shared" si="8"/>
        <v>0.28339999999999999</v>
      </c>
      <c r="H65" s="53">
        <f t="shared" si="8"/>
        <v>27.735400000000002</v>
      </c>
      <c r="I65" s="53">
        <f t="shared" si="8"/>
        <v>4.32</v>
      </c>
      <c r="J65" s="53">
        <f t="shared" si="8"/>
        <v>8.16</v>
      </c>
      <c r="K65" s="53">
        <f t="shared" si="8"/>
        <v>0</v>
      </c>
      <c r="L65" s="53">
        <f t="shared" si="8"/>
        <v>1.0704</v>
      </c>
      <c r="M65" s="53">
        <f t="shared" si="8"/>
        <v>189.88480000000001</v>
      </c>
      <c r="N65" s="53">
        <f t="shared" si="8"/>
        <v>78.554599999999994</v>
      </c>
      <c r="O65" s="53">
        <f t="shared" si="8"/>
        <v>343.41420000000005</v>
      </c>
      <c r="P65" s="53">
        <f t="shared" si="8"/>
        <v>6.4950000000000001</v>
      </c>
      <c r="Q65" s="53">
        <f t="shared" si="8"/>
        <v>1193.5899999999999</v>
      </c>
      <c r="R65" s="53">
        <f t="shared" si="8"/>
        <v>13.809999999999999</v>
      </c>
      <c r="S65" s="53">
        <f t="shared" si="8"/>
        <v>0.17</v>
      </c>
      <c r="T65" s="53">
        <f t="shared" si="8"/>
        <v>0.02</v>
      </c>
      <c r="U65" s="54"/>
      <c r="V65" s="54"/>
      <c r="W65" s="47"/>
    </row>
    <row r="66" spans="1:23" s="48" customFormat="1" ht="14.65" customHeight="1">
      <c r="A66" s="98" t="s">
        <v>40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100"/>
      <c r="W66" s="47"/>
    </row>
    <row r="67" spans="1:23" s="48" customFormat="1" ht="35.25" customHeight="1">
      <c r="A67" s="43" t="s">
        <v>104</v>
      </c>
      <c r="B67" s="44">
        <v>60</v>
      </c>
      <c r="C67" s="45">
        <v>0.67</v>
      </c>
      <c r="D67" s="45">
        <v>0.12</v>
      </c>
      <c r="E67" s="45">
        <v>2.2799999999999998</v>
      </c>
      <c r="F67" s="45">
        <v>13.2</v>
      </c>
      <c r="G67" s="45">
        <v>0.02</v>
      </c>
      <c r="H67" s="45">
        <v>2.4500000000000002</v>
      </c>
      <c r="I67" s="45">
        <v>0</v>
      </c>
      <c r="J67" s="45">
        <v>0</v>
      </c>
      <c r="K67" s="45">
        <v>0</v>
      </c>
      <c r="L67" s="45">
        <v>0.01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R67" s="45">
        <v>0</v>
      </c>
      <c r="S67" s="45">
        <v>0</v>
      </c>
      <c r="T67" s="45">
        <v>0</v>
      </c>
      <c r="U67" s="46">
        <v>71</v>
      </c>
      <c r="V67" s="46" t="s">
        <v>29</v>
      </c>
      <c r="W67" s="47"/>
    </row>
    <row r="68" spans="1:23" s="48" customFormat="1" ht="23.25" customHeight="1">
      <c r="A68" s="43" t="s">
        <v>81</v>
      </c>
      <c r="B68" s="44">
        <v>200</v>
      </c>
      <c r="C68" s="45">
        <f>5.93*0.2</f>
        <v>1.1859999999999999</v>
      </c>
      <c r="D68" s="45">
        <f>19.67*0.2</f>
        <v>3.9340000000000006</v>
      </c>
      <c r="E68" s="45">
        <f>44.36*0.2</f>
        <v>8.8719999999999999</v>
      </c>
      <c r="F68" s="45">
        <f>305*0.2</f>
        <v>61</v>
      </c>
      <c r="G68" s="45">
        <v>0.04</v>
      </c>
      <c r="H68" s="45">
        <v>6.27</v>
      </c>
      <c r="I68" s="45">
        <v>0.16</v>
      </c>
      <c r="J68" s="45">
        <v>1.74</v>
      </c>
      <c r="K68" s="45">
        <v>0</v>
      </c>
      <c r="L68" s="45">
        <v>0.03</v>
      </c>
      <c r="M68" s="45">
        <v>34.979999999999997</v>
      </c>
      <c r="N68" s="45">
        <v>14.83</v>
      </c>
      <c r="O68" s="45">
        <v>39.78</v>
      </c>
      <c r="P68" s="45">
        <v>0.65</v>
      </c>
      <c r="Q68" s="45">
        <v>196.91</v>
      </c>
      <c r="R68" s="45">
        <v>2.66</v>
      </c>
      <c r="S68" s="45">
        <v>0.02</v>
      </c>
      <c r="T68" s="45">
        <v>0</v>
      </c>
      <c r="U68" s="46" t="s">
        <v>82</v>
      </c>
      <c r="V68" s="46">
        <v>2017</v>
      </c>
      <c r="W68" s="47"/>
    </row>
    <row r="69" spans="1:23" s="48" customFormat="1" ht="24" customHeight="1">
      <c r="A69" s="43" t="s">
        <v>83</v>
      </c>
      <c r="B69" s="44">
        <v>150</v>
      </c>
      <c r="C69" s="45">
        <f>2.77*150/105</f>
        <v>3.9571428571428573</v>
      </c>
      <c r="D69" s="45">
        <f>6.99*150/105</f>
        <v>9.9857142857142858</v>
      </c>
      <c r="E69" s="45">
        <f>11.6*150/105</f>
        <v>16.571428571428573</v>
      </c>
      <c r="F69" s="45">
        <f>142*150/105</f>
        <v>202.85714285714286</v>
      </c>
      <c r="G69" s="45">
        <f>0.06*150/105</f>
        <v>8.5714285714285715E-2</v>
      </c>
      <c r="H69" s="45">
        <f>12.51*150/105</f>
        <v>17.87142857142857</v>
      </c>
      <c r="I69" s="45">
        <f>46*150/105</f>
        <v>65.714285714285708</v>
      </c>
      <c r="J69" s="45">
        <v>2.74</v>
      </c>
      <c r="K69" s="45">
        <v>0</v>
      </c>
      <c r="L69" s="45">
        <f>0.06*150/105</f>
        <v>8.5714285714285715E-2</v>
      </c>
      <c r="M69" s="45">
        <f>37.16*150/105</f>
        <v>53.085714285714275</v>
      </c>
      <c r="N69" s="45">
        <f>16.26*150/105</f>
        <v>23.228571428571431</v>
      </c>
      <c r="O69" s="45">
        <f>45*150/105</f>
        <v>64.285714285714292</v>
      </c>
      <c r="P69" s="45">
        <f>0.6*150/105</f>
        <v>0.8571428571428571</v>
      </c>
      <c r="Q69" s="45">
        <f>264.66*150/105</f>
        <v>378.08571428571435</v>
      </c>
      <c r="R69" s="45">
        <v>5.42</v>
      </c>
      <c r="S69" s="45">
        <v>0.03</v>
      </c>
      <c r="T69" s="45">
        <v>0</v>
      </c>
      <c r="U69" s="46" t="s">
        <v>84</v>
      </c>
      <c r="V69" s="46" t="s">
        <v>80</v>
      </c>
      <c r="W69" s="47"/>
    </row>
    <row r="70" spans="1:23" s="48" customFormat="1" ht="23.25" customHeight="1">
      <c r="A70" s="43" t="s">
        <v>249</v>
      </c>
      <c r="B70" s="44">
        <v>90</v>
      </c>
      <c r="C70" s="45">
        <f>6.94*90/55</f>
        <v>11.356363636363637</v>
      </c>
      <c r="D70" s="45">
        <f>7.51*90/55</f>
        <v>12.289090909090909</v>
      </c>
      <c r="E70" s="45">
        <f>7.41*90/55</f>
        <v>12.125454545454545</v>
      </c>
      <c r="F70" s="45">
        <f>122*90/55</f>
        <v>199.63636363636363</v>
      </c>
      <c r="G70" s="45">
        <v>0.06</v>
      </c>
      <c r="H70" s="45">
        <v>0.61</v>
      </c>
      <c r="I70" s="45">
        <v>22.2</v>
      </c>
      <c r="J70" s="45">
        <v>2.2999999999999998</v>
      </c>
      <c r="K70" s="45">
        <v>0.08</v>
      </c>
      <c r="L70" s="45">
        <f>0.08*120/80</f>
        <v>0.12</v>
      </c>
      <c r="M70" s="45">
        <f>44.13*120/80</f>
        <v>66.195000000000007</v>
      </c>
      <c r="N70" s="45">
        <f>22.33*120/80</f>
        <v>33.494999999999997</v>
      </c>
      <c r="O70" s="45">
        <f>99.55*120/80</f>
        <v>149.32499999999999</v>
      </c>
      <c r="P70" s="45">
        <f>0.79*120/80</f>
        <v>1.1850000000000001</v>
      </c>
      <c r="Q70" s="45">
        <v>387.71</v>
      </c>
      <c r="R70" s="45">
        <v>97.58</v>
      </c>
      <c r="S70" s="45">
        <v>0.4</v>
      </c>
      <c r="T70" s="45">
        <v>0.01</v>
      </c>
      <c r="U70" s="46" t="s">
        <v>48</v>
      </c>
      <c r="V70" s="46" t="s">
        <v>80</v>
      </c>
      <c r="W70" s="47"/>
    </row>
    <row r="71" spans="1:23" s="48" customFormat="1" ht="23.25" customHeight="1">
      <c r="A71" s="43" t="s">
        <v>291</v>
      </c>
      <c r="B71" s="44">
        <v>200</v>
      </c>
      <c r="C71" s="45">
        <v>0.6</v>
      </c>
      <c r="D71" s="45">
        <v>0.4</v>
      </c>
      <c r="E71" s="45">
        <v>32.6</v>
      </c>
      <c r="F71" s="45">
        <f>682*0.2</f>
        <v>136.4</v>
      </c>
      <c r="G71" s="45">
        <f>0.11*0.18</f>
        <v>1.9799999999999998E-2</v>
      </c>
      <c r="H71" s="45">
        <f>20*0.2</f>
        <v>4</v>
      </c>
      <c r="I71" s="45">
        <v>0</v>
      </c>
      <c r="J71" s="45">
        <v>0</v>
      </c>
      <c r="K71" s="45">
        <v>0</v>
      </c>
      <c r="L71" s="45">
        <v>0.02</v>
      </c>
      <c r="M71" s="45">
        <f>70*0.18</f>
        <v>12.6</v>
      </c>
      <c r="N71" s="45">
        <f>40*0.18</f>
        <v>7.1999999999999993</v>
      </c>
      <c r="O71" s="45">
        <f>70*0.18</f>
        <v>12.6</v>
      </c>
      <c r="P71" s="45">
        <f>14*0.18</f>
        <v>2.52</v>
      </c>
      <c r="Q71" s="45">
        <f>1200*0.18</f>
        <v>216</v>
      </c>
      <c r="R71" s="45">
        <v>1.8</v>
      </c>
      <c r="S71" s="45">
        <v>0</v>
      </c>
      <c r="T71" s="45">
        <v>0</v>
      </c>
      <c r="U71" s="46" t="s">
        <v>100</v>
      </c>
      <c r="V71" s="46">
        <v>2017</v>
      </c>
      <c r="W71" s="47"/>
    </row>
    <row r="72" spans="1:23" s="48" customFormat="1" ht="20.25" customHeight="1">
      <c r="A72" s="43" t="s">
        <v>35</v>
      </c>
      <c r="B72" s="44">
        <v>100</v>
      </c>
      <c r="C72" s="49">
        <v>0.4</v>
      </c>
      <c r="D72" s="49">
        <v>0.4</v>
      </c>
      <c r="E72" s="49">
        <v>9.8000000000000007</v>
      </c>
      <c r="F72" s="49">
        <v>47</v>
      </c>
      <c r="G72" s="50">
        <v>0.03</v>
      </c>
      <c r="H72" s="50">
        <v>10</v>
      </c>
      <c r="I72" s="50">
        <v>0.01</v>
      </c>
      <c r="J72" s="50">
        <v>0.63</v>
      </c>
      <c r="K72" s="50">
        <v>0</v>
      </c>
      <c r="L72" s="50">
        <v>0.02</v>
      </c>
      <c r="M72" s="50">
        <v>16</v>
      </c>
      <c r="N72" s="50">
        <v>8</v>
      </c>
      <c r="O72" s="50">
        <v>11</v>
      </c>
      <c r="P72" s="50">
        <v>2.2000000000000002</v>
      </c>
      <c r="Q72" s="50">
        <v>278</v>
      </c>
      <c r="R72" s="50">
        <v>2</v>
      </c>
      <c r="S72" s="50">
        <v>0.01</v>
      </c>
      <c r="T72" s="50">
        <v>0</v>
      </c>
      <c r="U72" s="46" t="s">
        <v>36</v>
      </c>
      <c r="V72" s="46" t="s">
        <v>29</v>
      </c>
      <c r="W72" s="47"/>
    </row>
    <row r="73" spans="1:23" s="48" customFormat="1" ht="21" customHeight="1">
      <c r="A73" s="43" t="s">
        <v>51</v>
      </c>
      <c r="B73" s="44">
        <v>40</v>
      </c>
      <c r="C73" s="49">
        <v>3.05</v>
      </c>
      <c r="D73" s="49">
        <v>0.25</v>
      </c>
      <c r="E73" s="49">
        <v>20.07</v>
      </c>
      <c r="F73" s="49">
        <v>94.73</v>
      </c>
      <c r="G73" s="50">
        <v>0.06</v>
      </c>
      <c r="H73" s="50">
        <v>0</v>
      </c>
      <c r="I73" s="50">
        <v>0</v>
      </c>
      <c r="J73" s="50">
        <v>0.78</v>
      </c>
      <c r="K73" s="50">
        <v>0</v>
      </c>
      <c r="L73" s="50">
        <v>0.02</v>
      </c>
      <c r="M73" s="50">
        <v>9.1999999999999993</v>
      </c>
      <c r="N73" s="50">
        <v>13.2</v>
      </c>
      <c r="O73" s="50">
        <v>33.6</v>
      </c>
      <c r="P73" s="50">
        <v>0.8</v>
      </c>
      <c r="Q73" s="50">
        <v>51.6</v>
      </c>
      <c r="R73" s="50">
        <v>0</v>
      </c>
      <c r="S73" s="50">
        <v>0.01</v>
      </c>
      <c r="T73" s="50">
        <v>0</v>
      </c>
      <c r="U73" s="46" t="s">
        <v>223</v>
      </c>
      <c r="V73" s="46" t="s">
        <v>87</v>
      </c>
      <c r="W73" s="47"/>
    </row>
    <row r="74" spans="1:23" s="48" customFormat="1" ht="21.6" customHeight="1">
      <c r="A74" s="51" t="s">
        <v>88</v>
      </c>
      <c r="B74" s="52">
        <f>SUM(B67:B73)</f>
        <v>840</v>
      </c>
      <c r="C74" s="53">
        <f t="shared" ref="C74:T74" si="9">SUM(C67:C73)</f>
        <v>21.219506493506497</v>
      </c>
      <c r="D74" s="53">
        <f t="shared" si="9"/>
        <v>27.378805194805192</v>
      </c>
      <c r="E74" s="53">
        <f t="shared" si="9"/>
        <v>102.31888311688311</v>
      </c>
      <c r="F74" s="53">
        <f t="shared" si="9"/>
        <v>754.82350649350656</v>
      </c>
      <c r="G74" s="53">
        <f t="shared" si="9"/>
        <v>0.31551428571428569</v>
      </c>
      <c r="H74" s="53">
        <f t="shared" si="9"/>
        <v>41.201428571428565</v>
      </c>
      <c r="I74" s="53">
        <f t="shared" si="9"/>
        <v>88.084285714285713</v>
      </c>
      <c r="J74" s="53">
        <f t="shared" si="9"/>
        <v>8.19</v>
      </c>
      <c r="K74" s="53">
        <f t="shared" si="9"/>
        <v>0.08</v>
      </c>
      <c r="L74" s="53">
        <f t="shared" si="9"/>
        <v>0.30571428571428577</v>
      </c>
      <c r="M74" s="53">
        <f t="shared" si="9"/>
        <v>192.06071428571428</v>
      </c>
      <c r="N74" s="53">
        <f t="shared" si="9"/>
        <v>99.953571428571436</v>
      </c>
      <c r="O74" s="53">
        <f t="shared" si="9"/>
        <v>310.59071428571434</v>
      </c>
      <c r="P74" s="53">
        <f t="shared" si="9"/>
        <v>8.2121428571428581</v>
      </c>
      <c r="Q74" s="53">
        <f t="shared" si="9"/>
        <v>1508.3057142857142</v>
      </c>
      <c r="R74" s="53">
        <f t="shared" si="9"/>
        <v>109.46</v>
      </c>
      <c r="S74" s="53">
        <f t="shared" si="9"/>
        <v>0.47000000000000003</v>
      </c>
      <c r="T74" s="53">
        <f t="shared" si="9"/>
        <v>0.01</v>
      </c>
      <c r="U74" s="54"/>
      <c r="V74" s="54"/>
      <c r="W74" s="47"/>
    </row>
    <row r="75" spans="1:23" s="48" customFormat="1" ht="14.65" customHeight="1">
      <c r="A75" s="98" t="s">
        <v>52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100"/>
      <c r="W75" s="47"/>
    </row>
    <row r="76" spans="1:23" s="48" customFormat="1" ht="21.75" customHeight="1">
      <c r="A76" s="43" t="s">
        <v>259</v>
      </c>
      <c r="B76" s="44">
        <v>150</v>
      </c>
      <c r="C76" s="45">
        <v>8.33</v>
      </c>
      <c r="D76" s="45">
        <v>9.98</v>
      </c>
      <c r="E76" s="45">
        <v>18.600000000000001</v>
      </c>
      <c r="F76" s="45">
        <v>215.09</v>
      </c>
      <c r="G76" s="45">
        <v>0.12</v>
      </c>
      <c r="H76" s="45">
        <v>11.8</v>
      </c>
      <c r="I76" s="45">
        <v>0.5</v>
      </c>
      <c r="J76" s="45">
        <v>1.49</v>
      </c>
      <c r="K76" s="45">
        <v>0.08</v>
      </c>
      <c r="L76" s="45">
        <v>0.16</v>
      </c>
      <c r="M76" s="45">
        <v>42.07</v>
      </c>
      <c r="N76" s="45">
        <v>39.409999999999997</v>
      </c>
      <c r="O76" s="45">
        <v>150.08000000000001</v>
      </c>
      <c r="P76" s="45">
        <v>2.2200000000000002</v>
      </c>
      <c r="Q76" s="45">
        <v>627.5</v>
      </c>
      <c r="R76" s="45">
        <v>8.8800000000000008</v>
      </c>
      <c r="S76" s="45">
        <v>0.09</v>
      </c>
      <c r="T76" s="45">
        <v>0.01</v>
      </c>
      <c r="U76" s="46" t="s">
        <v>260</v>
      </c>
      <c r="V76" s="46">
        <v>2023</v>
      </c>
      <c r="W76" s="47"/>
    </row>
    <row r="77" spans="1:23" s="48" customFormat="1" ht="21" customHeight="1">
      <c r="A77" s="43" t="s">
        <v>89</v>
      </c>
      <c r="B77" s="44">
        <v>180</v>
      </c>
      <c r="C77" s="45">
        <f>1.52*180/200</f>
        <v>1.3680000000000001</v>
      </c>
      <c r="D77" s="45">
        <f>1.35*180/200</f>
        <v>1.2150000000000001</v>
      </c>
      <c r="E77" s="45">
        <f>15.9*180/200</f>
        <v>14.31</v>
      </c>
      <c r="F77" s="45">
        <f>81*180/200</f>
        <v>72.900000000000006</v>
      </c>
      <c r="G77" s="45">
        <f>0.04</f>
        <v>0.04</v>
      </c>
      <c r="H77" s="45">
        <v>1.33</v>
      </c>
      <c r="I77" s="45">
        <v>0.41</v>
      </c>
      <c r="J77" s="45">
        <v>0</v>
      </c>
      <c r="K77" s="45">
        <v>0</v>
      </c>
      <c r="L77" s="45">
        <v>0.16</v>
      </c>
      <c r="M77" s="45">
        <v>126.6</v>
      </c>
      <c r="N77" s="45">
        <v>15.4</v>
      </c>
      <c r="O77" s="45">
        <v>92.8</v>
      </c>
      <c r="P77" s="45">
        <v>0.41</v>
      </c>
      <c r="Q77" s="45">
        <v>154.6</v>
      </c>
      <c r="R77" s="45">
        <v>4.5</v>
      </c>
      <c r="S77" s="45">
        <v>0</v>
      </c>
      <c r="T77" s="45">
        <v>0</v>
      </c>
      <c r="U77" s="46" t="s">
        <v>90</v>
      </c>
      <c r="V77" s="46" t="s">
        <v>80</v>
      </c>
      <c r="W77" s="47"/>
    </row>
    <row r="78" spans="1:23" s="48" customFormat="1" ht="20.25" customHeight="1">
      <c r="A78" s="43" t="s">
        <v>51</v>
      </c>
      <c r="B78" s="44">
        <v>20</v>
      </c>
      <c r="C78" s="49">
        <v>1.53</v>
      </c>
      <c r="D78" s="49">
        <v>0.12</v>
      </c>
      <c r="E78" s="49">
        <v>10.039999999999999</v>
      </c>
      <c r="F78" s="49">
        <v>47.36</v>
      </c>
      <c r="G78" s="50">
        <v>0.03</v>
      </c>
      <c r="H78" s="50">
        <v>0</v>
      </c>
      <c r="I78" s="50">
        <v>0</v>
      </c>
      <c r="J78" s="50">
        <v>0.39</v>
      </c>
      <c r="K78" s="50">
        <v>0</v>
      </c>
      <c r="L78" s="50">
        <v>0.01</v>
      </c>
      <c r="M78" s="50">
        <v>4.5999999999999996</v>
      </c>
      <c r="N78" s="50">
        <v>6.6</v>
      </c>
      <c r="O78" s="50">
        <v>16.8</v>
      </c>
      <c r="P78" s="50">
        <v>0.4</v>
      </c>
      <c r="Q78" s="50">
        <v>25.8</v>
      </c>
      <c r="R78" s="50">
        <v>0</v>
      </c>
      <c r="S78" s="50">
        <v>0</v>
      </c>
      <c r="T78" s="50">
        <v>0</v>
      </c>
      <c r="U78" s="46" t="s">
        <v>223</v>
      </c>
      <c r="V78" s="46" t="s">
        <v>38</v>
      </c>
      <c r="W78" s="47"/>
    </row>
    <row r="79" spans="1:23" s="48" customFormat="1" ht="12.2" customHeight="1">
      <c r="A79" s="51" t="s">
        <v>88</v>
      </c>
      <c r="B79" s="52">
        <f>SUM(B76:B78)</f>
        <v>350</v>
      </c>
      <c r="C79" s="52">
        <f t="shared" ref="C79:T79" si="10">SUM(C76:C78)</f>
        <v>11.228</v>
      </c>
      <c r="D79" s="52">
        <f t="shared" si="10"/>
        <v>11.315</v>
      </c>
      <c r="E79" s="52">
        <f t="shared" si="10"/>
        <v>42.95</v>
      </c>
      <c r="F79" s="52">
        <f t="shared" si="10"/>
        <v>335.35</v>
      </c>
      <c r="G79" s="52">
        <f t="shared" si="10"/>
        <v>0.19</v>
      </c>
      <c r="H79" s="52">
        <f t="shared" si="10"/>
        <v>13.13</v>
      </c>
      <c r="I79" s="52">
        <f t="shared" si="10"/>
        <v>0.90999999999999992</v>
      </c>
      <c r="J79" s="52">
        <f t="shared" si="10"/>
        <v>1.88</v>
      </c>
      <c r="K79" s="52">
        <f t="shared" si="10"/>
        <v>0.08</v>
      </c>
      <c r="L79" s="52">
        <f t="shared" si="10"/>
        <v>0.33</v>
      </c>
      <c r="M79" s="52">
        <f t="shared" si="10"/>
        <v>173.26999999999998</v>
      </c>
      <c r="N79" s="52">
        <f t="shared" si="10"/>
        <v>61.41</v>
      </c>
      <c r="O79" s="52">
        <f t="shared" si="10"/>
        <v>259.68</v>
      </c>
      <c r="P79" s="52">
        <f t="shared" si="10"/>
        <v>3.0300000000000002</v>
      </c>
      <c r="Q79" s="52">
        <f t="shared" si="10"/>
        <v>807.9</v>
      </c>
      <c r="R79" s="52">
        <f t="shared" si="10"/>
        <v>13.38</v>
      </c>
      <c r="S79" s="52">
        <f t="shared" si="10"/>
        <v>0.09</v>
      </c>
      <c r="T79" s="52">
        <f t="shared" si="10"/>
        <v>0.01</v>
      </c>
      <c r="U79" s="54"/>
      <c r="V79" s="54"/>
      <c r="W79" s="47"/>
    </row>
    <row r="80" spans="1:23" s="48" customFormat="1" ht="21.6" customHeight="1">
      <c r="A80" s="51" t="s">
        <v>56</v>
      </c>
      <c r="B80" s="65"/>
      <c r="C80" s="66">
        <f>C79+C74+C65</f>
        <v>50.960706493506493</v>
      </c>
      <c r="D80" s="66">
        <f t="shared" ref="D80:T80" si="11">D79+D74+D65</f>
        <v>58.277205194805191</v>
      </c>
      <c r="E80" s="66">
        <f t="shared" si="11"/>
        <v>224.1078831168831</v>
      </c>
      <c r="F80" s="66">
        <f t="shared" si="11"/>
        <v>1664.4935064935064</v>
      </c>
      <c r="G80" s="66">
        <f t="shared" si="11"/>
        <v>0.78891428571428568</v>
      </c>
      <c r="H80" s="66">
        <f t="shared" si="11"/>
        <v>82.066828571428573</v>
      </c>
      <c r="I80" s="66">
        <f t="shared" si="11"/>
        <v>93.314285714285717</v>
      </c>
      <c r="J80" s="66">
        <f t="shared" si="11"/>
        <v>18.23</v>
      </c>
      <c r="K80" s="66">
        <f t="shared" si="11"/>
        <v>0.16</v>
      </c>
      <c r="L80" s="66">
        <f t="shared" si="11"/>
        <v>1.7061142857142859</v>
      </c>
      <c r="M80" s="66">
        <f t="shared" si="11"/>
        <v>555.21551428571433</v>
      </c>
      <c r="N80" s="66">
        <f t="shared" si="11"/>
        <v>239.91817142857144</v>
      </c>
      <c r="O80" s="66">
        <f t="shared" si="11"/>
        <v>913.6849142857144</v>
      </c>
      <c r="P80" s="66">
        <f t="shared" si="11"/>
        <v>17.73714285714286</v>
      </c>
      <c r="Q80" s="66">
        <f t="shared" si="11"/>
        <v>3509.795714285714</v>
      </c>
      <c r="R80" s="66">
        <f t="shared" si="11"/>
        <v>136.64999999999998</v>
      </c>
      <c r="S80" s="66">
        <f t="shared" si="11"/>
        <v>0.73000000000000009</v>
      </c>
      <c r="T80" s="66">
        <f t="shared" si="11"/>
        <v>0.04</v>
      </c>
      <c r="U80" s="54"/>
      <c r="V80" s="54"/>
      <c r="W80" s="47"/>
    </row>
    <row r="81" spans="1:23" s="48" customFormat="1" ht="28.35" customHeight="1">
      <c r="A81" s="93" t="s">
        <v>272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47"/>
    </row>
    <row r="82" spans="1:23" s="7" customFormat="1" ht="13.35" customHeight="1">
      <c r="A82" s="95" t="s">
        <v>1</v>
      </c>
      <c r="B82" s="95" t="s">
        <v>2</v>
      </c>
      <c r="C82" s="103" t="s">
        <v>3</v>
      </c>
      <c r="D82" s="103"/>
      <c r="E82" s="103"/>
      <c r="F82" s="103" t="s">
        <v>4</v>
      </c>
      <c r="G82" s="103" t="s">
        <v>5</v>
      </c>
      <c r="H82" s="103"/>
      <c r="I82" s="103"/>
      <c r="J82" s="103"/>
      <c r="K82" s="103"/>
      <c r="L82" s="103"/>
      <c r="M82" s="103" t="s">
        <v>6</v>
      </c>
      <c r="N82" s="103"/>
      <c r="O82" s="103"/>
      <c r="P82" s="103"/>
      <c r="Q82" s="103"/>
      <c r="R82" s="103"/>
      <c r="S82" s="103"/>
      <c r="T82" s="103"/>
      <c r="U82" s="95" t="s">
        <v>7</v>
      </c>
      <c r="V82" s="95" t="s">
        <v>8</v>
      </c>
    </row>
    <row r="83" spans="1:23" s="7" customFormat="1" ht="26.65" customHeight="1">
      <c r="A83" s="95"/>
      <c r="B83" s="95"/>
      <c r="C83" s="67" t="s">
        <v>9</v>
      </c>
      <c r="D83" s="67" t="s">
        <v>10</v>
      </c>
      <c r="E83" s="67" t="s">
        <v>11</v>
      </c>
      <c r="F83" s="103"/>
      <c r="G83" s="67" t="s">
        <v>12</v>
      </c>
      <c r="H83" s="67" t="s">
        <v>13</v>
      </c>
      <c r="I83" s="67" t="s">
        <v>14</v>
      </c>
      <c r="J83" s="67" t="s">
        <v>15</v>
      </c>
      <c r="K83" s="67" t="s">
        <v>16</v>
      </c>
      <c r="L83" s="67" t="s">
        <v>17</v>
      </c>
      <c r="M83" s="67" t="s">
        <v>18</v>
      </c>
      <c r="N83" s="67" t="s">
        <v>19</v>
      </c>
      <c r="O83" s="67" t="s">
        <v>20</v>
      </c>
      <c r="P83" s="67" t="s">
        <v>21</v>
      </c>
      <c r="Q83" s="67" t="s">
        <v>22</v>
      </c>
      <c r="R83" s="67" t="s">
        <v>23</v>
      </c>
      <c r="S83" s="67" t="s">
        <v>24</v>
      </c>
      <c r="T83" s="67" t="s">
        <v>25</v>
      </c>
      <c r="U83" s="95"/>
      <c r="V83" s="95"/>
    </row>
    <row r="84" spans="1:23" s="48" customFormat="1" ht="14.65" customHeight="1">
      <c r="A84" s="98" t="s">
        <v>74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100"/>
      <c r="W84" s="47"/>
    </row>
    <row r="85" spans="1:23" s="48" customFormat="1" ht="24" customHeight="1">
      <c r="A85" s="43" t="s">
        <v>92</v>
      </c>
      <c r="B85" s="44">
        <v>120</v>
      </c>
      <c r="C85" s="45">
        <f>0.4*120/100</f>
        <v>0.48</v>
      </c>
      <c r="D85" s="45">
        <v>0.48</v>
      </c>
      <c r="E85" s="45">
        <v>9.8000000000000007</v>
      </c>
      <c r="F85" s="45">
        <v>47</v>
      </c>
      <c r="G85" s="45">
        <v>0.03</v>
      </c>
      <c r="H85" s="45">
        <v>10</v>
      </c>
      <c r="I85" s="45">
        <v>0.01</v>
      </c>
      <c r="J85" s="45">
        <v>0.63</v>
      </c>
      <c r="K85" s="45">
        <v>0</v>
      </c>
      <c r="L85" s="45">
        <v>0.02</v>
      </c>
      <c r="M85" s="45">
        <v>16</v>
      </c>
      <c r="N85" s="45">
        <v>8</v>
      </c>
      <c r="O85" s="45">
        <v>11</v>
      </c>
      <c r="P85" s="45">
        <v>2.2000000000000002</v>
      </c>
      <c r="Q85" s="45">
        <v>278</v>
      </c>
      <c r="R85" s="45">
        <v>2</v>
      </c>
      <c r="S85" s="45">
        <v>0.01</v>
      </c>
      <c r="T85" s="45">
        <v>0</v>
      </c>
      <c r="U85" s="46" t="s">
        <v>93</v>
      </c>
      <c r="V85" s="46" t="s">
        <v>80</v>
      </c>
      <c r="W85" s="47"/>
    </row>
    <row r="86" spans="1:23" s="48" customFormat="1" ht="23.25" customHeight="1">
      <c r="A86" s="43" t="s">
        <v>257</v>
      </c>
      <c r="B86" s="44">
        <v>160</v>
      </c>
      <c r="C86" s="45">
        <v>10.76</v>
      </c>
      <c r="D86" s="45">
        <v>14.48</v>
      </c>
      <c r="E86" s="45">
        <v>29.7</v>
      </c>
      <c r="F86" s="45">
        <f>138*150/80</f>
        <v>258.75</v>
      </c>
      <c r="G86" s="45">
        <f>0.036*150/80</f>
        <v>6.7499999999999991E-2</v>
      </c>
      <c r="H86" s="45">
        <f>0.63*150/80</f>
        <v>1.1812499999999999</v>
      </c>
      <c r="I86" s="45">
        <f>22.1*150/80</f>
        <v>41.4375</v>
      </c>
      <c r="J86" s="45">
        <v>0.42</v>
      </c>
      <c r="K86" s="45">
        <v>0.19</v>
      </c>
      <c r="L86" s="45">
        <f>0.101*150/80</f>
        <v>0.18937500000000002</v>
      </c>
      <c r="M86" s="45">
        <f>61.29*150/80</f>
        <v>114.91875</v>
      </c>
      <c r="N86" s="45">
        <f>12.68*150/80</f>
        <v>23.774999999999999</v>
      </c>
      <c r="O86" s="45">
        <f>80.7*150/80</f>
        <v>151.3125</v>
      </c>
      <c r="P86" s="45">
        <f>0.59*150/80</f>
        <v>1.10625</v>
      </c>
      <c r="Q86" s="45">
        <f>91.8*150/80</f>
        <v>172.125</v>
      </c>
      <c r="R86" s="45">
        <v>1.51</v>
      </c>
      <c r="S86" s="45">
        <v>0.04</v>
      </c>
      <c r="T86" s="45">
        <v>0.03</v>
      </c>
      <c r="U86" s="46" t="s">
        <v>248</v>
      </c>
      <c r="V86" s="46">
        <v>2023</v>
      </c>
      <c r="W86" s="47"/>
    </row>
    <row r="87" spans="1:23" s="48" customFormat="1" ht="24.75" customHeight="1">
      <c r="A87" s="43" t="s">
        <v>292</v>
      </c>
      <c r="B87" s="44">
        <v>180</v>
      </c>
      <c r="C87" s="45">
        <v>5.8</v>
      </c>
      <c r="D87" s="45">
        <v>5</v>
      </c>
      <c r="E87" s="45">
        <v>8</v>
      </c>
      <c r="F87" s="45">
        <v>106</v>
      </c>
      <c r="G87" s="45">
        <v>0.08</v>
      </c>
      <c r="H87" s="45">
        <v>1.4</v>
      </c>
      <c r="I87" s="45">
        <v>0.05</v>
      </c>
      <c r="J87" s="45">
        <v>0.14000000000000001</v>
      </c>
      <c r="K87" s="45">
        <v>0</v>
      </c>
      <c r="L87" s="45">
        <v>0.34</v>
      </c>
      <c r="M87" s="45">
        <v>240</v>
      </c>
      <c r="N87" s="45">
        <v>28</v>
      </c>
      <c r="O87" s="45">
        <v>190</v>
      </c>
      <c r="P87" s="45">
        <v>0.2</v>
      </c>
      <c r="Q87" s="45">
        <v>292</v>
      </c>
      <c r="R87" s="45">
        <v>18</v>
      </c>
      <c r="S87" s="45">
        <v>0.04</v>
      </c>
      <c r="T87" s="45">
        <v>0</v>
      </c>
      <c r="U87" s="46" t="s">
        <v>55</v>
      </c>
      <c r="V87" s="46" t="s">
        <v>29</v>
      </c>
      <c r="W87" s="47"/>
    </row>
    <row r="88" spans="1:23" s="48" customFormat="1" ht="24.75" customHeight="1">
      <c r="A88" s="43" t="s">
        <v>51</v>
      </c>
      <c r="B88" s="44">
        <v>30</v>
      </c>
      <c r="C88" s="45">
        <v>2.2999999999999998</v>
      </c>
      <c r="D88" s="45">
        <v>0.19</v>
      </c>
      <c r="E88" s="45">
        <v>15.05</v>
      </c>
      <c r="F88" s="45">
        <v>71.05</v>
      </c>
      <c r="G88" s="45">
        <v>0.05</v>
      </c>
      <c r="H88" s="45">
        <v>0</v>
      </c>
      <c r="I88" s="45">
        <v>0</v>
      </c>
      <c r="J88" s="45">
        <v>0.59</v>
      </c>
      <c r="K88" s="45">
        <v>0</v>
      </c>
      <c r="L88" s="45">
        <v>0.02</v>
      </c>
      <c r="M88" s="45">
        <v>6.9</v>
      </c>
      <c r="N88" s="45">
        <v>9.9</v>
      </c>
      <c r="O88" s="45">
        <v>25.2</v>
      </c>
      <c r="P88" s="45">
        <v>0.6</v>
      </c>
      <c r="Q88" s="45">
        <v>38.700000000000003</v>
      </c>
      <c r="R88" s="45">
        <v>0</v>
      </c>
      <c r="S88" s="45">
        <v>0</v>
      </c>
      <c r="T88" s="45">
        <v>0</v>
      </c>
      <c r="U88" s="46" t="s">
        <v>223</v>
      </c>
      <c r="V88" s="46" t="s">
        <v>38</v>
      </c>
      <c r="W88" s="47"/>
    </row>
    <row r="89" spans="1:23" s="48" customFormat="1" ht="24" customHeight="1">
      <c r="A89" s="43" t="s">
        <v>37</v>
      </c>
      <c r="B89" s="44">
        <v>20</v>
      </c>
      <c r="C89" s="49">
        <v>1.1200000000000001</v>
      </c>
      <c r="D89" s="49">
        <v>0.22</v>
      </c>
      <c r="E89" s="49">
        <v>9.8800000000000008</v>
      </c>
      <c r="F89" s="49">
        <v>45.98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46" t="s">
        <v>223</v>
      </c>
      <c r="V89" s="46" t="s">
        <v>38</v>
      </c>
      <c r="W89" s="47"/>
    </row>
    <row r="90" spans="1:23" s="48" customFormat="1" ht="12.2" customHeight="1">
      <c r="A90" s="51" t="s">
        <v>88</v>
      </c>
      <c r="B90" s="52">
        <f t="shared" ref="B90:T90" si="12">SUM(B85:B89)</f>
        <v>510</v>
      </c>
      <c r="C90" s="53">
        <f t="shared" si="12"/>
        <v>20.46</v>
      </c>
      <c r="D90" s="53">
        <f t="shared" si="12"/>
        <v>20.37</v>
      </c>
      <c r="E90" s="53">
        <f t="shared" si="12"/>
        <v>72.429999999999993</v>
      </c>
      <c r="F90" s="53">
        <f t="shared" si="12"/>
        <v>528.78</v>
      </c>
      <c r="G90" s="53">
        <f t="shared" si="12"/>
        <v>0.22749999999999998</v>
      </c>
      <c r="H90" s="53">
        <f t="shared" si="12"/>
        <v>12.581250000000001</v>
      </c>
      <c r="I90" s="53">
        <f t="shared" si="12"/>
        <v>41.497499999999995</v>
      </c>
      <c r="J90" s="53">
        <f t="shared" si="12"/>
        <v>1.7799999999999998</v>
      </c>
      <c r="K90" s="53">
        <f t="shared" si="12"/>
        <v>0.19</v>
      </c>
      <c r="L90" s="53">
        <f t="shared" si="12"/>
        <v>0.56937500000000008</v>
      </c>
      <c r="M90" s="53">
        <f t="shared" si="12"/>
        <v>377.81874999999997</v>
      </c>
      <c r="N90" s="53">
        <f t="shared" si="12"/>
        <v>69.674999999999997</v>
      </c>
      <c r="O90" s="53">
        <f t="shared" si="12"/>
        <v>377.51249999999999</v>
      </c>
      <c r="P90" s="53">
        <f t="shared" si="12"/>
        <v>4.1062500000000002</v>
      </c>
      <c r="Q90" s="53">
        <f t="shared" si="12"/>
        <v>780.82500000000005</v>
      </c>
      <c r="R90" s="53">
        <f t="shared" si="12"/>
        <v>21.509999999999998</v>
      </c>
      <c r="S90" s="53">
        <f t="shared" si="12"/>
        <v>0.09</v>
      </c>
      <c r="T90" s="53">
        <f t="shared" si="12"/>
        <v>0.03</v>
      </c>
      <c r="U90" s="54"/>
      <c r="V90" s="54"/>
      <c r="W90" s="47"/>
    </row>
    <row r="91" spans="1:23" s="48" customFormat="1" ht="14.65" customHeight="1">
      <c r="A91" s="98" t="s">
        <v>96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100"/>
      <c r="W91" s="47"/>
    </row>
    <row r="92" spans="1:23" s="48" customFormat="1" ht="27.75" customHeight="1">
      <c r="A92" s="63" t="s">
        <v>58</v>
      </c>
      <c r="B92" s="64">
        <v>60</v>
      </c>
      <c r="C92" s="49">
        <v>0.4</v>
      </c>
      <c r="D92" s="49">
        <v>0.1</v>
      </c>
      <c r="E92" s="49">
        <v>1</v>
      </c>
      <c r="F92" s="49">
        <v>6</v>
      </c>
      <c r="G92" s="50">
        <v>0.02</v>
      </c>
      <c r="H92" s="50">
        <v>2.4500000000000002</v>
      </c>
      <c r="I92" s="50">
        <v>0</v>
      </c>
      <c r="J92" s="50">
        <v>0</v>
      </c>
      <c r="K92" s="50">
        <v>0</v>
      </c>
      <c r="L92" s="50">
        <v>0.01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46" t="s">
        <v>59</v>
      </c>
      <c r="V92" s="46" t="s">
        <v>80</v>
      </c>
      <c r="W92" s="47"/>
    </row>
    <row r="93" spans="1:23" s="48" customFormat="1" ht="26.25" customHeight="1">
      <c r="A93" s="63" t="s">
        <v>97</v>
      </c>
      <c r="B93" s="64">
        <v>200</v>
      </c>
      <c r="C93" s="49">
        <v>3</v>
      </c>
      <c r="D93" s="49">
        <v>4.7</v>
      </c>
      <c r="E93" s="49">
        <v>12.9</v>
      </c>
      <c r="F93" s="49">
        <v>107.3</v>
      </c>
      <c r="G93" s="50">
        <v>0.06</v>
      </c>
      <c r="H93" s="50">
        <v>5.52</v>
      </c>
      <c r="I93" s="50">
        <v>0.19</v>
      </c>
      <c r="J93" s="50">
        <v>1.84</v>
      </c>
      <c r="K93" s="50">
        <v>0</v>
      </c>
      <c r="L93" s="50">
        <v>0.04</v>
      </c>
      <c r="M93" s="50">
        <v>49.24</v>
      </c>
      <c r="N93" s="50">
        <v>26.69</v>
      </c>
      <c r="O93" s="50">
        <v>72.25</v>
      </c>
      <c r="P93" s="50">
        <v>1.3</v>
      </c>
      <c r="Q93" s="50">
        <v>364.3</v>
      </c>
      <c r="R93" s="50">
        <v>3.94</v>
      </c>
      <c r="S93" s="50">
        <v>0.02</v>
      </c>
      <c r="T93" s="50">
        <v>0</v>
      </c>
      <c r="U93" s="46" t="s">
        <v>98</v>
      </c>
      <c r="V93" s="46" t="s">
        <v>80</v>
      </c>
      <c r="W93" s="47"/>
    </row>
    <row r="94" spans="1:23" s="68" customFormat="1" ht="24.75" customHeight="1">
      <c r="A94" s="63" t="s">
        <v>175</v>
      </c>
      <c r="B94" s="64">
        <v>170</v>
      </c>
      <c r="C94" s="49">
        <f>12.3*170/175</f>
        <v>11.948571428571428</v>
      </c>
      <c r="D94" s="49">
        <f>23.5*170/175</f>
        <v>22.828571428571429</v>
      </c>
      <c r="E94" s="49">
        <f>16.58*170/175</f>
        <v>16.106285714285715</v>
      </c>
      <c r="F94" s="49">
        <f>323*170/175</f>
        <v>313.77142857142854</v>
      </c>
      <c r="G94" s="45">
        <v>0.36</v>
      </c>
      <c r="H94" s="45">
        <v>7.2</v>
      </c>
      <c r="I94" s="45">
        <v>0.03</v>
      </c>
      <c r="J94" s="45">
        <v>1.42</v>
      </c>
      <c r="K94" s="45">
        <v>0.05</v>
      </c>
      <c r="L94" s="45">
        <v>0.13</v>
      </c>
      <c r="M94" s="45">
        <v>25.93</v>
      </c>
      <c r="N94" s="45">
        <v>36.19</v>
      </c>
      <c r="O94" s="45">
        <v>160.52000000000001</v>
      </c>
      <c r="P94" s="45">
        <v>2.1</v>
      </c>
      <c r="Q94" s="45">
        <v>733.2</v>
      </c>
      <c r="R94" s="45">
        <v>9.64</v>
      </c>
      <c r="S94" s="45">
        <v>7.0000000000000007E-2</v>
      </c>
      <c r="T94" s="45">
        <v>0</v>
      </c>
      <c r="U94" s="58" t="s">
        <v>176</v>
      </c>
      <c r="V94" s="46">
        <v>2017</v>
      </c>
      <c r="W94" s="47"/>
    </row>
    <row r="95" spans="1:23" s="48" customFormat="1" ht="24.75" customHeight="1">
      <c r="A95" s="63" t="s">
        <v>85</v>
      </c>
      <c r="B95" s="64">
        <v>180</v>
      </c>
      <c r="C95" s="49">
        <v>2.65</v>
      </c>
      <c r="D95" s="49">
        <v>3.19</v>
      </c>
      <c r="E95" s="49">
        <v>15.82</v>
      </c>
      <c r="F95" s="49">
        <v>106.74</v>
      </c>
      <c r="G95" s="50">
        <v>0.03</v>
      </c>
      <c r="H95" s="50">
        <v>0.47</v>
      </c>
      <c r="I95" s="50">
        <v>0.01</v>
      </c>
      <c r="J95" s="50">
        <v>0</v>
      </c>
      <c r="K95" s="50">
        <v>0</v>
      </c>
      <c r="L95" s="50">
        <v>0.1</v>
      </c>
      <c r="M95" s="50">
        <v>100.28</v>
      </c>
      <c r="N95" s="50">
        <v>24.74</v>
      </c>
      <c r="O95" s="50">
        <v>86.02</v>
      </c>
      <c r="P95" s="50">
        <v>0.78</v>
      </c>
      <c r="Q95" s="50">
        <v>186.56</v>
      </c>
      <c r="R95" s="50">
        <v>8.1</v>
      </c>
      <c r="S95" s="50">
        <v>0</v>
      </c>
      <c r="T95" s="50">
        <v>0</v>
      </c>
      <c r="U95" s="46" t="s">
        <v>86</v>
      </c>
      <c r="V95" s="46" t="s">
        <v>29</v>
      </c>
      <c r="W95" s="47"/>
    </row>
    <row r="96" spans="1:23" s="48" customFormat="1" ht="24.75" customHeight="1">
      <c r="A96" s="63" t="s">
        <v>293</v>
      </c>
      <c r="B96" s="64">
        <v>30</v>
      </c>
      <c r="C96" s="49">
        <v>2.2999999999999998</v>
      </c>
      <c r="D96" s="49">
        <v>2.9</v>
      </c>
      <c r="E96" s="49">
        <v>26.3</v>
      </c>
      <c r="F96" s="49">
        <v>125.1</v>
      </c>
      <c r="G96" s="50">
        <v>0.02</v>
      </c>
      <c r="H96" s="50">
        <v>0</v>
      </c>
      <c r="I96" s="50">
        <v>0</v>
      </c>
      <c r="J96" s="50">
        <v>0</v>
      </c>
      <c r="K96" s="50">
        <v>0</v>
      </c>
      <c r="L96" s="50">
        <v>0.02</v>
      </c>
      <c r="M96" s="50">
        <v>8.6999999999999993</v>
      </c>
      <c r="N96" s="50">
        <v>6</v>
      </c>
      <c r="O96" s="50">
        <v>27</v>
      </c>
      <c r="P96" s="50">
        <v>0.63</v>
      </c>
      <c r="Q96" s="50">
        <v>33</v>
      </c>
      <c r="R96" s="50">
        <v>0</v>
      </c>
      <c r="S96" s="50">
        <v>0</v>
      </c>
      <c r="T96" s="50">
        <v>0</v>
      </c>
      <c r="U96" s="46" t="s">
        <v>223</v>
      </c>
      <c r="V96" s="46">
        <v>2017</v>
      </c>
      <c r="W96" s="47"/>
    </row>
    <row r="97" spans="1:23" s="48" customFormat="1" ht="24" customHeight="1">
      <c r="A97" s="43" t="s">
        <v>51</v>
      </c>
      <c r="B97" s="44">
        <v>40</v>
      </c>
      <c r="C97" s="49">
        <v>3.05</v>
      </c>
      <c r="D97" s="49">
        <v>0.25</v>
      </c>
      <c r="E97" s="49">
        <v>20.07</v>
      </c>
      <c r="F97" s="49">
        <v>94.73</v>
      </c>
      <c r="G97" s="50">
        <v>0.06</v>
      </c>
      <c r="H97" s="50">
        <v>0</v>
      </c>
      <c r="I97" s="50">
        <v>0</v>
      </c>
      <c r="J97" s="50">
        <v>0.78</v>
      </c>
      <c r="K97" s="50">
        <v>0</v>
      </c>
      <c r="L97" s="50">
        <v>0.02</v>
      </c>
      <c r="M97" s="50">
        <v>9.1999999999999993</v>
      </c>
      <c r="N97" s="50">
        <v>13.2</v>
      </c>
      <c r="O97" s="50">
        <v>33.6</v>
      </c>
      <c r="P97" s="50">
        <v>0.8</v>
      </c>
      <c r="Q97" s="50">
        <v>51.6</v>
      </c>
      <c r="R97" s="50">
        <v>0</v>
      </c>
      <c r="S97" s="50">
        <v>0.01</v>
      </c>
      <c r="T97" s="50">
        <v>0</v>
      </c>
      <c r="U97" s="46" t="s">
        <v>223</v>
      </c>
      <c r="V97" s="46" t="s">
        <v>38</v>
      </c>
      <c r="W97" s="47"/>
    </row>
    <row r="98" spans="1:23" s="48" customFormat="1" ht="21" customHeight="1">
      <c r="A98" s="43" t="s">
        <v>37</v>
      </c>
      <c r="B98" s="44">
        <v>20</v>
      </c>
      <c r="C98" s="49">
        <v>1.1200000000000001</v>
      </c>
      <c r="D98" s="49">
        <v>0.22</v>
      </c>
      <c r="E98" s="49">
        <v>9.8800000000000008</v>
      </c>
      <c r="F98" s="49">
        <v>45.98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50">
        <v>0</v>
      </c>
      <c r="T98" s="50">
        <v>0</v>
      </c>
      <c r="U98" s="46" t="s">
        <v>223</v>
      </c>
      <c r="V98" s="46" t="s">
        <v>38</v>
      </c>
      <c r="W98" s="47"/>
    </row>
    <row r="99" spans="1:23" s="48" customFormat="1" ht="21.6" customHeight="1">
      <c r="A99" s="51" t="s">
        <v>88</v>
      </c>
      <c r="B99" s="52">
        <f>SUM(B92:B98)</f>
        <v>700</v>
      </c>
      <c r="C99" s="53">
        <f t="shared" ref="C99:T99" si="13">SUM(C92:C98)</f>
        <v>24.46857142857143</v>
      </c>
      <c r="D99" s="53">
        <f t="shared" si="13"/>
        <v>34.188571428571429</v>
      </c>
      <c r="E99" s="53">
        <f t="shared" si="13"/>
        <v>102.07628571428572</v>
      </c>
      <c r="F99" s="53">
        <f t="shared" si="13"/>
        <v>799.62142857142862</v>
      </c>
      <c r="G99" s="53">
        <f t="shared" si="13"/>
        <v>0.55000000000000004</v>
      </c>
      <c r="H99" s="53">
        <f t="shared" si="13"/>
        <v>15.64</v>
      </c>
      <c r="I99" s="53">
        <f t="shared" si="13"/>
        <v>0.23</v>
      </c>
      <c r="J99" s="53">
        <f t="shared" si="13"/>
        <v>4.04</v>
      </c>
      <c r="K99" s="53">
        <f t="shared" si="13"/>
        <v>0.05</v>
      </c>
      <c r="L99" s="53">
        <f t="shared" si="13"/>
        <v>0.32000000000000006</v>
      </c>
      <c r="M99" s="53">
        <f t="shared" si="13"/>
        <v>193.34999999999997</v>
      </c>
      <c r="N99" s="53">
        <f t="shared" si="13"/>
        <v>106.82</v>
      </c>
      <c r="O99" s="53">
        <f t="shared" si="13"/>
        <v>379.39000000000004</v>
      </c>
      <c r="P99" s="53">
        <f t="shared" si="13"/>
        <v>5.61</v>
      </c>
      <c r="Q99" s="53">
        <f t="shared" si="13"/>
        <v>1368.6599999999999</v>
      </c>
      <c r="R99" s="53">
        <f t="shared" si="13"/>
        <v>21.68</v>
      </c>
      <c r="S99" s="53">
        <f t="shared" si="13"/>
        <v>0.1</v>
      </c>
      <c r="T99" s="53">
        <f t="shared" si="13"/>
        <v>0</v>
      </c>
      <c r="U99" s="54"/>
      <c r="V99" s="54"/>
      <c r="W99" s="47"/>
    </row>
    <row r="100" spans="1:23" s="48" customFormat="1" ht="14.65" customHeight="1">
      <c r="A100" s="98" t="s">
        <v>101</v>
      </c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100"/>
      <c r="W100" s="47"/>
    </row>
    <row r="101" spans="1:23" s="48" customFormat="1" ht="36.75" customHeight="1">
      <c r="A101" s="43" t="s">
        <v>256</v>
      </c>
      <c r="B101" s="44">
        <v>160</v>
      </c>
      <c r="C101" s="45">
        <v>11.06</v>
      </c>
      <c r="D101" s="45">
        <f>5.24*150/80</f>
        <v>9.8249999999999993</v>
      </c>
      <c r="E101" s="45">
        <v>24.79</v>
      </c>
      <c r="F101" s="45" t="s">
        <v>306</v>
      </c>
      <c r="G101" s="45">
        <v>0.05</v>
      </c>
      <c r="H101" s="45">
        <v>0.63</v>
      </c>
      <c r="I101" s="45">
        <v>0.42</v>
      </c>
      <c r="J101" s="45">
        <v>2.12</v>
      </c>
      <c r="K101" s="45">
        <v>0.09</v>
      </c>
      <c r="L101" s="45">
        <v>0.17</v>
      </c>
      <c r="M101" s="45">
        <v>122.96</v>
      </c>
      <c r="N101" s="45">
        <v>26.24</v>
      </c>
      <c r="O101" s="45">
        <v>154.96</v>
      </c>
      <c r="P101" s="45">
        <v>1.04</v>
      </c>
      <c r="Q101" s="45">
        <v>188.59</v>
      </c>
      <c r="R101" s="45">
        <v>3.84</v>
      </c>
      <c r="S101" s="45">
        <v>0.03</v>
      </c>
      <c r="T101" s="45">
        <v>0.02</v>
      </c>
      <c r="U101" s="46" t="s">
        <v>204</v>
      </c>
      <c r="V101" s="46">
        <v>2023</v>
      </c>
      <c r="W101" s="47"/>
    </row>
    <row r="102" spans="1:23" s="48" customFormat="1" ht="34.5" customHeight="1">
      <c r="A102" s="43" t="s">
        <v>70</v>
      </c>
      <c r="B102" s="44">
        <v>180</v>
      </c>
      <c r="C102" s="49">
        <v>0.14000000000000001</v>
      </c>
      <c r="D102" s="49">
        <v>0.14000000000000001</v>
      </c>
      <c r="E102" s="49">
        <v>25.09</v>
      </c>
      <c r="F102" s="49">
        <v>103.14</v>
      </c>
      <c r="G102" s="50">
        <v>0.01</v>
      </c>
      <c r="H102" s="50">
        <v>1.44</v>
      </c>
      <c r="I102" s="50">
        <v>0</v>
      </c>
      <c r="J102" s="50">
        <v>0.23</v>
      </c>
      <c r="K102" s="50">
        <v>0</v>
      </c>
      <c r="L102" s="50">
        <v>0.01</v>
      </c>
      <c r="M102" s="50">
        <v>11.84</v>
      </c>
      <c r="N102" s="50">
        <v>3.99</v>
      </c>
      <c r="O102" s="50">
        <v>3.56</v>
      </c>
      <c r="P102" s="50">
        <v>0.71</v>
      </c>
      <c r="Q102" s="50">
        <v>101.19</v>
      </c>
      <c r="R102" s="50">
        <v>0.72</v>
      </c>
      <c r="S102" s="50">
        <v>0</v>
      </c>
      <c r="T102" s="50">
        <v>0</v>
      </c>
      <c r="U102" s="46" t="s">
        <v>71</v>
      </c>
      <c r="V102" s="46">
        <v>2017</v>
      </c>
      <c r="W102" s="47"/>
    </row>
    <row r="103" spans="1:23" s="48" customFormat="1" ht="21.6" customHeight="1">
      <c r="A103" s="51" t="s">
        <v>88</v>
      </c>
      <c r="B103" s="52">
        <f t="shared" ref="B103:T103" si="14">SUM(B101:B102)</f>
        <v>340</v>
      </c>
      <c r="C103" s="53">
        <f t="shared" si="14"/>
        <v>11.200000000000001</v>
      </c>
      <c r="D103" s="53">
        <f t="shared" si="14"/>
        <v>9.9649999999999999</v>
      </c>
      <c r="E103" s="53">
        <f t="shared" si="14"/>
        <v>49.879999999999995</v>
      </c>
      <c r="F103" s="53">
        <f t="shared" si="14"/>
        <v>103.14</v>
      </c>
      <c r="G103" s="53">
        <f t="shared" si="14"/>
        <v>6.0000000000000005E-2</v>
      </c>
      <c r="H103" s="53">
        <f t="shared" si="14"/>
        <v>2.0699999999999998</v>
      </c>
      <c r="I103" s="53">
        <f t="shared" si="14"/>
        <v>0.42</v>
      </c>
      <c r="J103" s="53">
        <f t="shared" si="14"/>
        <v>2.35</v>
      </c>
      <c r="K103" s="53">
        <f t="shared" si="14"/>
        <v>0.09</v>
      </c>
      <c r="L103" s="53">
        <f t="shared" si="14"/>
        <v>0.18000000000000002</v>
      </c>
      <c r="M103" s="53">
        <f t="shared" si="14"/>
        <v>134.79999999999998</v>
      </c>
      <c r="N103" s="53">
        <f t="shared" si="14"/>
        <v>30.229999999999997</v>
      </c>
      <c r="O103" s="53">
        <f t="shared" si="14"/>
        <v>158.52000000000001</v>
      </c>
      <c r="P103" s="53">
        <f t="shared" si="14"/>
        <v>1.75</v>
      </c>
      <c r="Q103" s="53">
        <f t="shared" si="14"/>
        <v>289.77999999999997</v>
      </c>
      <c r="R103" s="53">
        <f t="shared" si="14"/>
        <v>4.5599999999999996</v>
      </c>
      <c r="S103" s="53">
        <f t="shared" si="14"/>
        <v>0.03</v>
      </c>
      <c r="T103" s="53">
        <f t="shared" si="14"/>
        <v>0.02</v>
      </c>
      <c r="U103" s="54"/>
      <c r="V103" s="54"/>
      <c r="W103" s="47"/>
    </row>
    <row r="104" spans="1:23" s="48" customFormat="1" ht="21.6" customHeight="1">
      <c r="A104" s="51" t="s">
        <v>102</v>
      </c>
      <c r="B104" s="65"/>
      <c r="C104" s="66">
        <f t="shared" ref="C104:T104" si="15">C103+C99+C90</f>
        <v>56.128571428571433</v>
      </c>
      <c r="D104" s="66">
        <f t="shared" si="15"/>
        <v>64.523571428571429</v>
      </c>
      <c r="E104" s="66">
        <f t="shared" si="15"/>
        <v>224.38628571428569</v>
      </c>
      <c r="F104" s="66">
        <f t="shared" si="15"/>
        <v>1431.5414285714287</v>
      </c>
      <c r="G104" s="66">
        <f t="shared" si="15"/>
        <v>0.83750000000000013</v>
      </c>
      <c r="H104" s="66">
        <f t="shared" si="15"/>
        <v>30.291250000000002</v>
      </c>
      <c r="I104" s="66">
        <f t="shared" si="15"/>
        <v>42.147499999999994</v>
      </c>
      <c r="J104" s="66">
        <f t="shared" si="15"/>
        <v>8.17</v>
      </c>
      <c r="K104" s="66">
        <f t="shared" si="15"/>
        <v>0.33</v>
      </c>
      <c r="L104" s="66">
        <f t="shared" si="15"/>
        <v>1.0693750000000002</v>
      </c>
      <c r="M104" s="66">
        <f t="shared" si="15"/>
        <v>705.96875</v>
      </c>
      <c r="N104" s="66">
        <f t="shared" si="15"/>
        <v>206.72499999999997</v>
      </c>
      <c r="O104" s="66">
        <f t="shared" si="15"/>
        <v>915.42250000000013</v>
      </c>
      <c r="P104" s="66">
        <f t="shared" si="15"/>
        <v>11.46625</v>
      </c>
      <c r="Q104" s="66">
        <f t="shared" si="15"/>
        <v>2439.2649999999999</v>
      </c>
      <c r="R104" s="66">
        <f t="shared" si="15"/>
        <v>47.75</v>
      </c>
      <c r="S104" s="66">
        <f t="shared" si="15"/>
        <v>0.22</v>
      </c>
      <c r="T104" s="66">
        <f t="shared" si="15"/>
        <v>0.05</v>
      </c>
      <c r="U104" s="54"/>
      <c r="V104" s="54"/>
      <c r="W104" s="47"/>
    </row>
    <row r="105" spans="1:23" s="48" customFormat="1" ht="28.35" customHeight="1">
      <c r="A105" s="93" t="s">
        <v>266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47"/>
    </row>
    <row r="106" spans="1:23" s="7" customFormat="1" ht="13.35" customHeight="1">
      <c r="A106" s="95" t="s">
        <v>1</v>
      </c>
      <c r="B106" s="95" t="s">
        <v>2</v>
      </c>
      <c r="C106" s="103" t="s">
        <v>3</v>
      </c>
      <c r="D106" s="103"/>
      <c r="E106" s="103"/>
      <c r="F106" s="103" t="s">
        <v>4</v>
      </c>
      <c r="G106" s="103" t="s">
        <v>5</v>
      </c>
      <c r="H106" s="103"/>
      <c r="I106" s="103"/>
      <c r="J106" s="103"/>
      <c r="K106" s="103"/>
      <c r="L106" s="103"/>
      <c r="M106" s="103" t="s">
        <v>6</v>
      </c>
      <c r="N106" s="103"/>
      <c r="O106" s="103"/>
      <c r="P106" s="103"/>
      <c r="Q106" s="103"/>
      <c r="R106" s="103"/>
      <c r="S106" s="103"/>
      <c r="T106" s="103"/>
      <c r="U106" s="95" t="s">
        <v>7</v>
      </c>
      <c r="V106" s="95" t="s">
        <v>8</v>
      </c>
    </row>
    <row r="107" spans="1:23" s="7" customFormat="1" ht="26.65" customHeight="1">
      <c r="A107" s="95"/>
      <c r="B107" s="95"/>
      <c r="C107" s="67" t="s">
        <v>9</v>
      </c>
      <c r="D107" s="67" t="s">
        <v>10</v>
      </c>
      <c r="E107" s="67" t="s">
        <v>11</v>
      </c>
      <c r="F107" s="103"/>
      <c r="G107" s="67" t="s">
        <v>12</v>
      </c>
      <c r="H107" s="67" t="s">
        <v>13</v>
      </c>
      <c r="I107" s="67" t="s">
        <v>14</v>
      </c>
      <c r="J107" s="67" t="s">
        <v>15</v>
      </c>
      <c r="K107" s="67" t="s">
        <v>16</v>
      </c>
      <c r="L107" s="67" t="s">
        <v>17</v>
      </c>
      <c r="M107" s="67" t="s">
        <v>18</v>
      </c>
      <c r="N107" s="67" t="s">
        <v>19</v>
      </c>
      <c r="O107" s="67" t="s">
        <v>20</v>
      </c>
      <c r="P107" s="67" t="s">
        <v>21</v>
      </c>
      <c r="Q107" s="67" t="s">
        <v>22</v>
      </c>
      <c r="R107" s="67" t="s">
        <v>23</v>
      </c>
      <c r="S107" s="67" t="s">
        <v>24</v>
      </c>
      <c r="T107" s="67" t="s">
        <v>25</v>
      </c>
      <c r="U107" s="95"/>
      <c r="V107" s="95"/>
    </row>
    <row r="108" spans="1:23" s="48" customFormat="1" ht="14.65" customHeight="1">
      <c r="A108" s="98" t="s">
        <v>74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100"/>
      <c r="W108" s="47"/>
    </row>
    <row r="109" spans="1:23" s="48" customFormat="1" ht="34.5" customHeight="1">
      <c r="A109" s="43" t="s">
        <v>104</v>
      </c>
      <c r="B109" s="44">
        <v>60</v>
      </c>
      <c r="C109" s="45">
        <v>0.67</v>
      </c>
      <c r="D109" s="45">
        <v>0.12</v>
      </c>
      <c r="E109" s="45">
        <v>2.2799999999999998</v>
      </c>
      <c r="F109" s="45">
        <v>13.2</v>
      </c>
      <c r="G109" s="45">
        <v>0.02</v>
      </c>
      <c r="H109" s="45">
        <v>2.4500000000000002</v>
      </c>
      <c r="I109" s="45">
        <v>0</v>
      </c>
      <c r="J109" s="45">
        <v>0</v>
      </c>
      <c r="K109" s="45">
        <v>0</v>
      </c>
      <c r="L109" s="45">
        <v>0.01</v>
      </c>
      <c r="M109" s="45">
        <v>0</v>
      </c>
      <c r="N109" s="45">
        <v>0</v>
      </c>
      <c r="O109" s="45">
        <v>0</v>
      </c>
      <c r="P109" s="45">
        <v>0</v>
      </c>
      <c r="Q109" s="45">
        <v>0</v>
      </c>
      <c r="R109" s="45">
        <v>0</v>
      </c>
      <c r="S109" s="45">
        <v>0</v>
      </c>
      <c r="T109" s="45">
        <v>0</v>
      </c>
      <c r="U109" s="46">
        <v>71</v>
      </c>
      <c r="V109" s="46" t="s">
        <v>80</v>
      </c>
      <c r="W109" s="47"/>
    </row>
    <row r="110" spans="1:23" s="48" customFormat="1" ht="23.25" customHeight="1">
      <c r="A110" s="43" t="s">
        <v>105</v>
      </c>
      <c r="B110" s="44">
        <v>150</v>
      </c>
      <c r="C110" s="45">
        <f>20.43*0.15</f>
        <v>3.0644999999999998</v>
      </c>
      <c r="D110" s="45">
        <f>32.01*0.15</f>
        <v>4.8014999999999999</v>
      </c>
      <c r="E110" s="45">
        <f>136*0.15</f>
        <v>20.399999999999999</v>
      </c>
      <c r="F110" s="45">
        <f>915*0.15</f>
        <v>137.25</v>
      </c>
      <c r="G110" s="45">
        <f>0.93*0.15</f>
        <v>0.13950000000000001</v>
      </c>
      <c r="H110" s="45">
        <v>8.33</v>
      </c>
      <c r="I110" s="45">
        <v>0.03</v>
      </c>
      <c r="J110" s="45">
        <v>0.22</v>
      </c>
      <c r="K110" s="45">
        <v>0.08</v>
      </c>
      <c r="L110" s="45">
        <f>0.74*0.15</f>
        <v>0.111</v>
      </c>
      <c r="M110" s="45">
        <f>246.5*0.15</f>
        <v>36.975000000000001</v>
      </c>
      <c r="N110" s="45">
        <v>25.06</v>
      </c>
      <c r="O110" s="45">
        <f>577.3*0.15</f>
        <v>86.594999999999985</v>
      </c>
      <c r="P110" s="45">
        <v>1</v>
      </c>
      <c r="Q110" s="45">
        <f>4323*0.15</f>
        <v>648.44999999999993</v>
      </c>
      <c r="R110" s="45">
        <v>7.26</v>
      </c>
      <c r="S110" s="45">
        <v>0.03</v>
      </c>
      <c r="T110" s="45">
        <v>0</v>
      </c>
      <c r="U110" s="46" t="s">
        <v>106</v>
      </c>
      <c r="V110" s="46" t="s">
        <v>80</v>
      </c>
      <c r="W110" s="47"/>
    </row>
    <row r="111" spans="1:23" s="48" customFormat="1" ht="24.75" customHeight="1">
      <c r="A111" s="43" t="s">
        <v>244</v>
      </c>
      <c r="B111" s="44">
        <v>105</v>
      </c>
      <c r="C111" s="45">
        <f>7.61*105/80</f>
        <v>9.9881250000000001</v>
      </c>
      <c r="D111" s="45">
        <f>8.44*105/80</f>
        <v>11.077499999999999</v>
      </c>
      <c r="E111" s="45">
        <f>9.41*105/80</f>
        <v>12.350625000000001</v>
      </c>
      <c r="F111" s="45">
        <f>122*105/80</f>
        <v>160.125</v>
      </c>
      <c r="G111" s="45">
        <f>0.06*105/80</f>
        <v>7.8750000000000001E-2</v>
      </c>
      <c r="H111" s="45">
        <f>1.15*105/80</f>
        <v>1.5093749999999999</v>
      </c>
      <c r="I111" s="45">
        <f>14.8*105/80</f>
        <v>19.425000000000001</v>
      </c>
      <c r="J111" s="45">
        <v>3.41</v>
      </c>
      <c r="K111" s="45">
        <v>0</v>
      </c>
      <c r="L111" s="45">
        <f>0.05*105/80</f>
        <v>6.5625000000000003E-2</v>
      </c>
      <c r="M111" s="45">
        <f>51.05*105/80</f>
        <v>67.003124999999997</v>
      </c>
      <c r="N111" s="45">
        <f>16.28*105/80</f>
        <v>21.3675</v>
      </c>
      <c r="O111" s="45">
        <f>97.9*105/80</f>
        <v>128.49375000000001</v>
      </c>
      <c r="P111" s="45">
        <f>0.5*105/80</f>
        <v>0.65625</v>
      </c>
      <c r="Q111" s="45">
        <f>165.33*105/80</f>
        <v>216.99562500000002</v>
      </c>
      <c r="R111" s="45">
        <v>95.52</v>
      </c>
      <c r="S111" s="45">
        <v>0.4</v>
      </c>
      <c r="T111" s="45">
        <v>0.01</v>
      </c>
      <c r="U111" s="46" t="s">
        <v>245</v>
      </c>
      <c r="V111" s="46">
        <v>2017</v>
      </c>
      <c r="W111" s="47"/>
    </row>
    <row r="112" spans="1:23" s="48" customFormat="1" ht="27" customHeight="1">
      <c r="A112" s="43" t="s">
        <v>70</v>
      </c>
      <c r="B112" s="44">
        <v>180</v>
      </c>
      <c r="C112" s="49">
        <v>0.14000000000000001</v>
      </c>
      <c r="D112" s="49">
        <v>0.14000000000000001</v>
      </c>
      <c r="E112" s="49">
        <v>25.09</v>
      </c>
      <c r="F112" s="49">
        <v>103.14</v>
      </c>
      <c r="G112" s="50">
        <v>0.01</v>
      </c>
      <c r="H112" s="50">
        <v>1.44</v>
      </c>
      <c r="I112" s="50">
        <v>0</v>
      </c>
      <c r="J112" s="50">
        <v>0.23</v>
      </c>
      <c r="K112" s="50">
        <v>0</v>
      </c>
      <c r="L112" s="50">
        <v>0.01</v>
      </c>
      <c r="M112" s="50">
        <v>11.84</v>
      </c>
      <c r="N112" s="50">
        <v>3.99</v>
      </c>
      <c r="O112" s="50">
        <v>3.56</v>
      </c>
      <c r="P112" s="50">
        <v>0.71</v>
      </c>
      <c r="Q112" s="50">
        <v>101.19</v>
      </c>
      <c r="R112" s="50">
        <v>0.72</v>
      </c>
      <c r="S112" s="50">
        <v>0</v>
      </c>
      <c r="T112" s="50">
        <v>0</v>
      </c>
      <c r="U112" s="46" t="s">
        <v>71</v>
      </c>
      <c r="V112" s="46">
        <v>2017</v>
      </c>
      <c r="W112" s="47"/>
    </row>
    <row r="113" spans="1:23" s="48" customFormat="1" ht="21" customHeight="1">
      <c r="A113" s="43" t="s">
        <v>51</v>
      </c>
      <c r="B113" s="44">
        <v>30</v>
      </c>
      <c r="C113" s="45">
        <v>2.2999999999999998</v>
      </c>
      <c r="D113" s="45">
        <v>0.19</v>
      </c>
      <c r="E113" s="45">
        <v>15.05</v>
      </c>
      <c r="F113" s="45">
        <v>71.05</v>
      </c>
      <c r="G113" s="45">
        <v>0.05</v>
      </c>
      <c r="H113" s="45">
        <v>0</v>
      </c>
      <c r="I113" s="45">
        <v>0</v>
      </c>
      <c r="J113" s="45">
        <v>0.59</v>
      </c>
      <c r="K113" s="45">
        <v>0</v>
      </c>
      <c r="L113" s="45">
        <v>0.02</v>
      </c>
      <c r="M113" s="45">
        <v>6.9</v>
      </c>
      <c r="N113" s="45">
        <v>9.9</v>
      </c>
      <c r="O113" s="45">
        <v>25.2</v>
      </c>
      <c r="P113" s="45">
        <v>0.6</v>
      </c>
      <c r="Q113" s="45">
        <v>38.700000000000003</v>
      </c>
      <c r="R113" s="45">
        <v>0</v>
      </c>
      <c r="S113" s="45">
        <v>0</v>
      </c>
      <c r="T113" s="45">
        <v>0</v>
      </c>
      <c r="U113" s="46" t="s">
        <v>223</v>
      </c>
      <c r="V113" s="46" t="s">
        <v>38</v>
      </c>
      <c r="W113" s="47"/>
    </row>
    <row r="114" spans="1:23" s="48" customFormat="1" ht="21.6" customHeight="1">
      <c r="A114" s="51" t="s">
        <v>88</v>
      </c>
      <c r="B114" s="52">
        <f>SUM(B109:B113)</f>
        <v>525</v>
      </c>
      <c r="C114" s="53">
        <f t="shared" ref="C114:T114" si="16">SUM(C109:C113)</f>
        <v>16.162625000000002</v>
      </c>
      <c r="D114" s="53">
        <f t="shared" si="16"/>
        <v>16.329000000000001</v>
      </c>
      <c r="E114" s="53">
        <f t="shared" si="16"/>
        <v>75.170625000000001</v>
      </c>
      <c r="F114" s="53">
        <f t="shared" si="16"/>
        <v>484.76499999999999</v>
      </c>
      <c r="G114" s="53">
        <f t="shared" si="16"/>
        <v>0.29825000000000002</v>
      </c>
      <c r="H114" s="53">
        <f t="shared" si="16"/>
        <v>13.729375000000001</v>
      </c>
      <c r="I114" s="53">
        <f t="shared" si="16"/>
        <v>19.455000000000002</v>
      </c>
      <c r="J114" s="53">
        <f t="shared" si="16"/>
        <v>4.45</v>
      </c>
      <c r="K114" s="53">
        <f t="shared" si="16"/>
        <v>0.08</v>
      </c>
      <c r="L114" s="53">
        <f t="shared" si="16"/>
        <v>0.21662499999999998</v>
      </c>
      <c r="M114" s="53">
        <f t="shared" si="16"/>
        <v>122.71812500000001</v>
      </c>
      <c r="N114" s="53">
        <f t="shared" si="16"/>
        <v>60.317499999999995</v>
      </c>
      <c r="O114" s="53">
        <f t="shared" si="16"/>
        <v>243.84875</v>
      </c>
      <c r="P114" s="53">
        <f t="shared" si="16"/>
        <v>2.9662500000000001</v>
      </c>
      <c r="Q114" s="53">
        <f t="shared" si="16"/>
        <v>1005.3356249999999</v>
      </c>
      <c r="R114" s="53">
        <f t="shared" si="16"/>
        <v>103.5</v>
      </c>
      <c r="S114" s="53">
        <f t="shared" si="16"/>
        <v>0.43000000000000005</v>
      </c>
      <c r="T114" s="53">
        <f t="shared" si="16"/>
        <v>0.01</v>
      </c>
      <c r="U114" s="54"/>
      <c r="V114" s="54"/>
      <c r="W114" s="47"/>
    </row>
    <row r="115" spans="1:23" s="48" customFormat="1" ht="14.65" customHeight="1">
      <c r="A115" s="98" t="s">
        <v>96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100"/>
      <c r="W115" s="47"/>
    </row>
    <row r="116" spans="1:23" s="48" customFormat="1" ht="24.75" customHeight="1">
      <c r="A116" s="43" t="s">
        <v>242</v>
      </c>
      <c r="B116" s="44">
        <v>60</v>
      </c>
      <c r="C116" s="45">
        <v>0.9</v>
      </c>
      <c r="D116" s="45">
        <v>3.06</v>
      </c>
      <c r="E116" s="45">
        <v>5.55</v>
      </c>
      <c r="F116" s="45">
        <v>53.88</v>
      </c>
      <c r="G116" s="45">
        <f>0.22*0.06</f>
        <v>1.32E-2</v>
      </c>
      <c r="H116" s="45">
        <f>198.1*0.06</f>
        <v>11.885999999999999</v>
      </c>
      <c r="I116" s="45">
        <v>0</v>
      </c>
      <c r="J116" s="45">
        <v>1.27</v>
      </c>
      <c r="K116" s="45">
        <v>0</v>
      </c>
      <c r="L116" s="45">
        <f>0.27*0.06</f>
        <v>1.6199999999999999E-2</v>
      </c>
      <c r="M116" s="45">
        <f>522.47*0.06</f>
        <v>31.348200000000002</v>
      </c>
      <c r="N116" s="45">
        <f>160.11*0.06</f>
        <v>9.6066000000000003</v>
      </c>
      <c r="O116" s="45">
        <f>339.52*0.06</f>
        <v>20.371199999999998</v>
      </c>
      <c r="P116" s="45">
        <f>6.67*0.06</f>
        <v>0.4002</v>
      </c>
      <c r="Q116" s="45">
        <f>2832*0.06</f>
        <v>169.92</v>
      </c>
      <c r="R116" s="45">
        <v>1.64</v>
      </c>
      <c r="S116" s="45">
        <v>0.01</v>
      </c>
      <c r="T116" s="45">
        <v>0</v>
      </c>
      <c r="U116" s="46" t="s">
        <v>107</v>
      </c>
      <c r="V116" s="46" t="s">
        <v>80</v>
      </c>
      <c r="W116" s="47"/>
    </row>
    <row r="117" spans="1:23" s="48" customFormat="1" ht="23.25" customHeight="1">
      <c r="A117" s="43" t="s">
        <v>108</v>
      </c>
      <c r="B117" s="44">
        <v>200</v>
      </c>
      <c r="C117" s="45">
        <v>7.7</v>
      </c>
      <c r="D117" s="45">
        <v>12.7</v>
      </c>
      <c r="E117" s="45">
        <v>6.1</v>
      </c>
      <c r="F117" s="45">
        <v>232.9</v>
      </c>
      <c r="G117" s="45">
        <v>0.26</v>
      </c>
      <c r="H117" s="45">
        <v>6.24</v>
      </c>
      <c r="I117" s="45">
        <v>0.15</v>
      </c>
      <c r="J117" s="45">
        <v>1.53</v>
      </c>
      <c r="K117" s="45">
        <v>0.09</v>
      </c>
      <c r="L117" s="45">
        <v>0.11</v>
      </c>
      <c r="M117" s="45">
        <v>36.21</v>
      </c>
      <c r="N117" s="45">
        <v>27.13</v>
      </c>
      <c r="O117" s="45">
        <v>123.38</v>
      </c>
      <c r="P117" s="45">
        <v>1.58</v>
      </c>
      <c r="Q117" s="45">
        <v>405.59</v>
      </c>
      <c r="R117" s="45">
        <v>7.31</v>
      </c>
      <c r="S117" s="45">
        <v>0.06</v>
      </c>
      <c r="T117" s="45">
        <v>0</v>
      </c>
      <c r="U117" s="46" t="s">
        <v>250</v>
      </c>
      <c r="V117" s="46" t="s">
        <v>80</v>
      </c>
      <c r="W117" s="47"/>
    </row>
    <row r="118" spans="1:23" s="48" customFormat="1" ht="34.5" customHeight="1">
      <c r="A118" s="43" t="s">
        <v>110</v>
      </c>
      <c r="B118" s="44">
        <v>150</v>
      </c>
      <c r="C118" s="45">
        <v>6.8</v>
      </c>
      <c r="D118" s="45">
        <v>6.8</v>
      </c>
      <c r="E118" s="45">
        <v>33.200000000000003</v>
      </c>
      <c r="F118" s="45">
        <v>216.9</v>
      </c>
      <c r="G118" s="45">
        <v>0.08</v>
      </c>
      <c r="H118" s="45">
        <v>0.17</v>
      </c>
      <c r="I118" s="45">
        <v>0.14000000000000001</v>
      </c>
      <c r="J118" s="45">
        <v>3.01</v>
      </c>
      <c r="K118" s="45">
        <v>0.92</v>
      </c>
      <c r="L118" s="45">
        <v>0.22</v>
      </c>
      <c r="M118" s="45">
        <v>127.6</v>
      </c>
      <c r="N118" s="45">
        <v>16.29</v>
      </c>
      <c r="O118" s="45">
        <v>155.37</v>
      </c>
      <c r="P118" s="45">
        <v>1.69</v>
      </c>
      <c r="Q118" s="45">
        <v>150.41</v>
      </c>
      <c r="R118" s="45">
        <v>11.03</v>
      </c>
      <c r="S118" s="45">
        <v>0.03</v>
      </c>
      <c r="T118" s="45">
        <v>0.02</v>
      </c>
      <c r="U118" s="46" t="s">
        <v>248</v>
      </c>
      <c r="V118" s="46">
        <v>2017</v>
      </c>
      <c r="W118" s="47"/>
    </row>
    <row r="119" spans="1:23" s="48" customFormat="1" ht="24" customHeight="1">
      <c r="A119" s="43" t="s">
        <v>294</v>
      </c>
      <c r="B119" s="44">
        <v>200</v>
      </c>
      <c r="C119" s="45">
        <v>1.4</v>
      </c>
      <c r="D119" s="45">
        <v>0.4</v>
      </c>
      <c r="E119" s="45">
        <v>22.8</v>
      </c>
      <c r="F119" s="45">
        <v>100.4</v>
      </c>
      <c r="G119" s="45">
        <f>0.11*0.18</f>
        <v>1.9799999999999998E-2</v>
      </c>
      <c r="H119" s="45">
        <f>74*0.18</f>
        <v>13.32</v>
      </c>
      <c r="I119" s="45">
        <f>0</f>
        <v>0</v>
      </c>
      <c r="J119" s="45">
        <v>0</v>
      </c>
      <c r="K119" s="45">
        <v>0</v>
      </c>
      <c r="L119" s="45">
        <f>0.22*0.18</f>
        <v>3.9599999999999996E-2</v>
      </c>
      <c r="M119" s="45">
        <f>170*0.18</f>
        <v>30.599999999999998</v>
      </c>
      <c r="N119" s="45">
        <f>60*0.18</f>
        <v>10.799999999999999</v>
      </c>
      <c r="O119" s="45">
        <f>180*0.18</f>
        <v>32.4</v>
      </c>
      <c r="P119" s="45">
        <f>3*0.18</f>
        <v>0.54</v>
      </c>
      <c r="Q119" s="45">
        <f>2500*0.18</f>
        <v>450</v>
      </c>
      <c r="R119" s="45">
        <v>0</v>
      </c>
      <c r="S119" s="45">
        <v>0</v>
      </c>
      <c r="T119" s="45">
        <v>0</v>
      </c>
      <c r="U119" s="46" t="s">
        <v>100</v>
      </c>
      <c r="V119" s="46" t="s">
        <v>80</v>
      </c>
      <c r="W119" s="47"/>
    </row>
    <row r="120" spans="1:23" s="48" customFormat="1" ht="24" customHeight="1">
      <c r="A120" s="43" t="s">
        <v>51</v>
      </c>
      <c r="B120" s="44">
        <v>30</v>
      </c>
      <c r="C120" s="45">
        <v>2.2999999999999998</v>
      </c>
      <c r="D120" s="45">
        <v>0.19</v>
      </c>
      <c r="E120" s="45">
        <v>15.05</v>
      </c>
      <c r="F120" s="45">
        <v>71.05</v>
      </c>
      <c r="G120" s="45">
        <v>0.05</v>
      </c>
      <c r="H120" s="45">
        <v>0</v>
      </c>
      <c r="I120" s="45">
        <v>0</v>
      </c>
      <c r="J120" s="45">
        <v>0.59</v>
      </c>
      <c r="K120" s="45">
        <v>0</v>
      </c>
      <c r="L120" s="45">
        <v>0.02</v>
      </c>
      <c r="M120" s="45">
        <v>6.9</v>
      </c>
      <c r="N120" s="45">
        <v>9.9</v>
      </c>
      <c r="O120" s="45">
        <v>25.2</v>
      </c>
      <c r="P120" s="45">
        <v>0.6</v>
      </c>
      <c r="Q120" s="45">
        <v>38.700000000000003</v>
      </c>
      <c r="R120" s="45">
        <v>0</v>
      </c>
      <c r="S120" s="45">
        <v>0</v>
      </c>
      <c r="T120" s="45">
        <v>0</v>
      </c>
      <c r="U120" s="46" t="s">
        <v>223</v>
      </c>
      <c r="V120" s="46" t="s">
        <v>38</v>
      </c>
      <c r="W120" s="47"/>
    </row>
    <row r="121" spans="1:23" s="48" customFormat="1" ht="21.75" customHeight="1">
      <c r="A121" s="43" t="s">
        <v>37</v>
      </c>
      <c r="B121" s="44">
        <v>20</v>
      </c>
      <c r="C121" s="49">
        <v>1.1200000000000001</v>
      </c>
      <c r="D121" s="49">
        <v>0.22</v>
      </c>
      <c r="E121" s="49">
        <v>9.8800000000000008</v>
      </c>
      <c r="F121" s="49">
        <v>45.98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0</v>
      </c>
      <c r="R121" s="50">
        <v>0</v>
      </c>
      <c r="S121" s="50">
        <v>0</v>
      </c>
      <c r="T121" s="50">
        <v>0</v>
      </c>
      <c r="U121" s="46" t="s">
        <v>223</v>
      </c>
      <c r="V121" s="46" t="s">
        <v>38</v>
      </c>
      <c r="W121" s="47"/>
    </row>
    <row r="122" spans="1:23" s="48" customFormat="1" ht="19.5" customHeight="1">
      <c r="A122" s="43" t="s">
        <v>112</v>
      </c>
      <c r="B122" s="44">
        <v>200</v>
      </c>
      <c r="C122" s="45">
        <v>5.8</v>
      </c>
      <c r="D122" s="45">
        <v>5</v>
      </c>
      <c r="E122" s="45">
        <v>9.6</v>
      </c>
      <c r="F122" s="45">
        <v>107</v>
      </c>
      <c r="G122" s="45">
        <v>0.08</v>
      </c>
      <c r="H122" s="45">
        <v>2.6</v>
      </c>
      <c r="I122" s="45">
        <v>40</v>
      </c>
      <c r="J122" s="45">
        <v>0</v>
      </c>
      <c r="K122" s="45">
        <v>0</v>
      </c>
      <c r="L122" s="45">
        <v>0.03</v>
      </c>
      <c r="M122" s="45">
        <v>240</v>
      </c>
      <c r="N122" s="45">
        <v>28</v>
      </c>
      <c r="O122" s="45">
        <v>180</v>
      </c>
      <c r="P122" s="45">
        <v>0.2</v>
      </c>
      <c r="Q122" s="45">
        <v>292</v>
      </c>
      <c r="R122" s="45">
        <v>0</v>
      </c>
      <c r="S122" s="45">
        <v>0</v>
      </c>
      <c r="T122" s="45">
        <v>0</v>
      </c>
      <c r="U122" s="46" t="s">
        <v>223</v>
      </c>
      <c r="V122" s="46"/>
      <c r="W122" s="47"/>
    </row>
    <row r="123" spans="1:23" s="48" customFormat="1" ht="21.6" customHeight="1">
      <c r="A123" s="51" t="s">
        <v>88</v>
      </c>
      <c r="B123" s="52">
        <f>SUM(B116:B122)</f>
        <v>860</v>
      </c>
      <c r="C123" s="53">
        <f t="shared" ref="C123:T123" si="17">SUM(C116:C122)</f>
        <v>26.02</v>
      </c>
      <c r="D123" s="53">
        <f t="shared" si="17"/>
        <v>28.369999999999997</v>
      </c>
      <c r="E123" s="53">
        <f t="shared" si="17"/>
        <v>102.17999999999999</v>
      </c>
      <c r="F123" s="53">
        <f t="shared" si="17"/>
        <v>828.11</v>
      </c>
      <c r="G123" s="53">
        <f t="shared" si="17"/>
        <v>0.503</v>
      </c>
      <c r="H123" s="53">
        <f t="shared" si="17"/>
        <v>34.216000000000001</v>
      </c>
      <c r="I123" s="53">
        <f t="shared" si="17"/>
        <v>40.29</v>
      </c>
      <c r="J123" s="53">
        <f t="shared" si="17"/>
        <v>6.3999999999999995</v>
      </c>
      <c r="K123" s="53">
        <f t="shared" si="17"/>
        <v>1.01</v>
      </c>
      <c r="L123" s="53">
        <f t="shared" si="17"/>
        <v>0.43580000000000008</v>
      </c>
      <c r="M123" s="53">
        <f t="shared" si="17"/>
        <v>472.65819999999997</v>
      </c>
      <c r="N123" s="53">
        <f t="shared" si="17"/>
        <v>101.72659999999999</v>
      </c>
      <c r="O123" s="53">
        <f t="shared" si="17"/>
        <v>536.72119999999995</v>
      </c>
      <c r="P123" s="53">
        <f t="shared" si="17"/>
        <v>5.0102000000000002</v>
      </c>
      <c r="Q123" s="53">
        <f t="shared" si="17"/>
        <v>1506.6200000000001</v>
      </c>
      <c r="R123" s="53">
        <f t="shared" si="17"/>
        <v>19.979999999999997</v>
      </c>
      <c r="S123" s="53">
        <f t="shared" si="17"/>
        <v>9.9999999999999992E-2</v>
      </c>
      <c r="T123" s="53">
        <f t="shared" si="17"/>
        <v>0.02</v>
      </c>
      <c r="U123" s="54"/>
      <c r="V123" s="54"/>
      <c r="W123" s="47"/>
    </row>
    <row r="124" spans="1:23" s="48" customFormat="1" ht="14.65" customHeight="1">
      <c r="A124" s="98" t="s">
        <v>101</v>
      </c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100"/>
      <c r="W124" s="47"/>
    </row>
    <row r="125" spans="1:23" s="48" customFormat="1" ht="24" customHeight="1">
      <c r="A125" s="43" t="s">
        <v>285</v>
      </c>
      <c r="B125" s="44">
        <v>180</v>
      </c>
      <c r="C125" s="49">
        <v>4.68</v>
      </c>
      <c r="D125" s="49">
        <v>4.05</v>
      </c>
      <c r="E125" s="49">
        <v>6.48</v>
      </c>
      <c r="F125" s="49">
        <v>85.86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50">
        <v>0</v>
      </c>
      <c r="T125" s="50">
        <v>0</v>
      </c>
      <c r="U125" s="46" t="s">
        <v>223</v>
      </c>
      <c r="V125" s="46" t="s">
        <v>29</v>
      </c>
      <c r="W125" s="47"/>
    </row>
    <row r="126" spans="1:23" s="48" customFormat="1" ht="21.75" customHeight="1">
      <c r="A126" s="43" t="s">
        <v>286</v>
      </c>
      <c r="B126" s="44">
        <v>100</v>
      </c>
      <c r="C126" s="45">
        <v>0.4</v>
      </c>
      <c r="D126" s="45">
        <v>0.4</v>
      </c>
      <c r="E126" s="45">
        <v>9.8000000000000007</v>
      </c>
      <c r="F126" s="45">
        <v>47</v>
      </c>
      <c r="G126" s="45">
        <v>0.03</v>
      </c>
      <c r="H126" s="45">
        <v>10</v>
      </c>
      <c r="I126" s="45">
        <v>0.01</v>
      </c>
      <c r="J126" s="45">
        <v>0.63</v>
      </c>
      <c r="K126" s="45">
        <v>0</v>
      </c>
      <c r="L126" s="45">
        <v>0.02</v>
      </c>
      <c r="M126" s="45">
        <v>16</v>
      </c>
      <c r="N126" s="45">
        <v>8</v>
      </c>
      <c r="O126" s="45">
        <v>11</v>
      </c>
      <c r="P126" s="45">
        <v>2.2000000000000002</v>
      </c>
      <c r="Q126" s="45">
        <v>278</v>
      </c>
      <c r="R126" s="45">
        <v>2</v>
      </c>
      <c r="S126" s="45">
        <v>0.01</v>
      </c>
      <c r="T126" s="45">
        <v>0</v>
      </c>
      <c r="U126" s="46" t="s">
        <v>36</v>
      </c>
      <c r="V126" s="46" t="s">
        <v>29</v>
      </c>
      <c r="W126" s="47"/>
    </row>
    <row r="127" spans="1:23" s="48" customFormat="1" ht="20.25" customHeight="1">
      <c r="A127" s="69" t="s">
        <v>254</v>
      </c>
      <c r="B127" s="70">
        <v>75</v>
      </c>
      <c r="C127" s="45">
        <v>6.71</v>
      </c>
      <c r="D127" s="45">
        <v>7.52</v>
      </c>
      <c r="E127" s="45">
        <v>14.67</v>
      </c>
      <c r="F127" s="45">
        <v>159.15</v>
      </c>
      <c r="G127" s="45">
        <v>0.05</v>
      </c>
      <c r="H127" s="45">
        <v>0</v>
      </c>
      <c r="I127" s="45">
        <v>0</v>
      </c>
      <c r="J127" s="45">
        <v>1.5</v>
      </c>
      <c r="K127" s="45">
        <v>0.02</v>
      </c>
      <c r="L127" s="45">
        <v>0.02</v>
      </c>
      <c r="M127" s="45">
        <v>8.82</v>
      </c>
      <c r="N127" s="45">
        <v>5.71</v>
      </c>
      <c r="O127" s="45">
        <v>31.93</v>
      </c>
      <c r="P127" s="45">
        <v>0.36</v>
      </c>
      <c r="Q127" s="45">
        <v>49.34</v>
      </c>
      <c r="R127" s="45">
        <v>0.74</v>
      </c>
      <c r="S127" s="45">
        <v>0.01</v>
      </c>
      <c r="T127" s="45">
        <v>0.01</v>
      </c>
      <c r="U127" s="58" t="s">
        <v>113</v>
      </c>
      <c r="V127" s="46">
        <v>2017</v>
      </c>
      <c r="W127" s="47"/>
    </row>
    <row r="128" spans="1:23" s="48" customFormat="1" ht="12.2" customHeight="1">
      <c r="A128" s="51" t="s">
        <v>88</v>
      </c>
      <c r="B128" s="52">
        <f t="shared" ref="B128:T128" si="18">SUM(B125:B127)</f>
        <v>355</v>
      </c>
      <c r="C128" s="53">
        <f t="shared" si="18"/>
        <v>11.79</v>
      </c>
      <c r="D128" s="53">
        <f t="shared" si="18"/>
        <v>11.969999999999999</v>
      </c>
      <c r="E128" s="53">
        <f t="shared" si="18"/>
        <v>30.950000000000003</v>
      </c>
      <c r="F128" s="53">
        <f t="shared" si="18"/>
        <v>292.01</v>
      </c>
      <c r="G128" s="53">
        <f t="shared" si="18"/>
        <v>0.08</v>
      </c>
      <c r="H128" s="53">
        <f t="shared" si="18"/>
        <v>10</v>
      </c>
      <c r="I128" s="53">
        <f t="shared" si="18"/>
        <v>0.01</v>
      </c>
      <c r="J128" s="53">
        <f t="shared" si="18"/>
        <v>2.13</v>
      </c>
      <c r="K128" s="53">
        <f t="shared" si="18"/>
        <v>0.02</v>
      </c>
      <c r="L128" s="53">
        <f t="shared" si="18"/>
        <v>0.04</v>
      </c>
      <c r="M128" s="53">
        <f t="shared" si="18"/>
        <v>24.82</v>
      </c>
      <c r="N128" s="53">
        <f t="shared" si="18"/>
        <v>13.71</v>
      </c>
      <c r="O128" s="53">
        <f t="shared" si="18"/>
        <v>42.93</v>
      </c>
      <c r="P128" s="53">
        <f t="shared" si="18"/>
        <v>2.56</v>
      </c>
      <c r="Q128" s="53">
        <f t="shared" si="18"/>
        <v>327.34000000000003</v>
      </c>
      <c r="R128" s="53">
        <f t="shared" si="18"/>
        <v>2.74</v>
      </c>
      <c r="S128" s="53">
        <f t="shared" si="18"/>
        <v>0.02</v>
      </c>
      <c r="T128" s="53">
        <f t="shared" si="18"/>
        <v>0.01</v>
      </c>
      <c r="U128" s="54"/>
      <c r="V128" s="54"/>
      <c r="W128" s="47"/>
    </row>
    <row r="129" spans="1:23" s="48" customFormat="1" ht="21.6" customHeight="1">
      <c r="A129" s="51" t="s">
        <v>102</v>
      </c>
      <c r="B129" s="65"/>
      <c r="C129" s="66">
        <f t="shared" ref="C129:T129" si="19">C128+C123+C114</f>
        <v>53.972625000000008</v>
      </c>
      <c r="D129" s="66">
        <f t="shared" si="19"/>
        <v>56.668999999999997</v>
      </c>
      <c r="E129" s="66">
        <f t="shared" si="19"/>
        <v>208.300625</v>
      </c>
      <c r="F129" s="66">
        <f t="shared" si="19"/>
        <v>1604.8849999999998</v>
      </c>
      <c r="G129" s="66">
        <f t="shared" si="19"/>
        <v>0.88124999999999998</v>
      </c>
      <c r="H129" s="66">
        <f t="shared" si="19"/>
        <v>57.945374999999999</v>
      </c>
      <c r="I129" s="66">
        <f t="shared" si="19"/>
        <v>59.754999999999995</v>
      </c>
      <c r="J129" s="66">
        <f t="shared" si="19"/>
        <v>12.98</v>
      </c>
      <c r="K129" s="66">
        <f t="shared" si="19"/>
        <v>1.1100000000000001</v>
      </c>
      <c r="L129" s="66">
        <f t="shared" si="19"/>
        <v>0.69242500000000007</v>
      </c>
      <c r="M129" s="66">
        <f t="shared" si="19"/>
        <v>620.196325</v>
      </c>
      <c r="N129" s="66">
        <f t="shared" si="19"/>
        <v>175.75409999999999</v>
      </c>
      <c r="O129" s="66">
        <f t="shared" si="19"/>
        <v>823.4999499999999</v>
      </c>
      <c r="P129" s="66">
        <f t="shared" si="19"/>
        <v>10.53645</v>
      </c>
      <c r="Q129" s="66">
        <f t="shared" si="19"/>
        <v>2839.2956249999997</v>
      </c>
      <c r="R129" s="66">
        <f t="shared" si="19"/>
        <v>126.22</v>
      </c>
      <c r="S129" s="66">
        <f t="shared" si="19"/>
        <v>0.55000000000000004</v>
      </c>
      <c r="T129" s="66">
        <f t="shared" si="19"/>
        <v>0.04</v>
      </c>
      <c r="U129" s="54"/>
      <c r="V129" s="54"/>
      <c r="W129" s="47"/>
    </row>
    <row r="130" spans="1:23" s="48" customFormat="1" ht="28.35" customHeight="1">
      <c r="A130" s="93" t="s">
        <v>273</v>
      </c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47"/>
    </row>
    <row r="131" spans="1:23" s="7" customFormat="1" ht="13.35" customHeight="1">
      <c r="A131" s="95" t="s">
        <v>1</v>
      </c>
      <c r="B131" s="95" t="s">
        <v>2</v>
      </c>
      <c r="C131" s="103" t="s">
        <v>3</v>
      </c>
      <c r="D131" s="103"/>
      <c r="E131" s="103"/>
      <c r="F131" s="103" t="s">
        <v>4</v>
      </c>
      <c r="G131" s="103" t="s">
        <v>5</v>
      </c>
      <c r="H131" s="103"/>
      <c r="I131" s="103"/>
      <c r="J131" s="103"/>
      <c r="K131" s="103"/>
      <c r="L131" s="103"/>
      <c r="M131" s="103" t="s">
        <v>6</v>
      </c>
      <c r="N131" s="103"/>
      <c r="O131" s="103"/>
      <c r="P131" s="103"/>
      <c r="Q131" s="103"/>
      <c r="R131" s="103"/>
      <c r="S131" s="103"/>
      <c r="T131" s="103"/>
      <c r="U131" s="95" t="s">
        <v>7</v>
      </c>
      <c r="V131" s="95" t="s">
        <v>8</v>
      </c>
    </row>
    <row r="132" spans="1:23" s="7" customFormat="1" ht="26.65" customHeight="1">
      <c r="A132" s="95"/>
      <c r="B132" s="95"/>
      <c r="C132" s="67" t="s">
        <v>9</v>
      </c>
      <c r="D132" s="67" t="s">
        <v>10</v>
      </c>
      <c r="E132" s="67" t="s">
        <v>11</v>
      </c>
      <c r="F132" s="103"/>
      <c r="G132" s="67" t="s">
        <v>12</v>
      </c>
      <c r="H132" s="67" t="s">
        <v>13</v>
      </c>
      <c r="I132" s="67" t="s">
        <v>14</v>
      </c>
      <c r="J132" s="67" t="s">
        <v>15</v>
      </c>
      <c r="K132" s="67" t="s">
        <v>16</v>
      </c>
      <c r="L132" s="67" t="s">
        <v>17</v>
      </c>
      <c r="M132" s="67" t="s">
        <v>18</v>
      </c>
      <c r="N132" s="67" t="s">
        <v>19</v>
      </c>
      <c r="O132" s="67" t="s">
        <v>20</v>
      </c>
      <c r="P132" s="67" t="s">
        <v>21</v>
      </c>
      <c r="Q132" s="67" t="s">
        <v>22</v>
      </c>
      <c r="R132" s="67" t="s">
        <v>23</v>
      </c>
      <c r="S132" s="67" t="s">
        <v>24</v>
      </c>
      <c r="T132" s="67" t="s">
        <v>25</v>
      </c>
      <c r="U132" s="95"/>
      <c r="V132" s="95"/>
    </row>
    <row r="133" spans="1:23" s="48" customFormat="1" ht="14.65" customHeight="1">
      <c r="A133" s="98" t="s">
        <v>116</v>
      </c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100"/>
      <c r="W133" s="47"/>
    </row>
    <row r="134" spans="1:23" s="48" customFormat="1" ht="26.25" customHeight="1">
      <c r="A134" s="43" t="s">
        <v>246</v>
      </c>
      <c r="B134" s="44">
        <v>205</v>
      </c>
      <c r="C134" s="45">
        <v>11.11</v>
      </c>
      <c r="D134" s="45">
        <v>8.35</v>
      </c>
      <c r="E134" s="45">
        <v>40.270000000000003</v>
      </c>
      <c r="F134" s="45">
        <v>206.52</v>
      </c>
      <c r="G134" s="45">
        <f>0.2*155/135</f>
        <v>0.22962962962962963</v>
      </c>
      <c r="H134" s="45">
        <f>1.3*155/135</f>
        <v>1.4925925925925927</v>
      </c>
      <c r="I134" s="45">
        <f>1.36*155/135</f>
        <v>1.5614814814814815</v>
      </c>
      <c r="J134" s="45">
        <v>0.13</v>
      </c>
      <c r="K134" s="45">
        <v>1.8</v>
      </c>
      <c r="L134" s="45">
        <f>0.18*155/135</f>
        <v>0.20666666666666667</v>
      </c>
      <c r="M134" s="45">
        <f>142.94*155/135</f>
        <v>164.1162962962963</v>
      </c>
      <c r="N134" s="45">
        <f>59.7*160/135</f>
        <v>70.75555555555556</v>
      </c>
      <c r="O134" s="45">
        <f>208.4*155/135</f>
        <v>239.27407407407406</v>
      </c>
      <c r="P134" s="45">
        <f>1.36*155/135</f>
        <v>1.5614814814814815</v>
      </c>
      <c r="Q134" s="45">
        <f>267.27*155/135</f>
        <v>306.86555555555555</v>
      </c>
      <c r="R134" s="45">
        <v>10.5</v>
      </c>
      <c r="S134" s="45">
        <v>0</v>
      </c>
      <c r="T134" s="45">
        <v>0</v>
      </c>
      <c r="U134" s="46" t="s">
        <v>117</v>
      </c>
      <c r="V134" s="46" t="s">
        <v>118</v>
      </c>
      <c r="W134" s="47"/>
    </row>
    <row r="135" spans="1:23" s="48" customFormat="1" ht="24" customHeight="1">
      <c r="A135" s="43" t="s">
        <v>119</v>
      </c>
      <c r="B135" s="44">
        <v>75</v>
      </c>
      <c r="C135" s="45">
        <f>3.2</f>
        <v>3.2</v>
      </c>
      <c r="D135" s="45">
        <v>3.95</v>
      </c>
      <c r="E135" s="45">
        <v>29.3</v>
      </c>
      <c r="F135" s="45">
        <v>185</v>
      </c>
      <c r="G135" s="45">
        <v>0.05</v>
      </c>
      <c r="H135" s="45">
        <v>0.15</v>
      </c>
      <c r="I135" s="45">
        <v>20</v>
      </c>
      <c r="J135" s="45">
        <v>1</v>
      </c>
      <c r="K135" s="45">
        <v>0.15</v>
      </c>
      <c r="L135" s="45">
        <v>0.02</v>
      </c>
      <c r="M135" s="45">
        <v>13.4</v>
      </c>
      <c r="N135" s="45">
        <v>7.7</v>
      </c>
      <c r="O135" s="45">
        <v>30.2</v>
      </c>
      <c r="P135" s="45">
        <v>0.84</v>
      </c>
      <c r="Q135" s="45">
        <v>77</v>
      </c>
      <c r="R135" s="45">
        <v>0</v>
      </c>
      <c r="S135" s="45">
        <v>0.01</v>
      </c>
      <c r="T135" s="45">
        <v>0</v>
      </c>
      <c r="U135" s="46" t="s">
        <v>120</v>
      </c>
      <c r="V135" s="46">
        <v>2017</v>
      </c>
      <c r="W135" s="47"/>
    </row>
    <row r="136" spans="1:23" s="48" customFormat="1" ht="22.5" customHeight="1">
      <c r="A136" s="43" t="s">
        <v>63</v>
      </c>
      <c r="B136" s="44">
        <v>200</v>
      </c>
      <c r="C136" s="45">
        <v>3.17</v>
      </c>
      <c r="D136" s="45">
        <v>2.7</v>
      </c>
      <c r="E136" s="45">
        <v>15.94</v>
      </c>
      <c r="F136" s="45">
        <v>100.06</v>
      </c>
      <c r="G136" s="45">
        <v>0.03</v>
      </c>
      <c r="H136" s="45">
        <v>0.47</v>
      </c>
      <c r="I136" s="45">
        <v>0.01</v>
      </c>
      <c r="J136" s="45">
        <v>0</v>
      </c>
      <c r="K136" s="45">
        <v>0</v>
      </c>
      <c r="L136" s="45">
        <v>0.1</v>
      </c>
      <c r="M136" s="45">
        <v>100.26</v>
      </c>
      <c r="N136" s="45">
        <v>17.13</v>
      </c>
      <c r="O136" s="45">
        <v>79.099999999999994</v>
      </c>
      <c r="P136" s="45">
        <v>0.36</v>
      </c>
      <c r="Q136" s="45">
        <v>152.65</v>
      </c>
      <c r="R136" s="45">
        <v>8.1</v>
      </c>
      <c r="S136" s="45">
        <v>0</v>
      </c>
      <c r="T136" s="45">
        <v>0</v>
      </c>
      <c r="U136" s="46" t="s">
        <v>64</v>
      </c>
      <c r="V136" s="46" t="s">
        <v>29</v>
      </c>
      <c r="W136" s="47"/>
    </row>
    <row r="137" spans="1:23" s="48" customFormat="1" ht="20.25" customHeight="1">
      <c r="A137" s="43" t="s">
        <v>37</v>
      </c>
      <c r="B137" s="44">
        <v>20</v>
      </c>
      <c r="C137" s="49">
        <v>1.1200000000000001</v>
      </c>
      <c r="D137" s="49">
        <v>0.22</v>
      </c>
      <c r="E137" s="49">
        <v>9.8800000000000008</v>
      </c>
      <c r="F137" s="49">
        <v>45.98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0</v>
      </c>
      <c r="R137" s="50">
        <v>0</v>
      </c>
      <c r="S137" s="50">
        <v>0</v>
      </c>
      <c r="T137" s="50">
        <v>0</v>
      </c>
      <c r="U137" s="46" t="s">
        <v>223</v>
      </c>
      <c r="V137" s="46" t="s">
        <v>38</v>
      </c>
      <c r="W137" s="47"/>
    </row>
    <row r="138" spans="1:23" s="48" customFormat="1" ht="12.2" customHeight="1">
      <c r="A138" s="51" t="s">
        <v>122</v>
      </c>
      <c r="B138" s="52">
        <f t="shared" ref="B138:T138" si="20">SUM(B134:B137)</f>
        <v>500</v>
      </c>
      <c r="C138" s="53">
        <f t="shared" si="20"/>
        <v>18.599999999999998</v>
      </c>
      <c r="D138" s="53">
        <f t="shared" si="20"/>
        <v>15.22</v>
      </c>
      <c r="E138" s="53">
        <f t="shared" si="20"/>
        <v>95.39</v>
      </c>
      <c r="F138" s="53">
        <f t="shared" si="20"/>
        <v>537.55999999999995</v>
      </c>
      <c r="G138" s="53">
        <f t="shared" si="20"/>
        <v>0.30962962962962959</v>
      </c>
      <c r="H138" s="53">
        <f t="shared" si="20"/>
        <v>2.1125925925925926</v>
      </c>
      <c r="I138" s="53">
        <f t="shared" si="20"/>
        <v>21.571481481481484</v>
      </c>
      <c r="J138" s="53">
        <f t="shared" si="20"/>
        <v>1.1299999999999999</v>
      </c>
      <c r="K138" s="53">
        <f t="shared" si="20"/>
        <v>1.95</v>
      </c>
      <c r="L138" s="53">
        <f t="shared" si="20"/>
        <v>0.32666666666666666</v>
      </c>
      <c r="M138" s="53">
        <f t="shared" si="20"/>
        <v>277.77629629629632</v>
      </c>
      <c r="N138" s="53">
        <f t="shared" si="20"/>
        <v>95.585555555555558</v>
      </c>
      <c r="O138" s="53">
        <f t="shared" si="20"/>
        <v>348.57407407407402</v>
      </c>
      <c r="P138" s="53">
        <f t="shared" si="20"/>
        <v>2.7614814814814812</v>
      </c>
      <c r="Q138" s="53">
        <f t="shared" si="20"/>
        <v>536.51555555555558</v>
      </c>
      <c r="R138" s="53">
        <f t="shared" si="20"/>
        <v>18.600000000000001</v>
      </c>
      <c r="S138" s="53">
        <f t="shared" si="20"/>
        <v>0.01</v>
      </c>
      <c r="T138" s="53">
        <f t="shared" si="20"/>
        <v>0</v>
      </c>
      <c r="U138" s="54"/>
      <c r="V138" s="54"/>
      <c r="W138" s="47"/>
    </row>
    <row r="139" spans="1:23" s="48" customFormat="1" ht="14.65" customHeight="1">
      <c r="A139" s="98" t="s">
        <v>96</v>
      </c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100"/>
      <c r="W139" s="47"/>
    </row>
    <row r="140" spans="1:23" s="48" customFormat="1" ht="25.5" customHeight="1">
      <c r="A140" s="43" t="s">
        <v>123</v>
      </c>
      <c r="B140" s="44">
        <v>60</v>
      </c>
      <c r="C140" s="45">
        <v>1.5</v>
      </c>
      <c r="D140" s="45">
        <v>7.3</v>
      </c>
      <c r="E140" s="45">
        <v>4.5999999999999996</v>
      </c>
      <c r="F140" s="45">
        <v>71.400000000000006</v>
      </c>
      <c r="G140" s="45">
        <v>0.01</v>
      </c>
      <c r="H140" s="45">
        <v>4.2</v>
      </c>
      <c r="I140" s="45">
        <v>0.11</v>
      </c>
      <c r="J140" s="45">
        <v>0</v>
      </c>
      <c r="K140" s="45">
        <v>0</v>
      </c>
      <c r="L140" s="45">
        <v>0.03</v>
      </c>
      <c r="M140" s="45">
        <v>24.6</v>
      </c>
      <c r="N140" s="45">
        <v>9</v>
      </c>
      <c r="O140" s="45">
        <v>22.2</v>
      </c>
      <c r="P140" s="45">
        <v>0.42</v>
      </c>
      <c r="Q140" s="45">
        <v>189</v>
      </c>
      <c r="R140" s="45">
        <v>0</v>
      </c>
      <c r="S140" s="45">
        <v>0</v>
      </c>
      <c r="T140" s="45">
        <v>0</v>
      </c>
      <c r="U140" s="46" t="s">
        <v>223</v>
      </c>
      <c r="V140" s="46" t="s">
        <v>124</v>
      </c>
      <c r="W140" s="47"/>
    </row>
    <row r="141" spans="1:23" s="48" customFormat="1" ht="24" customHeight="1">
      <c r="A141" s="43" t="s">
        <v>125</v>
      </c>
      <c r="B141" s="44">
        <v>200</v>
      </c>
      <c r="C141" s="45">
        <f>19.96*0.2</f>
        <v>3.9920000000000004</v>
      </c>
      <c r="D141" s="45">
        <f>21.08*0.2</f>
        <v>4.2160000000000002</v>
      </c>
      <c r="E141" s="45">
        <f>66.14*0.2</f>
        <v>13.228000000000002</v>
      </c>
      <c r="F141" s="45">
        <f>593*0.2</f>
        <v>118.60000000000001</v>
      </c>
      <c r="G141" s="45">
        <f>0.91*0.2</f>
        <v>0.18200000000000002</v>
      </c>
      <c r="H141" s="45">
        <f>29.3*0.2</f>
        <v>5.86</v>
      </c>
      <c r="I141" s="45">
        <v>0</v>
      </c>
      <c r="J141" s="45">
        <v>3.25</v>
      </c>
      <c r="K141" s="45">
        <v>0</v>
      </c>
      <c r="L141" s="45">
        <f>0.29*0.2</f>
        <v>5.7999999999999996E-2</v>
      </c>
      <c r="M141" s="45">
        <f>170.7*0.2</f>
        <v>34.14</v>
      </c>
      <c r="N141" s="45">
        <f>142.3*0.2</f>
        <v>28.460000000000004</v>
      </c>
      <c r="O141" s="45">
        <f>352.4*0.2</f>
        <v>70.48</v>
      </c>
      <c r="P141" s="45">
        <f>8.2*0.2</f>
        <v>1.64</v>
      </c>
      <c r="Q141" s="45">
        <f>1891.3*0.2</f>
        <v>378.26</v>
      </c>
      <c r="R141" s="45">
        <v>3.33</v>
      </c>
      <c r="S141" s="45">
        <v>0.02</v>
      </c>
      <c r="T141" s="45">
        <v>0</v>
      </c>
      <c r="U141" s="46" t="s">
        <v>126</v>
      </c>
      <c r="V141" s="46" t="s">
        <v>118</v>
      </c>
      <c r="W141" s="47"/>
    </row>
    <row r="142" spans="1:23" s="48" customFormat="1" ht="22.5" customHeight="1">
      <c r="A142" s="43" t="s">
        <v>127</v>
      </c>
      <c r="B142" s="44">
        <v>150</v>
      </c>
      <c r="C142" s="45">
        <f>17.76*0.15</f>
        <v>2.6640000000000001</v>
      </c>
      <c r="D142" s="45">
        <f>33.38*0.15</f>
        <v>5.0070000000000006</v>
      </c>
      <c r="E142" s="45">
        <f>83.13*0.15</f>
        <v>12.469499999999998</v>
      </c>
      <c r="F142" s="45">
        <f>884*0.15</f>
        <v>132.6</v>
      </c>
      <c r="G142" s="45">
        <f>0.26*0.15</f>
        <v>3.9E-2</v>
      </c>
      <c r="H142" s="45">
        <f>123.13*0.15</f>
        <v>18.4695</v>
      </c>
      <c r="I142" s="45">
        <f>320*0.15</f>
        <v>48</v>
      </c>
      <c r="J142" s="45">
        <v>0.6</v>
      </c>
      <c r="K142" s="45">
        <v>0.18</v>
      </c>
      <c r="L142" s="45">
        <f>0.41*0.15</f>
        <v>6.1499999999999992E-2</v>
      </c>
      <c r="M142" s="45">
        <f>530.1*0.15</f>
        <v>79.515000000000001</v>
      </c>
      <c r="N142" s="45">
        <f>171.4*0.15</f>
        <v>25.71</v>
      </c>
      <c r="O142" s="45">
        <f>344.7*0.15</f>
        <v>51.704999999999998</v>
      </c>
      <c r="P142" s="45">
        <f>10.11*0.15</f>
        <v>1.5165</v>
      </c>
      <c r="Q142" s="45">
        <f>3186*0.15</f>
        <v>477.9</v>
      </c>
      <c r="R142" s="45">
        <v>5.5</v>
      </c>
      <c r="S142" s="45">
        <v>0.02</v>
      </c>
      <c r="T142" s="45">
        <v>0</v>
      </c>
      <c r="U142" s="46" t="s">
        <v>128</v>
      </c>
      <c r="V142" s="46">
        <v>2017</v>
      </c>
      <c r="W142" s="47"/>
    </row>
    <row r="143" spans="1:23" s="48" customFormat="1" ht="23.25" customHeight="1">
      <c r="A143" s="43" t="s">
        <v>129</v>
      </c>
      <c r="B143" s="44">
        <v>130</v>
      </c>
      <c r="C143" s="45">
        <f>7.46*130/110</f>
        <v>8.8163636363636364</v>
      </c>
      <c r="D143" s="45">
        <f>6.29*130/110</f>
        <v>7.4336363636363645</v>
      </c>
      <c r="E143" s="45">
        <f>13.44*130/110</f>
        <v>15.883636363636365</v>
      </c>
      <c r="F143" s="45">
        <f>142*130/110</f>
        <v>167.81818181818181</v>
      </c>
      <c r="G143" s="45">
        <f>0.05*130/110</f>
        <v>5.909090909090909E-2</v>
      </c>
      <c r="H143" s="45">
        <f>0.41*130/110</f>
        <v>0.4845454545454545</v>
      </c>
      <c r="I143" s="45">
        <f>33*130/110</f>
        <v>39</v>
      </c>
      <c r="J143" s="45">
        <v>2.69</v>
      </c>
      <c r="K143" s="45">
        <v>0</v>
      </c>
      <c r="L143" s="45">
        <f>0.07*130/110</f>
        <v>8.2727272727272746E-2</v>
      </c>
      <c r="M143" s="45">
        <f>23.65*130/110</f>
        <v>27.95</v>
      </c>
      <c r="N143" s="45">
        <f>16.5*130/110</f>
        <v>19.5</v>
      </c>
      <c r="O143" s="45">
        <f>83.14*130/110</f>
        <v>98.256363636363645</v>
      </c>
      <c r="P143" s="45">
        <f>0.68*130/110</f>
        <v>0.8036363636363637</v>
      </c>
      <c r="Q143" s="45">
        <f>151.6*130/110</f>
        <v>179.16363636363636</v>
      </c>
      <c r="R143" s="45">
        <v>7.65</v>
      </c>
      <c r="S143" s="45">
        <v>7.0000000000000007E-2</v>
      </c>
      <c r="T143" s="45">
        <v>0</v>
      </c>
      <c r="U143" s="46" t="s">
        <v>130</v>
      </c>
      <c r="V143" s="46" t="s">
        <v>118</v>
      </c>
      <c r="W143" s="47"/>
    </row>
    <row r="144" spans="1:23" s="48" customFormat="1" ht="24" customHeight="1">
      <c r="A144" s="43" t="s">
        <v>131</v>
      </c>
      <c r="B144" s="44">
        <v>180</v>
      </c>
      <c r="C144" s="45">
        <v>5.2</v>
      </c>
      <c r="D144" s="45">
        <v>4.5</v>
      </c>
      <c r="E144" s="45">
        <v>7.2</v>
      </c>
      <c r="F144" s="45">
        <v>95.4</v>
      </c>
      <c r="G144" s="45">
        <v>7.0000000000000007E-2</v>
      </c>
      <c r="H144" s="45">
        <v>1.26</v>
      </c>
      <c r="I144" s="45">
        <v>0.05</v>
      </c>
      <c r="J144" s="45">
        <v>0.13</v>
      </c>
      <c r="K144" s="45">
        <v>0</v>
      </c>
      <c r="L144" s="45">
        <v>0.31</v>
      </c>
      <c r="M144" s="45">
        <v>216</v>
      </c>
      <c r="N144" s="45">
        <v>25.2</v>
      </c>
      <c r="O144" s="45">
        <v>171</v>
      </c>
      <c r="P144" s="45">
        <v>0.18</v>
      </c>
      <c r="Q144" s="45">
        <v>262.8</v>
      </c>
      <c r="R144" s="45">
        <v>16.2</v>
      </c>
      <c r="S144" s="45">
        <v>0.04</v>
      </c>
      <c r="T144" s="45">
        <v>0</v>
      </c>
      <c r="U144" s="46" t="s">
        <v>223</v>
      </c>
      <c r="V144" s="46" t="s">
        <v>118</v>
      </c>
      <c r="W144" s="47"/>
    </row>
    <row r="145" spans="1:23" s="48" customFormat="1" ht="25.5" customHeight="1">
      <c r="A145" s="43" t="s">
        <v>69</v>
      </c>
      <c r="B145" s="44">
        <v>150</v>
      </c>
      <c r="C145" s="45">
        <v>1.35</v>
      </c>
      <c r="D145" s="45">
        <v>0.3</v>
      </c>
      <c r="E145" s="45">
        <v>12.15</v>
      </c>
      <c r="F145" s="45">
        <v>64.5</v>
      </c>
      <c r="G145" s="45">
        <v>0.06</v>
      </c>
      <c r="H145" s="45">
        <v>90</v>
      </c>
      <c r="I145" s="45">
        <v>0.02</v>
      </c>
      <c r="J145" s="45">
        <v>0.33</v>
      </c>
      <c r="K145" s="45">
        <v>0</v>
      </c>
      <c r="L145" s="45">
        <v>0.05</v>
      </c>
      <c r="M145" s="45">
        <v>51</v>
      </c>
      <c r="N145" s="45">
        <v>19.5</v>
      </c>
      <c r="O145" s="45">
        <v>34.5</v>
      </c>
      <c r="P145" s="45">
        <v>0.45</v>
      </c>
      <c r="Q145" s="45">
        <v>295.5</v>
      </c>
      <c r="R145" s="45">
        <v>3</v>
      </c>
      <c r="S145" s="45">
        <v>0.03</v>
      </c>
      <c r="T145" s="45">
        <v>0</v>
      </c>
      <c r="U145" s="58" t="s">
        <v>251</v>
      </c>
      <c r="V145" s="46" t="s">
        <v>29</v>
      </c>
      <c r="W145" s="47"/>
    </row>
    <row r="146" spans="1:23" s="48" customFormat="1" ht="21.75" customHeight="1">
      <c r="A146" s="43" t="s">
        <v>51</v>
      </c>
      <c r="B146" s="44">
        <v>20</v>
      </c>
      <c r="C146" s="49">
        <v>1.53</v>
      </c>
      <c r="D146" s="49">
        <v>0.12</v>
      </c>
      <c r="E146" s="49">
        <v>10.039999999999999</v>
      </c>
      <c r="F146" s="49">
        <v>47.36</v>
      </c>
      <c r="G146" s="50">
        <v>0.03</v>
      </c>
      <c r="H146" s="50">
        <v>0</v>
      </c>
      <c r="I146" s="50">
        <v>0</v>
      </c>
      <c r="J146" s="50">
        <v>0.39</v>
      </c>
      <c r="K146" s="50">
        <v>0</v>
      </c>
      <c r="L146" s="50">
        <v>0.01</v>
      </c>
      <c r="M146" s="50">
        <v>4.5999999999999996</v>
      </c>
      <c r="N146" s="50">
        <v>6.6</v>
      </c>
      <c r="O146" s="50">
        <v>16.8</v>
      </c>
      <c r="P146" s="50">
        <v>0.4</v>
      </c>
      <c r="Q146" s="50">
        <v>25.8</v>
      </c>
      <c r="R146" s="50">
        <v>0</v>
      </c>
      <c r="S146" s="50">
        <v>0</v>
      </c>
      <c r="T146" s="50">
        <v>0</v>
      </c>
      <c r="U146" s="46" t="s">
        <v>223</v>
      </c>
      <c r="V146" s="46" t="s">
        <v>38</v>
      </c>
      <c r="W146" s="47"/>
    </row>
    <row r="147" spans="1:23" s="48" customFormat="1" ht="20.25" customHeight="1">
      <c r="A147" s="43" t="s">
        <v>133</v>
      </c>
      <c r="B147" s="44">
        <v>30</v>
      </c>
      <c r="C147" s="49">
        <v>1.99</v>
      </c>
      <c r="D147" s="49">
        <v>0.26</v>
      </c>
      <c r="E147" s="49">
        <v>12.72</v>
      </c>
      <c r="F147" s="49">
        <v>61.19</v>
      </c>
      <c r="G147" s="50">
        <v>0.05</v>
      </c>
      <c r="H147" s="50">
        <v>0</v>
      </c>
      <c r="I147" s="50">
        <v>0</v>
      </c>
      <c r="J147" s="50">
        <v>0.66</v>
      </c>
      <c r="K147" s="50">
        <v>0</v>
      </c>
      <c r="L147" s="50">
        <v>0.02</v>
      </c>
      <c r="M147" s="50">
        <v>5.4</v>
      </c>
      <c r="N147" s="50">
        <v>5.7</v>
      </c>
      <c r="O147" s="50">
        <v>26.1</v>
      </c>
      <c r="P147" s="50">
        <v>1.2</v>
      </c>
      <c r="Q147" s="50">
        <v>40.799999999999997</v>
      </c>
      <c r="R147" s="50">
        <v>1.68</v>
      </c>
      <c r="S147" s="50">
        <v>0</v>
      </c>
      <c r="T147" s="50">
        <v>0</v>
      </c>
      <c r="U147" s="46" t="s">
        <v>223</v>
      </c>
      <c r="V147" s="46" t="s">
        <v>121</v>
      </c>
      <c r="W147" s="47"/>
    </row>
    <row r="148" spans="1:23" s="48" customFormat="1" ht="21.6" customHeight="1">
      <c r="A148" s="51" t="s">
        <v>122</v>
      </c>
      <c r="B148" s="52">
        <f t="shared" ref="B148:T148" si="21">SUM(B140:B147)</f>
        <v>920</v>
      </c>
      <c r="C148" s="53">
        <f t="shared" si="21"/>
        <v>27.042363636363639</v>
      </c>
      <c r="D148" s="53">
        <f t="shared" si="21"/>
        <v>29.136636363636367</v>
      </c>
      <c r="E148" s="53">
        <f t="shared" si="21"/>
        <v>88.291136363636355</v>
      </c>
      <c r="F148" s="53">
        <f t="shared" si="21"/>
        <v>758.86818181818194</v>
      </c>
      <c r="G148" s="53">
        <f t="shared" si="21"/>
        <v>0.50009090909090914</v>
      </c>
      <c r="H148" s="53">
        <f t="shared" si="21"/>
        <v>120.27404545454546</v>
      </c>
      <c r="I148" s="53">
        <f t="shared" si="21"/>
        <v>87.179999999999993</v>
      </c>
      <c r="J148" s="53">
        <f t="shared" si="21"/>
        <v>8.0499999999999989</v>
      </c>
      <c r="K148" s="53">
        <f t="shared" si="21"/>
        <v>0.18</v>
      </c>
      <c r="L148" s="53">
        <f t="shared" si="21"/>
        <v>0.62222727272727285</v>
      </c>
      <c r="M148" s="53">
        <f t="shared" si="21"/>
        <v>443.20499999999998</v>
      </c>
      <c r="N148" s="53">
        <f t="shared" si="21"/>
        <v>139.67000000000002</v>
      </c>
      <c r="O148" s="53">
        <f t="shared" si="21"/>
        <v>491.04136363636366</v>
      </c>
      <c r="P148" s="53">
        <f t="shared" si="21"/>
        <v>6.6101363636363644</v>
      </c>
      <c r="Q148" s="53">
        <f t="shared" si="21"/>
        <v>1849.2236363636362</v>
      </c>
      <c r="R148" s="53">
        <f t="shared" si="21"/>
        <v>37.36</v>
      </c>
      <c r="S148" s="53">
        <f t="shared" si="21"/>
        <v>0.18000000000000002</v>
      </c>
      <c r="T148" s="53">
        <f t="shared" si="21"/>
        <v>0</v>
      </c>
      <c r="U148" s="54"/>
      <c r="V148" s="54"/>
      <c r="W148" s="47"/>
    </row>
    <row r="149" spans="1:23" s="48" customFormat="1" ht="14.65" customHeight="1">
      <c r="A149" s="98" t="s">
        <v>101</v>
      </c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100"/>
      <c r="W149" s="47"/>
    </row>
    <row r="150" spans="1:23" s="48" customFormat="1" ht="21.75" customHeight="1">
      <c r="A150" s="43" t="s">
        <v>219</v>
      </c>
      <c r="B150" s="44">
        <v>150</v>
      </c>
      <c r="C150" s="45">
        <f>2.02*150/105</f>
        <v>2.8857142857142857</v>
      </c>
      <c r="D150" s="45">
        <f>3.96*150/105</f>
        <v>5.6571428571428575</v>
      </c>
      <c r="E150" s="45">
        <v>16.989999999999998</v>
      </c>
      <c r="F150" s="45">
        <v>105</v>
      </c>
      <c r="G150" s="45">
        <v>0.13</v>
      </c>
      <c r="H150" s="45">
        <v>11.77</v>
      </c>
      <c r="I150" s="45">
        <v>0.04</v>
      </c>
      <c r="J150" s="45">
        <v>0.3</v>
      </c>
      <c r="K150" s="45">
        <v>0.11</v>
      </c>
      <c r="L150" s="45">
        <v>0.09</v>
      </c>
      <c r="M150" s="45">
        <v>21.33</v>
      </c>
      <c r="N150" s="45">
        <v>31.55</v>
      </c>
      <c r="O150" s="45">
        <v>78.540000000000006</v>
      </c>
      <c r="P150" s="45">
        <v>1.36</v>
      </c>
      <c r="Q150" s="45">
        <v>836.98</v>
      </c>
      <c r="R150" s="45">
        <v>7.36</v>
      </c>
      <c r="S150" s="45">
        <v>0.04</v>
      </c>
      <c r="T150" s="45">
        <v>0</v>
      </c>
      <c r="U150" s="58" t="s">
        <v>224</v>
      </c>
      <c r="V150" s="58">
        <v>2017</v>
      </c>
      <c r="W150" s="47"/>
    </row>
    <row r="151" spans="1:23" s="48" customFormat="1" ht="24" customHeight="1">
      <c r="A151" s="43" t="s">
        <v>241</v>
      </c>
      <c r="B151" s="44">
        <v>95</v>
      </c>
      <c r="C151" s="45">
        <f>4.88*95/105</f>
        <v>4.4152380952380952</v>
      </c>
      <c r="D151" s="45">
        <f>5.6*95/105</f>
        <v>5.0666666666666664</v>
      </c>
      <c r="E151" s="45">
        <f>7.61*95/105</f>
        <v>6.8852380952380958</v>
      </c>
      <c r="F151" s="45">
        <f>116*95/105</f>
        <v>104.95238095238095</v>
      </c>
      <c r="G151" s="45">
        <v>0.09</v>
      </c>
      <c r="H151" s="45">
        <v>0.34</v>
      </c>
      <c r="I151" s="45">
        <v>0.02</v>
      </c>
      <c r="J151" s="45">
        <v>4.28</v>
      </c>
      <c r="K151" s="45">
        <v>0.01</v>
      </c>
      <c r="L151" s="45">
        <v>0.09</v>
      </c>
      <c r="M151" s="45">
        <v>45.82</v>
      </c>
      <c r="N151" s="45">
        <v>46.35</v>
      </c>
      <c r="O151" s="45">
        <v>185.71</v>
      </c>
      <c r="P151" s="45">
        <v>1.54</v>
      </c>
      <c r="Q151" s="45">
        <v>332.76</v>
      </c>
      <c r="R151" s="45">
        <v>95.2</v>
      </c>
      <c r="S151" s="45">
        <v>0.4</v>
      </c>
      <c r="T151" s="45">
        <v>0.01</v>
      </c>
      <c r="U151" s="46" t="s">
        <v>134</v>
      </c>
      <c r="V151" s="46" t="s">
        <v>118</v>
      </c>
      <c r="W151" s="47"/>
    </row>
    <row r="152" spans="1:23" s="48" customFormat="1" ht="23.25" customHeight="1">
      <c r="A152" s="43" t="s">
        <v>85</v>
      </c>
      <c r="B152" s="44">
        <v>180</v>
      </c>
      <c r="C152" s="45">
        <v>2.65</v>
      </c>
      <c r="D152" s="45">
        <f>17.72*0.18</f>
        <v>3.1895999999999995</v>
      </c>
      <c r="E152" s="45">
        <f>87.89*0.18</f>
        <v>15.8202</v>
      </c>
      <c r="F152" s="45">
        <f>593*0.18</f>
        <v>106.74</v>
      </c>
      <c r="G152" s="45">
        <v>0.03</v>
      </c>
      <c r="H152" s="45">
        <v>0.47</v>
      </c>
      <c r="I152" s="45">
        <v>0.01</v>
      </c>
      <c r="J152" s="45">
        <v>0</v>
      </c>
      <c r="K152" s="45">
        <v>0</v>
      </c>
      <c r="L152" s="45">
        <v>0.1</v>
      </c>
      <c r="M152" s="45">
        <v>100.28</v>
      </c>
      <c r="N152" s="45">
        <v>24.74</v>
      </c>
      <c r="O152" s="45">
        <v>86.02</v>
      </c>
      <c r="P152" s="45">
        <v>0.78</v>
      </c>
      <c r="Q152" s="45">
        <v>186.56</v>
      </c>
      <c r="R152" s="45">
        <v>8.1</v>
      </c>
      <c r="S152" s="45">
        <v>0</v>
      </c>
      <c r="T152" s="45">
        <v>0</v>
      </c>
      <c r="U152" s="46" t="s">
        <v>86</v>
      </c>
      <c r="V152" s="46" t="s">
        <v>29</v>
      </c>
      <c r="W152" s="47"/>
    </row>
    <row r="153" spans="1:23" s="48" customFormat="1" ht="24" customHeight="1">
      <c r="A153" s="43" t="s">
        <v>37</v>
      </c>
      <c r="B153" s="44">
        <v>20</v>
      </c>
      <c r="C153" s="49">
        <v>1.1200000000000001</v>
      </c>
      <c r="D153" s="49">
        <v>0.22</v>
      </c>
      <c r="E153" s="49">
        <v>9.8800000000000008</v>
      </c>
      <c r="F153" s="49">
        <v>45.98</v>
      </c>
      <c r="G153" s="50">
        <v>0</v>
      </c>
      <c r="H153" s="50">
        <v>0</v>
      </c>
      <c r="I153" s="50">
        <v>0</v>
      </c>
      <c r="J153" s="50">
        <v>0</v>
      </c>
      <c r="K153" s="50">
        <v>0</v>
      </c>
      <c r="L153" s="50">
        <v>0</v>
      </c>
      <c r="M153" s="50">
        <v>0</v>
      </c>
      <c r="N153" s="50">
        <v>0</v>
      </c>
      <c r="O153" s="50">
        <v>0</v>
      </c>
      <c r="P153" s="50">
        <v>0</v>
      </c>
      <c r="Q153" s="50">
        <v>0</v>
      </c>
      <c r="R153" s="50">
        <v>0</v>
      </c>
      <c r="S153" s="50">
        <v>0</v>
      </c>
      <c r="T153" s="50">
        <v>0</v>
      </c>
      <c r="U153" s="46" t="s">
        <v>223</v>
      </c>
      <c r="V153" s="46" t="s">
        <v>38</v>
      </c>
      <c r="W153" s="47"/>
    </row>
    <row r="154" spans="1:23" s="48" customFormat="1" ht="12.2" customHeight="1">
      <c r="A154" s="51" t="s">
        <v>122</v>
      </c>
      <c r="B154" s="52">
        <f t="shared" ref="B154:T154" si="22">SUM(B150:B153)</f>
        <v>445</v>
      </c>
      <c r="C154" s="53">
        <f t="shared" si="22"/>
        <v>11.070952380952381</v>
      </c>
      <c r="D154" s="53">
        <f t="shared" si="22"/>
        <v>14.133409523809524</v>
      </c>
      <c r="E154" s="53">
        <f t="shared" si="22"/>
        <v>49.575438095238098</v>
      </c>
      <c r="F154" s="53">
        <f t="shared" si="22"/>
        <v>362.67238095238099</v>
      </c>
      <c r="G154" s="53">
        <f t="shared" si="22"/>
        <v>0.25</v>
      </c>
      <c r="H154" s="53">
        <f t="shared" si="22"/>
        <v>12.58</v>
      </c>
      <c r="I154" s="53">
        <f t="shared" si="22"/>
        <v>6.9999999999999993E-2</v>
      </c>
      <c r="J154" s="53">
        <f t="shared" si="22"/>
        <v>4.58</v>
      </c>
      <c r="K154" s="53">
        <f t="shared" si="22"/>
        <v>0.12</v>
      </c>
      <c r="L154" s="53">
        <f t="shared" si="22"/>
        <v>0.28000000000000003</v>
      </c>
      <c r="M154" s="53">
        <f t="shared" si="22"/>
        <v>167.43</v>
      </c>
      <c r="N154" s="53">
        <f t="shared" si="22"/>
        <v>102.64</v>
      </c>
      <c r="O154" s="53">
        <f t="shared" si="22"/>
        <v>350.27</v>
      </c>
      <c r="P154" s="53">
        <f t="shared" si="22"/>
        <v>3.6800000000000006</v>
      </c>
      <c r="Q154" s="53">
        <f t="shared" si="22"/>
        <v>1356.3</v>
      </c>
      <c r="R154" s="53">
        <f t="shared" si="22"/>
        <v>110.66</v>
      </c>
      <c r="S154" s="53">
        <f t="shared" si="22"/>
        <v>0.44</v>
      </c>
      <c r="T154" s="53">
        <f t="shared" si="22"/>
        <v>0.01</v>
      </c>
      <c r="U154" s="54"/>
      <c r="V154" s="54"/>
      <c r="W154" s="47"/>
    </row>
    <row r="155" spans="1:23" s="48" customFormat="1" ht="21.6" customHeight="1">
      <c r="A155" s="51" t="s">
        <v>102</v>
      </c>
      <c r="B155" s="65"/>
      <c r="C155" s="66">
        <f t="shared" ref="C155:T155" si="23">C154+C148+C138</f>
        <v>56.713316017316018</v>
      </c>
      <c r="D155" s="66">
        <f t="shared" si="23"/>
        <v>58.490045887445888</v>
      </c>
      <c r="E155" s="66">
        <f t="shared" si="23"/>
        <v>233.25657445887447</v>
      </c>
      <c r="F155" s="66">
        <f t="shared" si="23"/>
        <v>1659.1005627705629</v>
      </c>
      <c r="G155" s="66">
        <f t="shared" si="23"/>
        <v>1.0597205387205388</v>
      </c>
      <c r="H155" s="66">
        <f t="shared" si="23"/>
        <v>134.96663804713805</v>
      </c>
      <c r="I155" s="66">
        <f t="shared" si="23"/>
        <v>108.82148148148147</v>
      </c>
      <c r="J155" s="66">
        <f t="shared" si="23"/>
        <v>13.759999999999998</v>
      </c>
      <c r="K155" s="66">
        <f t="shared" si="23"/>
        <v>2.25</v>
      </c>
      <c r="L155" s="66">
        <f t="shared" si="23"/>
        <v>1.2288939393939395</v>
      </c>
      <c r="M155" s="66">
        <f t="shared" si="23"/>
        <v>888.41129629629631</v>
      </c>
      <c r="N155" s="66">
        <f t="shared" si="23"/>
        <v>337.89555555555557</v>
      </c>
      <c r="O155" s="66">
        <f t="shared" si="23"/>
        <v>1189.8854377104376</v>
      </c>
      <c r="P155" s="66">
        <f t="shared" si="23"/>
        <v>13.051617845117846</v>
      </c>
      <c r="Q155" s="66">
        <f t="shared" si="23"/>
        <v>3742.0391919191916</v>
      </c>
      <c r="R155" s="66">
        <f t="shared" si="23"/>
        <v>166.61999999999998</v>
      </c>
      <c r="S155" s="66">
        <f t="shared" si="23"/>
        <v>0.63</v>
      </c>
      <c r="T155" s="66">
        <f t="shared" si="23"/>
        <v>0.01</v>
      </c>
      <c r="U155" s="54"/>
      <c r="V155" s="54"/>
      <c r="W155" s="47"/>
    </row>
    <row r="156" spans="1:23" s="48" customFormat="1" ht="28.35" customHeight="1">
      <c r="A156" s="93" t="s">
        <v>268</v>
      </c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47"/>
    </row>
    <row r="157" spans="1:23" s="7" customFormat="1" ht="13.35" customHeight="1">
      <c r="A157" s="95" t="s">
        <v>1</v>
      </c>
      <c r="B157" s="95" t="s">
        <v>2</v>
      </c>
      <c r="C157" s="103" t="s">
        <v>3</v>
      </c>
      <c r="D157" s="103"/>
      <c r="E157" s="103"/>
      <c r="F157" s="103" t="s">
        <v>4</v>
      </c>
      <c r="G157" s="103" t="s">
        <v>5</v>
      </c>
      <c r="H157" s="103"/>
      <c r="I157" s="103"/>
      <c r="J157" s="103"/>
      <c r="K157" s="103"/>
      <c r="L157" s="103"/>
      <c r="M157" s="103" t="s">
        <v>6</v>
      </c>
      <c r="N157" s="103"/>
      <c r="O157" s="103"/>
      <c r="P157" s="103"/>
      <c r="Q157" s="103"/>
      <c r="R157" s="103"/>
      <c r="S157" s="103"/>
      <c r="T157" s="103"/>
      <c r="U157" s="95" t="s">
        <v>7</v>
      </c>
      <c r="V157" s="95" t="s">
        <v>8</v>
      </c>
    </row>
    <row r="158" spans="1:23" s="7" customFormat="1" ht="26.65" customHeight="1">
      <c r="A158" s="95"/>
      <c r="B158" s="95"/>
      <c r="C158" s="67" t="s">
        <v>9</v>
      </c>
      <c r="D158" s="67" t="s">
        <v>10</v>
      </c>
      <c r="E158" s="67" t="s">
        <v>11</v>
      </c>
      <c r="F158" s="103"/>
      <c r="G158" s="67" t="s">
        <v>12</v>
      </c>
      <c r="H158" s="67" t="s">
        <v>13</v>
      </c>
      <c r="I158" s="67" t="s">
        <v>14</v>
      </c>
      <c r="J158" s="67" t="s">
        <v>15</v>
      </c>
      <c r="K158" s="67" t="s">
        <v>16</v>
      </c>
      <c r="L158" s="67" t="s">
        <v>17</v>
      </c>
      <c r="M158" s="67" t="s">
        <v>18</v>
      </c>
      <c r="N158" s="67" t="s">
        <v>19</v>
      </c>
      <c r="O158" s="67" t="s">
        <v>20</v>
      </c>
      <c r="P158" s="67" t="s">
        <v>21</v>
      </c>
      <c r="Q158" s="67" t="s">
        <v>22</v>
      </c>
      <c r="R158" s="67" t="s">
        <v>23</v>
      </c>
      <c r="S158" s="67" t="s">
        <v>24</v>
      </c>
      <c r="T158" s="67" t="s">
        <v>25</v>
      </c>
      <c r="U158" s="95"/>
      <c r="V158" s="95"/>
    </row>
    <row r="159" spans="1:23" s="48" customFormat="1" ht="14.65" customHeight="1">
      <c r="A159" s="98" t="s">
        <v>116</v>
      </c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100"/>
      <c r="W159" s="47"/>
    </row>
    <row r="160" spans="1:23" s="48" customFormat="1" ht="33.75" customHeight="1">
      <c r="A160" s="43" t="s">
        <v>243</v>
      </c>
      <c r="B160" s="44">
        <v>60</v>
      </c>
      <c r="C160" s="45">
        <v>0.8</v>
      </c>
      <c r="D160" s="45">
        <v>0.1</v>
      </c>
      <c r="E160" s="45">
        <v>5.0999999999999996</v>
      </c>
      <c r="F160" s="45">
        <v>15</v>
      </c>
      <c r="G160" s="45">
        <v>0.04</v>
      </c>
      <c r="H160" s="45">
        <v>3</v>
      </c>
      <c r="I160" s="45">
        <v>1.49</v>
      </c>
      <c r="J160" s="45">
        <v>0.38</v>
      </c>
      <c r="K160" s="45">
        <v>0</v>
      </c>
      <c r="L160" s="45">
        <v>0.04</v>
      </c>
      <c r="M160" s="45">
        <v>30.6</v>
      </c>
      <c r="N160" s="45">
        <v>22.8</v>
      </c>
      <c r="O160" s="45">
        <v>33</v>
      </c>
      <c r="P160" s="45">
        <v>0.6</v>
      </c>
      <c r="Q160" s="45">
        <v>120</v>
      </c>
      <c r="R160" s="45">
        <v>3</v>
      </c>
      <c r="S160" s="45">
        <v>0.03</v>
      </c>
      <c r="T160" s="45">
        <v>0</v>
      </c>
      <c r="U160" s="46" t="s">
        <v>213</v>
      </c>
      <c r="V160" s="46" t="s">
        <v>136</v>
      </c>
      <c r="W160" s="47"/>
    </row>
    <row r="161" spans="1:23" s="48" customFormat="1" ht="30.75" customHeight="1">
      <c r="A161" s="43" t="s">
        <v>137</v>
      </c>
      <c r="B161" s="44">
        <v>150</v>
      </c>
      <c r="C161" s="45">
        <v>3.6</v>
      </c>
      <c r="D161" s="45">
        <v>4.4000000000000004</v>
      </c>
      <c r="E161" s="45">
        <v>20.7</v>
      </c>
      <c r="F161" s="45">
        <v>156</v>
      </c>
      <c r="G161" s="45">
        <v>0.12</v>
      </c>
      <c r="H161" s="45">
        <v>9.68</v>
      </c>
      <c r="I161" s="45">
        <v>0.59</v>
      </c>
      <c r="J161" s="45">
        <v>1.45</v>
      </c>
      <c r="K161" s="45">
        <v>1.22</v>
      </c>
      <c r="L161" s="45">
        <v>0.26</v>
      </c>
      <c r="M161" s="45">
        <v>57.38</v>
      </c>
      <c r="N161" s="45">
        <v>34.51</v>
      </c>
      <c r="O161" s="45">
        <v>154.36000000000001</v>
      </c>
      <c r="P161" s="45">
        <v>2.3199999999999998</v>
      </c>
      <c r="Q161" s="45">
        <v>657.46</v>
      </c>
      <c r="R161" s="45">
        <v>16.010000000000002</v>
      </c>
      <c r="S161" s="45">
        <v>7.0000000000000007E-2</v>
      </c>
      <c r="T161" s="45">
        <v>0.01</v>
      </c>
      <c r="U161" s="46" t="s">
        <v>208</v>
      </c>
      <c r="V161" s="46" t="s">
        <v>136</v>
      </c>
      <c r="W161" s="47"/>
    </row>
    <row r="162" spans="1:23" s="48" customFormat="1" ht="24.75" customHeight="1">
      <c r="A162" s="43" t="s">
        <v>258</v>
      </c>
      <c r="B162" s="44">
        <v>90</v>
      </c>
      <c r="C162" s="45">
        <f>4.55*90/55</f>
        <v>7.4454545454545453</v>
      </c>
      <c r="D162" s="45">
        <f>6.7*90/55</f>
        <v>10.963636363636363</v>
      </c>
      <c r="E162" s="45">
        <f>9.73*90/55</f>
        <v>15.921818181818182</v>
      </c>
      <c r="F162" s="45">
        <f>124*90/55</f>
        <v>202.90909090909091</v>
      </c>
      <c r="G162" s="45">
        <v>0.09</v>
      </c>
      <c r="H162" s="45">
        <v>0.49</v>
      </c>
      <c r="I162" s="45">
        <v>0.05</v>
      </c>
      <c r="J162" s="45">
        <v>2.97</v>
      </c>
      <c r="K162" s="45">
        <v>0</v>
      </c>
      <c r="L162" s="45">
        <v>0.11</v>
      </c>
      <c r="M162" s="45">
        <v>24.76</v>
      </c>
      <c r="N162" s="45">
        <v>29.11</v>
      </c>
      <c r="O162" s="45">
        <v>158.86000000000001</v>
      </c>
      <c r="P162" s="45">
        <v>2.31</v>
      </c>
      <c r="Q162" s="45">
        <v>198.96</v>
      </c>
      <c r="R162" s="45">
        <v>4.08</v>
      </c>
      <c r="S162" s="45">
        <v>0.08</v>
      </c>
      <c r="T162" s="45">
        <v>0.01</v>
      </c>
      <c r="U162" s="46">
        <v>294</v>
      </c>
      <c r="V162" s="46" t="s">
        <v>118</v>
      </c>
      <c r="W162" s="47"/>
    </row>
    <row r="163" spans="1:23" s="48" customFormat="1" ht="30" customHeight="1">
      <c r="A163" s="43" t="s">
        <v>54</v>
      </c>
      <c r="B163" s="44">
        <v>180</v>
      </c>
      <c r="C163" s="49">
        <v>4.68</v>
      </c>
      <c r="D163" s="49">
        <v>4.05</v>
      </c>
      <c r="E163" s="49">
        <v>6.48</v>
      </c>
      <c r="F163" s="49">
        <v>85.86</v>
      </c>
      <c r="G163" s="50">
        <v>0</v>
      </c>
      <c r="H163" s="50">
        <v>0</v>
      </c>
      <c r="I163" s="50">
        <v>0</v>
      </c>
      <c r="J163" s="50">
        <v>0</v>
      </c>
      <c r="K163" s="50">
        <v>0</v>
      </c>
      <c r="L163" s="50">
        <v>0</v>
      </c>
      <c r="M163" s="50">
        <v>0</v>
      </c>
      <c r="N163" s="50">
        <v>0</v>
      </c>
      <c r="O163" s="50">
        <v>0</v>
      </c>
      <c r="P163" s="50">
        <v>0</v>
      </c>
      <c r="Q163" s="50">
        <v>0</v>
      </c>
      <c r="R163" s="50">
        <v>0</v>
      </c>
      <c r="S163" s="50">
        <v>0</v>
      </c>
      <c r="T163" s="50">
        <v>0</v>
      </c>
      <c r="U163" s="46" t="s">
        <v>223</v>
      </c>
      <c r="V163" s="46" t="s">
        <v>29</v>
      </c>
      <c r="W163" s="47"/>
    </row>
    <row r="164" spans="1:23" s="48" customFormat="1" ht="19.5" customHeight="1">
      <c r="A164" s="43" t="s">
        <v>132</v>
      </c>
      <c r="B164" s="44">
        <v>20</v>
      </c>
      <c r="C164" s="49">
        <v>1.53</v>
      </c>
      <c r="D164" s="49">
        <v>0.12</v>
      </c>
      <c r="E164" s="49">
        <v>10.039999999999999</v>
      </c>
      <c r="F164" s="49">
        <v>47.36</v>
      </c>
      <c r="G164" s="50">
        <v>0.03</v>
      </c>
      <c r="H164" s="50">
        <v>0</v>
      </c>
      <c r="I164" s="50">
        <v>0</v>
      </c>
      <c r="J164" s="50">
        <v>0.39</v>
      </c>
      <c r="K164" s="50">
        <v>0</v>
      </c>
      <c r="L164" s="50">
        <v>0.01</v>
      </c>
      <c r="M164" s="50">
        <v>4.5999999999999996</v>
      </c>
      <c r="N164" s="50">
        <v>6.6</v>
      </c>
      <c r="O164" s="50">
        <v>16.8</v>
      </c>
      <c r="P164" s="50">
        <v>0.4</v>
      </c>
      <c r="Q164" s="50">
        <v>25.8</v>
      </c>
      <c r="R164" s="50">
        <v>0</v>
      </c>
      <c r="S164" s="50">
        <v>0</v>
      </c>
      <c r="T164" s="50">
        <v>0</v>
      </c>
      <c r="U164" s="46" t="s">
        <v>223</v>
      </c>
      <c r="V164" s="46" t="s">
        <v>121</v>
      </c>
      <c r="W164" s="47"/>
    </row>
    <row r="165" spans="1:23" s="48" customFormat="1" ht="18.75" customHeight="1">
      <c r="A165" s="43" t="s">
        <v>37</v>
      </c>
      <c r="B165" s="44">
        <v>20</v>
      </c>
      <c r="C165" s="49">
        <v>1.1200000000000001</v>
      </c>
      <c r="D165" s="49">
        <v>0.22</v>
      </c>
      <c r="E165" s="49">
        <v>9.8800000000000008</v>
      </c>
      <c r="F165" s="49">
        <v>45.98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0">
        <v>0</v>
      </c>
      <c r="O165" s="50">
        <v>0</v>
      </c>
      <c r="P165" s="50">
        <v>0</v>
      </c>
      <c r="Q165" s="50">
        <v>0</v>
      </c>
      <c r="R165" s="50">
        <v>0</v>
      </c>
      <c r="S165" s="50">
        <v>0</v>
      </c>
      <c r="T165" s="50">
        <v>0</v>
      </c>
      <c r="U165" s="46" t="s">
        <v>223</v>
      </c>
      <c r="V165" s="46" t="s">
        <v>38</v>
      </c>
      <c r="W165" s="47"/>
    </row>
    <row r="166" spans="1:23" s="48" customFormat="1" ht="21.6" customHeight="1">
      <c r="A166" s="51" t="s">
        <v>122</v>
      </c>
      <c r="B166" s="52">
        <f>SUM(B160:B165)</f>
        <v>520</v>
      </c>
      <c r="C166" s="53">
        <f t="shared" ref="C166:T166" si="24">SUM(C160:C165)</f>
        <v>19.175454545454546</v>
      </c>
      <c r="D166" s="53">
        <f t="shared" si="24"/>
        <v>19.853636363636362</v>
      </c>
      <c r="E166" s="53">
        <f t="shared" si="24"/>
        <v>68.121818181818185</v>
      </c>
      <c r="F166" s="53">
        <f t="shared" si="24"/>
        <v>553.10909090909092</v>
      </c>
      <c r="G166" s="53">
        <f t="shared" si="24"/>
        <v>0.28000000000000003</v>
      </c>
      <c r="H166" s="53">
        <f t="shared" si="24"/>
        <v>13.17</v>
      </c>
      <c r="I166" s="53">
        <f t="shared" si="24"/>
        <v>2.13</v>
      </c>
      <c r="J166" s="53">
        <f t="shared" si="24"/>
        <v>5.19</v>
      </c>
      <c r="K166" s="53">
        <f t="shared" si="24"/>
        <v>1.22</v>
      </c>
      <c r="L166" s="53">
        <f t="shared" si="24"/>
        <v>0.42</v>
      </c>
      <c r="M166" s="53">
        <f t="shared" si="24"/>
        <v>117.34</v>
      </c>
      <c r="N166" s="53">
        <f t="shared" si="24"/>
        <v>93.02</v>
      </c>
      <c r="O166" s="53">
        <f t="shared" si="24"/>
        <v>363.02000000000004</v>
      </c>
      <c r="P166" s="53">
        <f t="shared" si="24"/>
        <v>5.6300000000000008</v>
      </c>
      <c r="Q166" s="53">
        <f t="shared" si="24"/>
        <v>1002.22</v>
      </c>
      <c r="R166" s="53">
        <f t="shared" si="24"/>
        <v>23.090000000000003</v>
      </c>
      <c r="S166" s="53">
        <f t="shared" si="24"/>
        <v>0.18</v>
      </c>
      <c r="T166" s="53">
        <f t="shared" si="24"/>
        <v>0.02</v>
      </c>
      <c r="U166" s="54"/>
      <c r="V166" s="54"/>
      <c r="W166" s="47"/>
    </row>
    <row r="167" spans="1:23" s="48" customFormat="1" ht="14.65" customHeight="1">
      <c r="A167" s="98" t="s">
        <v>138</v>
      </c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100"/>
      <c r="W167" s="47"/>
    </row>
    <row r="168" spans="1:23" s="48" customFormat="1" ht="23.25" customHeight="1">
      <c r="A168" s="43" t="s">
        <v>139</v>
      </c>
      <c r="B168" s="44">
        <v>60</v>
      </c>
      <c r="C168" s="45">
        <v>0.7</v>
      </c>
      <c r="D168" s="45">
        <v>3.1</v>
      </c>
      <c r="E168" s="45">
        <v>5.7</v>
      </c>
      <c r="F168" s="45">
        <v>44</v>
      </c>
      <c r="G168" s="45">
        <v>0.02</v>
      </c>
      <c r="H168" s="45">
        <v>15.61</v>
      </c>
      <c r="I168" s="45">
        <v>0.19</v>
      </c>
      <c r="J168" s="45">
        <v>1.44</v>
      </c>
      <c r="K168" s="45">
        <v>0</v>
      </c>
      <c r="L168" s="45">
        <v>0</v>
      </c>
      <c r="M168" s="45">
        <v>21.61</v>
      </c>
      <c r="N168" s="45">
        <v>10.210000000000001</v>
      </c>
      <c r="O168" s="45">
        <v>16.21</v>
      </c>
      <c r="P168" s="45">
        <v>0.66</v>
      </c>
      <c r="Q168" s="45">
        <v>0</v>
      </c>
      <c r="R168" s="45">
        <v>0</v>
      </c>
      <c r="S168" s="45">
        <v>0</v>
      </c>
      <c r="T168" s="45">
        <v>0</v>
      </c>
      <c r="U168" s="46" t="s">
        <v>205</v>
      </c>
      <c r="V168" s="46" t="s">
        <v>124</v>
      </c>
      <c r="W168" s="47"/>
    </row>
    <row r="169" spans="1:23" s="48" customFormat="1" ht="24" customHeight="1">
      <c r="A169" s="43" t="s">
        <v>141</v>
      </c>
      <c r="B169" s="44">
        <v>200</v>
      </c>
      <c r="C169" s="45">
        <f>8.07*0.2</f>
        <v>1.6140000000000001</v>
      </c>
      <c r="D169" s="45">
        <f>20.36*0.2</f>
        <v>4.0720000000000001</v>
      </c>
      <c r="E169" s="45">
        <f>47.32*0.2</f>
        <v>9.4640000000000004</v>
      </c>
      <c r="F169" s="45">
        <f>429*0.2</f>
        <v>85.800000000000011</v>
      </c>
      <c r="G169" s="45">
        <v>0.06</v>
      </c>
      <c r="H169" s="45">
        <v>4.62</v>
      </c>
      <c r="I169" s="45">
        <v>0.15</v>
      </c>
      <c r="J169" s="45">
        <v>1.93</v>
      </c>
      <c r="K169" s="45">
        <v>0</v>
      </c>
      <c r="L169" s="45">
        <v>0.04</v>
      </c>
      <c r="M169" s="45">
        <v>23.17</v>
      </c>
      <c r="N169" s="45">
        <v>17.84</v>
      </c>
      <c r="O169" s="45">
        <v>47.15</v>
      </c>
      <c r="P169" s="45">
        <v>0.72</v>
      </c>
      <c r="Q169" s="45">
        <v>335.2</v>
      </c>
      <c r="R169" s="45">
        <v>3.1</v>
      </c>
      <c r="S169" s="45">
        <v>0.02</v>
      </c>
      <c r="T169" s="45">
        <v>0</v>
      </c>
      <c r="U169" s="46" t="s">
        <v>142</v>
      </c>
      <c r="V169" s="46" t="s">
        <v>118</v>
      </c>
      <c r="W169" s="47"/>
    </row>
    <row r="170" spans="1:23" s="48" customFormat="1" ht="25.5" customHeight="1">
      <c r="A170" s="43" t="s">
        <v>143</v>
      </c>
      <c r="B170" s="44">
        <v>180</v>
      </c>
      <c r="C170" s="45">
        <f>6.03*180/70</f>
        <v>15.505714285714287</v>
      </c>
      <c r="D170" s="45">
        <f>5.74*180/70</f>
        <v>14.76</v>
      </c>
      <c r="E170" s="45">
        <f>13.6*180/70</f>
        <v>34.971428571428568</v>
      </c>
      <c r="F170" s="45">
        <f>129*180/70</f>
        <v>331.71428571428572</v>
      </c>
      <c r="G170" s="45">
        <v>0.08</v>
      </c>
      <c r="H170" s="45">
        <v>0.39</v>
      </c>
      <c r="I170" s="45">
        <v>0.12</v>
      </c>
      <c r="J170" s="45">
        <v>0.56000000000000005</v>
      </c>
      <c r="K170" s="45">
        <v>0.25</v>
      </c>
      <c r="L170" s="45">
        <v>0.39</v>
      </c>
      <c r="M170" s="45">
        <v>278.16000000000003</v>
      </c>
      <c r="N170" s="45">
        <v>42.33</v>
      </c>
      <c r="O170" s="45">
        <v>347.09</v>
      </c>
      <c r="P170" s="45">
        <v>1.23</v>
      </c>
      <c r="Q170" s="45">
        <v>292.38</v>
      </c>
      <c r="R170" s="45">
        <v>3.26</v>
      </c>
      <c r="S170" s="45">
        <v>0.05</v>
      </c>
      <c r="T170" s="45">
        <v>0.04</v>
      </c>
      <c r="U170" s="46" t="s">
        <v>144</v>
      </c>
      <c r="V170" s="46" t="s">
        <v>118</v>
      </c>
      <c r="W170" s="47"/>
    </row>
    <row r="171" spans="1:23" s="48" customFormat="1" ht="23.25" customHeight="1">
      <c r="A171" s="43" t="s">
        <v>145</v>
      </c>
      <c r="B171" s="44">
        <v>200</v>
      </c>
      <c r="C171" s="45">
        <f>3*0.2</f>
        <v>0.60000000000000009</v>
      </c>
      <c r="D171" s="45">
        <v>0.4</v>
      </c>
      <c r="E171" s="45">
        <f>163*0.2</f>
        <v>32.6</v>
      </c>
      <c r="F171" s="45">
        <f>682*0.2</f>
        <v>136.4</v>
      </c>
      <c r="G171" s="45">
        <v>0.03</v>
      </c>
      <c r="H171" s="45">
        <v>1.6</v>
      </c>
      <c r="I171" s="45">
        <v>0</v>
      </c>
      <c r="J171" s="45">
        <v>0</v>
      </c>
      <c r="K171" s="45">
        <v>0</v>
      </c>
      <c r="L171" s="45">
        <v>0.02</v>
      </c>
      <c r="M171" s="45">
        <v>36</v>
      </c>
      <c r="N171" s="45">
        <v>16.2</v>
      </c>
      <c r="O171" s="45">
        <v>21.6</v>
      </c>
      <c r="P171" s="45">
        <v>0.72</v>
      </c>
      <c r="Q171" s="45">
        <v>300</v>
      </c>
      <c r="R171" s="45">
        <v>12</v>
      </c>
      <c r="S171" s="45">
        <v>0</v>
      </c>
      <c r="T171" s="45">
        <v>0</v>
      </c>
      <c r="U171" s="46" t="s">
        <v>146</v>
      </c>
      <c r="V171" s="46" t="s">
        <v>118</v>
      </c>
      <c r="W171" s="47"/>
    </row>
    <row r="172" spans="1:23" s="48" customFormat="1" ht="24" customHeight="1">
      <c r="A172" s="43" t="s">
        <v>132</v>
      </c>
      <c r="B172" s="44">
        <v>30</v>
      </c>
      <c r="C172" s="49">
        <v>2.2999999999999998</v>
      </c>
      <c r="D172" s="49">
        <v>0.19</v>
      </c>
      <c r="E172" s="49">
        <v>15.05</v>
      </c>
      <c r="F172" s="49">
        <v>71.05</v>
      </c>
      <c r="G172" s="50">
        <v>0.05</v>
      </c>
      <c r="H172" s="50">
        <v>0</v>
      </c>
      <c r="I172" s="50">
        <v>0</v>
      </c>
      <c r="J172" s="50">
        <v>0.59</v>
      </c>
      <c r="K172" s="50">
        <v>0</v>
      </c>
      <c r="L172" s="50">
        <v>0.02</v>
      </c>
      <c r="M172" s="50">
        <v>6.9</v>
      </c>
      <c r="N172" s="50">
        <v>9.9</v>
      </c>
      <c r="O172" s="50">
        <v>25.2</v>
      </c>
      <c r="P172" s="50">
        <v>0.6</v>
      </c>
      <c r="Q172" s="50">
        <v>38.700000000000003</v>
      </c>
      <c r="R172" s="50">
        <v>0</v>
      </c>
      <c r="S172" s="50">
        <v>0</v>
      </c>
      <c r="T172" s="50">
        <v>0</v>
      </c>
      <c r="U172" s="46" t="s">
        <v>223</v>
      </c>
      <c r="V172" s="46">
        <v>2020</v>
      </c>
      <c r="W172" s="47"/>
    </row>
    <row r="173" spans="1:23" s="48" customFormat="1" ht="21" customHeight="1">
      <c r="A173" s="43" t="s">
        <v>37</v>
      </c>
      <c r="B173" s="44">
        <v>20</v>
      </c>
      <c r="C173" s="49">
        <v>1.1200000000000001</v>
      </c>
      <c r="D173" s="49">
        <v>0.22</v>
      </c>
      <c r="E173" s="49">
        <v>9.8800000000000008</v>
      </c>
      <c r="F173" s="49">
        <v>45.98</v>
      </c>
      <c r="G173" s="50">
        <v>0</v>
      </c>
      <c r="H173" s="50">
        <v>0</v>
      </c>
      <c r="I173" s="50">
        <v>0</v>
      </c>
      <c r="J173" s="50">
        <v>0</v>
      </c>
      <c r="K173" s="50">
        <v>0</v>
      </c>
      <c r="L173" s="50">
        <v>0</v>
      </c>
      <c r="M173" s="50">
        <v>0</v>
      </c>
      <c r="N173" s="50">
        <v>0</v>
      </c>
      <c r="O173" s="50">
        <v>0</v>
      </c>
      <c r="P173" s="50">
        <v>0</v>
      </c>
      <c r="Q173" s="50">
        <v>0</v>
      </c>
      <c r="R173" s="50">
        <v>0</v>
      </c>
      <c r="S173" s="50">
        <v>0</v>
      </c>
      <c r="T173" s="50">
        <v>0</v>
      </c>
      <c r="U173" s="46" t="s">
        <v>223</v>
      </c>
      <c r="V173" s="46" t="s">
        <v>38</v>
      </c>
      <c r="W173" s="47"/>
    </row>
    <row r="174" spans="1:23" s="48" customFormat="1" ht="17.25" customHeight="1">
      <c r="A174" s="43" t="s">
        <v>147</v>
      </c>
      <c r="B174" s="44">
        <v>200</v>
      </c>
      <c r="C174" s="45">
        <v>5.8</v>
      </c>
      <c r="D174" s="45">
        <v>5</v>
      </c>
      <c r="E174" s="45">
        <v>9.6</v>
      </c>
      <c r="F174" s="45">
        <v>107</v>
      </c>
      <c r="G174" s="45">
        <v>0.08</v>
      </c>
      <c r="H174" s="45">
        <v>2.6</v>
      </c>
      <c r="I174" s="45">
        <v>40</v>
      </c>
      <c r="J174" s="45">
        <v>0</v>
      </c>
      <c r="K174" s="45">
        <v>0</v>
      </c>
      <c r="L174" s="45">
        <v>0.03</v>
      </c>
      <c r="M174" s="45">
        <v>240</v>
      </c>
      <c r="N174" s="45">
        <v>28</v>
      </c>
      <c r="O174" s="45">
        <v>180</v>
      </c>
      <c r="P174" s="45">
        <v>0.2</v>
      </c>
      <c r="Q174" s="45">
        <v>292</v>
      </c>
      <c r="R174" s="45">
        <v>0</v>
      </c>
      <c r="S174" s="45">
        <v>0</v>
      </c>
      <c r="T174" s="45">
        <v>0</v>
      </c>
      <c r="U174" s="46" t="s">
        <v>223</v>
      </c>
      <c r="V174" s="46"/>
      <c r="W174" s="47"/>
    </row>
    <row r="175" spans="1:23" s="48" customFormat="1" ht="21.6" customHeight="1">
      <c r="A175" s="51" t="s">
        <v>122</v>
      </c>
      <c r="B175" s="52">
        <f t="shared" ref="B175:T175" si="25">SUM(B168:B174)</f>
        <v>890</v>
      </c>
      <c r="C175" s="53">
        <f t="shared" si="25"/>
        <v>27.639714285714291</v>
      </c>
      <c r="D175" s="53">
        <f t="shared" si="25"/>
        <v>27.742000000000001</v>
      </c>
      <c r="E175" s="53">
        <f t="shared" si="25"/>
        <v>117.26542857142856</v>
      </c>
      <c r="F175" s="53">
        <f t="shared" si="25"/>
        <v>821.94428571428568</v>
      </c>
      <c r="G175" s="53">
        <f t="shared" si="25"/>
        <v>0.32</v>
      </c>
      <c r="H175" s="53">
        <f t="shared" si="25"/>
        <v>24.820000000000004</v>
      </c>
      <c r="I175" s="53">
        <f t="shared" si="25"/>
        <v>40.46</v>
      </c>
      <c r="J175" s="53">
        <f t="shared" si="25"/>
        <v>4.5200000000000005</v>
      </c>
      <c r="K175" s="53">
        <f t="shared" si="25"/>
        <v>0.25</v>
      </c>
      <c r="L175" s="53">
        <f t="shared" si="25"/>
        <v>0.5</v>
      </c>
      <c r="M175" s="53">
        <f t="shared" si="25"/>
        <v>605.84</v>
      </c>
      <c r="N175" s="53">
        <f t="shared" si="25"/>
        <v>124.48</v>
      </c>
      <c r="O175" s="53">
        <f t="shared" si="25"/>
        <v>637.25</v>
      </c>
      <c r="P175" s="53">
        <f t="shared" si="25"/>
        <v>4.13</v>
      </c>
      <c r="Q175" s="53">
        <f t="shared" si="25"/>
        <v>1258.28</v>
      </c>
      <c r="R175" s="53">
        <f t="shared" si="25"/>
        <v>18.36</v>
      </c>
      <c r="S175" s="53">
        <f t="shared" si="25"/>
        <v>7.0000000000000007E-2</v>
      </c>
      <c r="T175" s="53">
        <f t="shared" si="25"/>
        <v>0.04</v>
      </c>
      <c r="U175" s="54"/>
      <c r="V175" s="54"/>
      <c r="W175" s="47"/>
    </row>
    <row r="176" spans="1:23" s="48" customFormat="1" ht="14.65" customHeight="1">
      <c r="A176" s="98" t="s">
        <v>148</v>
      </c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100"/>
      <c r="W176" s="47"/>
    </row>
    <row r="177" spans="1:23" s="48" customFormat="1" ht="31.5" customHeight="1">
      <c r="A177" s="43" t="s">
        <v>149</v>
      </c>
      <c r="B177" s="44">
        <v>150</v>
      </c>
      <c r="C177" s="45">
        <v>6.1</v>
      </c>
      <c r="D177" s="45">
        <v>8.1</v>
      </c>
      <c r="E177" s="45">
        <v>24.4</v>
      </c>
      <c r="F177" s="45">
        <v>198.2</v>
      </c>
      <c r="G177" s="45">
        <v>0.12</v>
      </c>
      <c r="H177" s="45">
        <v>1.4</v>
      </c>
      <c r="I177" s="45">
        <v>0.05</v>
      </c>
      <c r="J177" s="45">
        <v>1.05</v>
      </c>
      <c r="K177" s="45">
        <v>0.09</v>
      </c>
      <c r="L177" s="45">
        <v>0.12</v>
      </c>
      <c r="M177" s="45">
        <v>108.15</v>
      </c>
      <c r="N177" s="45">
        <v>34.479999999999997</v>
      </c>
      <c r="O177" s="45">
        <v>133.16999999999999</v>
      </c>
      <c r="P177" s="45">
        <v>1.35</v>
      </c>
      <c r="Q177" s="45">
        <v>266.17</v>
      </c>
      <c r="R177" s="45">
        <v>10.44</v>
      </c>
      <c r="S177" s="45">
        <v>0.01</v>
      </c>
      <c r="T177" s="45">
        <v>0</v>
      </c>
      <c r="U177" s="46" t="s">
        <v>150</v>
      </c>
      <c r="V177" s="46" t="s">
        <v>151</v>
      </c>
      <c r="W177" s="47"/>
    </row>
    <row r="178" spans="1:23" s="48" customFormat="1" ht="21" customHeight="1">
      <c r="A178" s="43" t="s">
        <v>63</v>
      </c>
      <c r="B178" s="44">
        <v>180</v>
      </c>
      <c r="C178" s="49">
        <v>2.85</v>
      </c>
      <c r="D178" s="49">
        <v>2.4300000000000002</v>
      </c>
      <c r="E178" s="49">
        <v>14.35</v>
      </c>
      <c r="F178" s="49">
        <v>93.15</v>
      </c>
      <c r="G178" s="50">
        <v>0.03</v>
      </c>
      <c r="H178" s="50">
        <v>0.47</v>
      </c>
      <c r="I178" s="50">
        <v>0.01</v>
      </c>
      <c r="J178" s="50">
        <v>0</v>
      </c>
      <c r="K178" s="50">
        <v>0</v>
      </c>
      <c r="L178" s="50">
        <v>0.1</v>
      </c>
      <c r="M178" s="50">
        <v>100.26</v>
      </c>
      <c r="N178" s="50">
        <v>17.13</v>
      </c>
      <c r="O178" s="50">
        <v>79.099999999999994</v>
      </c>
      <c r="P178" s="50">
        <v>0.36</v>
      </c>
      <c r="Q178" s="50">
        <v>152.65</v>
      </c>
      <c r="R178" s="50">
        <v>8.1</v>
      </c>
      <c r="S178" s="50">
        <v>0</v>
      </c>
      <c r="T178" s="50">
        <v>0</v>
      </c>
      <c r="U178" s="46" t="s">
        <v>64</v>
      </c>
      <c r="V178" s="46" t="s">
        <v>29</v>
      </c>
      <c r="W178" s="47"/>
    </row>
    <row r="179" spans="1:23" s="48" customFormat="1" ht="21" customHeight="1">
      <c r="A179" s="43" t="s">
        <v>37</v>
      </c>
      <c r="B179" s="44">
        <v>20</v>
      </c>
      <c r="C179" s="49">
        <v>1.1200000000000001</v>
      </c>
      <c r="D179" s="49">
        <v>0.22</v>
      </c>
      <c r="E179" s="49">
        <v>9.8800000000000008</v>
      </c>
      <c r="F179" s="49">
        <v>45.98</v>
      </c>
      <c r="G179" s="50">
        <v>0</v>
      </c>
      <c r="H179" s="50">
        <v>0</v>
      </c>
      <c r="I179" s="50">
        <v>0</v>
      </c>
      <c r="J179" s="50">
        <v>0</v>
      </c>
      <c r="K179" s="50">
        <v>0</v>
      </c>
      <c r="L179" s="50">
        <v>0</v>
      </c>
      <c r="M179" s="50">
        <v>0</v>
      </c>
      <c r="N179" s="50">
        <v>0</v>
      </c>
      <c r="O179" s="50">
        <v>0</v>
      </c>
      <c r="P179" s="50">
        <v>0</v>
      </c>
      <c r="Q179" s="50">
        <v>0</v>
      </c>
      <c r="R179" s="50">
        <v>0</v>
      </c>
      <c r="S179" s="50">
        <v>0</v>
      </c>
      <c r="T179" s="50">
        <v>0</v>
      </c>
      <c r="U179" s="46" t="s">
        <v>223</v>
      </c>
      <c r="V179" s="46" t="s">
        <v>38</v>
      </c>
      <c r="W179" s="47"/>
    </row>
    <row r="180" spans="1:23" s="48" customFormat="1" ht="12.2" customHeight="1">
      <c r="A180" s="51" t="s">
        <v>122</v>
      </c>
      <c r="B180" s="52">
        <f>SUM(B177:B179)</f>
        <v>350</v>
      </c>
      <c r="C180" s="53">
        <f t="shared" ref="C180:T180" si="26">SUM(C177:C179)</f>
        <v>10.07</v>
      </c>
      <c r="D180" s="53">
        <f t="shared" si="26"/>
        <v>10.75</v>
      </c>
      <c r="E180" s="53">
        <f t="shared" si="26"/>
        <v>48.63</v>
      </c>
      <c r="F180" s="53">
        <f t="shared" si="26"/>
        <v>337.33000000000004</v>
      </c>
      <c r="G180" s="53">
        <f t="shared" si="26"/>
        <v>0.15</v>
      </c>
      <c r="H180" s="53">
        <f t="shared" si="26"/>
        <v>1.8699999999999999</v>
      </c>
      <c r="I180" s="53">
        <f t="shared" si="26"/>
        <v>6.0000000000000005E-2</v>
      </c>
      <c r="J180" s="53">
        <f t="shared" si="26"/>
        <v>1.05</v>
      </c>
      <c r="K180" s="53">
        <f t="shared" si="26"/>
        <v>0.09</v>
      </c>
      <c r="L180" s="53">
        <f t="shared" si="26"/>
        <v>0.22</v>
      </c>
      <c r="M180" s="53">
        <f t="shared" si="26"/>
        <v>208.41000000000003</v>
      </c>
      <c r="N180" s="53">
        <f t="shared" si="26"/>
        <v>51.61</v>
      </c>
      <c r="O180" s="53">
        <f t="shared" si="26"/>
        <v>212.26999999999998</v>
      </c>
      <c r="P180" s="53">
        <f t="shared" si="26"/>
        <v>1.71</v>
      </c>
      <c r="Q180" s="53">
        <f t="shared" si="26"/>
        <v>418.82000000000005</v>
      </c>
      <c r="R180" s="53">
        <f t="shared" si="26"/>
        <v>18.54</v>
      </c>
      <c r="S180" s="53">
        <f t="shared" si="26"/>
        <v>0.01</v>
      </c>
      <c r="T180" s="53">
        <f t="shared" si="26"/>
        <v>0</v>
      </c>
      <c r="U180" s="54"/>
      <c r="V180" s="54"/>
      <c r="W180" s="47"/>
    </row>
    <row r="181" spans="1:23" s="48" customFormat="1" ht="21.6" customHeight="1">
      <c r="A181" s="51" t="s">
        <v>153</v>
      </c>
      <c r="B181" s="65"/>
      <c r="C181" s="66">
        <f>C180+C175+C166</f>
        <v>56.885168831168841</v>
      </c>
      <c r="D181" s="66">
        <f t="shared" ref="D181:T181" si="27">D180+D175+D166</f>
        <v>58.345636363636366</v>
      </c>
      <c r="E181" s="66">
        <f t="shared" si="27"/>
        <v>234.01724675324675</v>
      </c>
      <c r="F181" s="66">
        <f t="shared" si="27"/>
        <v>1712.3833766233765</v>
      </c>
      <c r="G181" s="66">
        <f t="shared" si="27"/>
        <v>0.75</v>
      </c>
      <c r="H181" s="66">
        <f t="shared" si="27"/>
        <v>39.860000000000007</v>
      </c>
      <c r="I181" s="66">
        <f t="shared" si="27"/>
        <v>42.650000000000006</v>
      </c>
      <c r="J181" s="66">
        <f t="shared" si="27"/>
        <v>10.760000000000002</v>
      </c>
      <c r="K181" s="66">
        <f t="shared" si="27"/>
        <v>1.56</v>
      </c>
      <c r="L181" s="66">
        <f t="shared" si="27"/>
        <v>1.1399999999999999</v>
      </c>
      <c r="M181" s="66">
        <f t="shared" si="27"/>
        <v>931.59</v>
      </c>
      <c r="N181" s="66">
        <f t="shared" si="27"/>
        <v>269.11</v>
      </c>
      <c r="O181" s="66">
        <f t="shared" si="27"/>
        <v>1212.54</v>
      </c>
      <c r="P181" s="66">
        <f t="shared" si="27"/>
        <v>11.47</v>
      </c>
      <c r="Q181" s="66">
        <f t="shared" si="27"/>
        <v>2679.3199999999997</v>
      </c>
      <c r="R181" s="66">
        <f t="shared" si="27"/>
        <v>59.99</v>
      </c>
      <c r="S181" s="66">
        <f t="shared" si="27"/>
        <v>0.26</v>
      </c>
      <c r="T181" s="66">
        <f t="shared" si="27"/>
        <v>0.06</v>
      </c>
      <c r="U181" s="54"/>
      <c r="V181" s="54"/>
      <c r="W181" s="47"/>
    </row>
    <row r="182" spans="1:23" s="48" customFormat="1" ht="28.35" customHeight="1">
      <c r="A182" s="93" t="s">
        <v>274</v>
      </c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47"/>
    </row>
    <row r="183" spans="1:23" s="7" customFormat="1" ht="13.35" customHeight="1">
      <c r="A183" s="95" t="s">
        <v>1</v>
      </c>
      <c r="B183" s="95" t="s">
        <v>2</v>
      </c>
      <c r="C183" s="103" t="s">
        <v>3</v>
      </c>
      <c r="D183" s="103"/>
      <c r="E183" s="103"/>
      <c r="F183" s="103" t="s">
        <v>4</v>
      </c>
      <c r="G183" s="103" t="s">
        <v>5</v>
      </c>
      <c r="H183" s="103"/>
      <c r="I183" s="103"/>
      <c r="J183" s="103"/>
      <c r="K183" s="103"/>
      <c r="L183" s="103"/>
      <c r="M183" s="103" t="s">
        <v>6</v>
      </c>
      <c r="N183" s="103"/>
      <c r="O183" s="103"/>
      <c r="P183" s="103"/>
      <c r="Q183" s="103"/>
      <c r="R183" s="103"/>
      <c r="S183" s="103"/>
      <c r="T183" s="103"/>
      <c r="U183" s="95" t="s">
        <v>7</v>
      </c>
      <c r="V183" s="95" t="s">
        <v>8</v>
      </c>
    </row>
    <row r="184" spans="1:23" s="7" customFormat="1" ht="26.65" customHeight="1">
      <c r="A184" s="95"/>
      <c r="B184" s="95"/>
      <c r="C184" s="67" t="s">
        <v>9</v>
      </c>
      <c r="D184" s="67" t="s">
        <v>10</v>
      </c>
      <c r="E184" s="67" t="s">
        <v>11</v>
      </c>
      <c r="F184" s="103"/>
      <c r="G184" s="67" t="s">
        <v>12</v>
      </c>
      <c r="H184" s="67" t="s">
        <v>13</v>
      </c>
      <c r="I184" s="67" t="s">
        <v>14</v>
      </c>
      <c r="J184" s="67" t="s">
        <v>15</v>
      </c>
      <c r="K184" s="67" t="s">
        <v>16</v>
      </c>
      <c r="L184" s="67" t="s">
        <v>17</v>
      </c>
      <c r="M184" s="67" t="s">
        <v>18</v>
      </c>
      <c r="N184" s="67" t="s">
        <v>19</v>
      </c>
      <c r="O184" s="67" t="s">
        <v>20</v>
      </c>
      <c r="P184" s="67" t="s">
        <v>21</v>
      </c>
      <c r="Q184" s="67" t="s">
        <v>22</v>
      </c>
      <c r="R184" s="67" t="s">
        <v>23</v>
      </c>
      <c r="S184" s="67" t="s">
        <v>24</v>
      </c>
      <c r="T184" s="67" t="s">
        <v>25</v>
      </c>
      <c r="U184" s="95"/>
      <c r="V184" s="95"/>
    </row>
    <row r="185" spans="1:23" s="48" customFormat="1" ht="14.65" customHeight="1">
      <c r="A185" s="98" t="s">
        <v>155</v>
      </c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100"/>
      <c r="W185" s="47"/>
    </row>
    <row r="186" spans="1:23" s="48" customFormat="1" ht="21.75" customHeight="1">
      <c r="A186" s="43" t="s">
        <v>247</v>
      </c>
      <c r="B186" s="44">
        <v>60</v>
      </c>
      <c r="C186" s="49">
        <v>1.21</v>
      </c>
      <c r="D186" s="49">
        <v>0.06</v>
      </c>
      <c r="E186" s="49">
        <v>12.33</v>
      </c>
      <c r="F186" s="49">
        <v>54.77</v>
      </c>
      <c r="G186" s="50">
        <v>0.02</v>
      </c>
      <c r="H186" s="50">
        <v>1.75</v>
      </c>
      <c r="I186" s="50">
        <v>0.73</v>
      </c>
      <c r="J186" s="50">
        <v>2.8</v>
      </c>
      <c r="K186" s="50">
        <v>0</v>
      </c>
      <c r="L186" s="50">
        <v>0.03</v>
      </c>
      <c r="M186" s="50">
        <v>22.16</v>
      </c>
      <c r="N186" s="50">
        <v>15.33</v>
      </c>
      <c r="O186" s="50">
        <v>25.55</v>
      </c>
      <c r="P186" s="50">
        <v>0.5</v>
      </c>
      <c r="Q186" s="50">
        <v>120.42</v>
      </c>
      <c r="R186" s="50">
        <v>2.41</v>
      </c>
      <c r="S186" s="50">
        <v>0.02</v>
      </c>
      <c r="T186" s="50">
        <v>0</v>
      </c>
      <c r="U186" s="46">
        <v>75</v>
      </c>
      <c r="V186" s="46">
        <v>2017</v>
      </c>
      <c r="W186" s="47"/>
    </row>
    <row r="187" spans="1:23" s="48" customFormat="1" ht="26.25" customHeight="1">
      <c r="A187" s="43" t="s">
        <v>156</v>
      </c>
      <c r="B187" s="44">
        <v>200</v>
      </c>
      <c r="C187" s="49">
        <v>14.1</v>
      </c>
      <c r="D187" s="49">
        <v>16</v>
      </c>
      <c r="E187" s="49">
        <v>21.1</v>
      </c>
      <c r="F187" s="49">
        <v>279.10000000000002</v>
      </c>
      <c r="G187" s="50">
        <v>0.1</v>
      </c>
      <c r="H187" s="50">
        <v>1.87</v>
      </c>
      <c r="I187" s="50">
        <v>0.08</v>
      </c>
      <c r="J187" s="50">
        <v>1.04</v>
      </c>
      <c r="K187" s="50">
        <v>0.06</v>
      </c>
      <c r="L187" s="50">
        <v>0.15</v>
      </c>
      <c r="M187" s="50">
        <v>184.75</v>
      </c>
      <c r="N187" s="50">
        <v>25.72</v>
      </c>
      <c r="O187" s="50">
        <v>178.18</v>
      </c>
      <c r="P187" s="50">
        <v>1.45</v>
      </c>
      <c r="Q187" s="50">
        <v>242.02</v>
      </c>
      <c r="R187" s="50">
        <v>8.6199999999999992</v>
      </c>
      <c r="S187" s="50">
        <v>0.05</v>
      </c>
      <c r="T187" s="50">
        <v>0.02</v>
      </c>
      <c r="U187" s="46" t="s">
        <v>206</v>
      </c>
      <c r="V187" s="46" t="s">
        <v>136</v>
      </c>
      <c r="W187" s="47"/>
    </row>
    <row r="188" spans="1:23" s="48" customFormat="1" ht="24.75" customHeight="1">
      <c r="A188" s="43" t="s">
        <v>157</v>
      </c>
      <c r="B188" s="44">
        <v>200</v>
      </c>
      <c r="C188" s="45">
        <f>3.31*0.2</f>
        <v>0.66200000000000003</v>
      </c>
      <c r="D188" s="45">
        <f>0.46*0.2</f>
        <v>9.2000000000000012E-2</v>
      </c>
      <c r="E188" s="45">
        <f>160.07*0.2</f>
        <v>32.014000000000003</v>
      </c>
      <c r="F188" s="45">
        <f>664*0.2</f>
        <v>132.80000000000001</v>
      </c>
      <c r="G188" s="45">
        <v>0</v>
      </c>
      <c r="H188" s="45">
        <v>0</v>
      </c>
      <c r="I188" s="45">
        <v>0</v>
      </c>
      <c r="J188" s="45">
        <v>0</v>
      </c>
      <c r="K188" s="45">
        <v>0</v>
      </c>
      <c r="L188" s="45">
        <v>0</v>
      </c>
      <c r="M188" s="45">
        <v>8.39</v>
      </c>
      <c r="N188" s="45">
        <v>1.8</v>
      </c>
      <c r="O188" s="45">
        <v>0</v>
      </c>
      <c r="P188" s="45">
        <v>0</v>
      </c>
      <c r="Q188" s="45">
        <v>1.08</v>
      </c>
      <c r="R188" s="45">
        <v>0</v>
      </c>
      <c r="S188" s="45">
        <v>0</v>
      </c>
      <c r="T188" s="45">
        <v>0</v>
      </c>
      <c r="U188" s="46" t="s">
        <v>158</v>
      </c>
      <c r="V188" s="46" t="s">
        <v>159</v>
      </c>
      <c r="W188" s="47"/>
    </row>
    <row r="189" spans="1:23" s="48" customFormat="1" ht="23.25" customHeight="1">
      <c r="A189" s="43" t="s">
        <v>51</v>
      </c>
      <c r="B189" s="44">
        <v>20</v>
      </c>
      <c r="C189" s="49">
        <v>1.53</v>
      </c>
      <c r="D189" s="49">
        <v>0.12</v>
      </c>
      <c r="E189" s="49">
        <v>10.039999999999999</v>
      </c>
      <c r="F189" s="49">
        <v>47.36</v>
      </c>
      <c r="G189" s="50">
        <v>0.03</v>
      </c>
      <c r="H189" s="50">
        <v>0</v>
      </c>
      <c r="I189" s="50">
        <v>0</v>
      </c>
      <c r="J189" s="50">
        <v>0.39</v>
      </c>
      <c r="K189" s="50">
        <v>0</v>
      </c>
      <c r="L189" s="50">
        <v>0.01</v>
      </c>
      <c r="M189" s="50">
        <v>4.5999999999999996</v>
      </c>
      <c r="N189" s="50">
        <v>6.6</v>
      </c>
      <c r="O189" s="50">
        <v>16.8</v>
      </c>
      <c r="P189" s="50">
        <v>0.4</v>
      </c>
      <c r="Q189" s="50">
        <v>25.8</v>
      </c>
      <c r="R189" s="50">
        <v>0</v>
      </c>
      <c r="S189" s="50">
        <v>0</v>
      </c>
      <c r="T189" s="50">
        <v>0</v>
      </c>
      <c r="U189" s="46" t="s">
        <v>223</v>
      </c>
      <c r="V189" s="46" t="s">
        <v>38</v>
      </c>
      <c r="W189" s="47"/>
    </row>
    <row r="190" spans="1:23" s="48" customFormat="1" ht="20.25" customHeight="1">
      <c r="A190" s="43" t="s">
        <v>37</v>
      </c>
      <c r="B190" s="44">
        <v>20</v>
      </c>
      <c r="C190" s="49">
        <v>1.1200000000000001</v>
      </c>
      <c r="D190" s="49">
        <v>0.22</v>
      </c>
      <c r="E190" s="49">
        <v>9.8800000000000008</v>
      </c>
      <c r="F190" s="49">
        <v>45.98</v>
      </c>
      <c r="G190" s="50">
        <v>0</v>
      </c>
      <c r="H190" s="50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50">
        <v>0</v>
      </c>
      <c r="O190" s="50">
        <v>0</v>
      </c>
      <c r="P190" s="50">
        <v>0</v>
      </c>
      <c r="Q190" s="50">
        <v>0</v>
      </c>
      <c r="R190" s="50">
        <v>0</v>
      </c>
      <c r="S190" s="50">
        <v>0</v>
      </c>
      <c r="T190" s="50">
        <v>0</v>
      </c>
      <c r="U190" s="46" t="s">
        <v>223</v>
      </c>
      <c r="V190" s="46" t="s">
        <v>38</v>
      </c>
      <c r="W190" s="47"/>
    </row>
    <row r="191" spans="1:23" s="48" customFormat="1" ht="12.2" customHeight="1">
      <c r="A191" s="51" t="s">
        <v>122</v>
      </c>
      <c r="B191" s="52">
        <f>SUM(B186:B190)</f>
        <v>500</v>
      </c>
      <c r="C191" s="53">
        <f t="shared" ref="C191:T191" si="28">SUM(C186:C190)</f>
        <v>18.622</v>
      </c>
      <c r="D191" s="53">
        <f t="shared" si="28"/>
        <v>16.491999999999997</v>
      </c>
      <c r="E191" s="53">
        <f t="shared" si="28"/>
        <v>85.364000000000004</v>
      </c>
      <c r="F191" s="53">
        <f t="shared" si="28"/>
        <v>560.01</v>
      </c>
      <c r="G191" s="53">
        <f t="shared" si="28"/>
        <v>0.15000000000000002</v>
      </c>
      <c r="H191" s="53">
        <f t="shared" si="28"/>
        <v>3.62</v>
      </c>
      <c r="I191" s="53">
        <f t="shared" si="28"/>
        <v>0.80999999999999994</v>
      </c>
      <c r="J191" s="53">
        <f t="shared" si="28"/>
        <v>4.2299999999999995</v>
      </c>
      <c r="K191" s="53">
        <f t="shared" si="28"/>
        <v>0.06</v>
      </c>
      <c r="L191" s="53">
        <f t="shared" si="28"/>
        <v>0.19</v>
      </c>
      <c r="M191" s="53">
        <f t="shared" si="28"/>
        <v>219.9</v>
      </c>
      <c r="N191" s="53">
        <f t="shared" si="28"/>
        <v>49.449999999999996</v>
      </c>
      <c r="O191" s="53">
        <f t="shared" si="28"/>
        <v>220.53000000000003</v>
      </c>
      <c r="P191" s="53">
        <f t="shared" si="28"/>
        <v>2.35</v>
      </c>
      <c r="Q191" s="53">
        <f t="shared" si="28"/>
        <v>389.32</v>
      </c>
      <c r="R191" s="53">
        <f t="shared" si="28"/>
        <v>11.03</v>
      </c>
      <c r="S191" s="53">
        <f t="shared" si="28"/>
        <v>7.0000000000000007E-2</v>
      </c>
      <c r="T191" s="53">
        <f t="shared" si="28"/>
        <v>0.02</v>
      </c>
      <c r="U191" s="54"/>
      <c r="V191" s="54"/>
      <c r="W191" s="47"/>
    </row>
    <row r="192" spans="1:23" s="48" customFormat="1" ht="14.65" customHeight="1">
      <c r="A192" s="98" t="s">
        <v>138</v>
      </c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100"/>
      <c r="W192" s="47"/>
    </row>
    <row r="193" spans="1:23" s="48" customFormat="1" ht="23.25" customHeight="1">
      <c r="A193" s="43" t="s">
        <v>160</v>
      </c>
      <c r="B193" s="44">
        <v>60</v>
      </c>
      <c r="C193" s="45">
        <f>23.7*0.06</f>
        <v>1.4219999999999999</v>
      </c>
      <c r="D193" s="45">
        <f>1.02*0.06</f>
        <v>6.1199999999999997E-2</v>
      </c>
      <c r="E193" s="45">
        <f>228.71*0.06</f>
        <v>13.7226</v>
      </c>
      <c r="F193" s="45">
        <f>1853*0.06</f>
        <v>111.17999999999999</v>
      </c>
      <c r="G193" s="45">
        <v>0.03</v>
      </c>
      <c r="H193" s="45">
        <v>4.84</v>
      </c>
      <c r="I193" s="45">
        <v>0.05</v>
      </c>
      <c r="J193" s="45">
        <v>2.12</v>
      </c>
      <c r="K193" s="45">
        <v>0</v>
      </c>
      <c r="L193" s="45">
        <v>0.04</v>
      </c>
      <c r="M193" s="45">
        <v>19.98</v>
      </c>
      <c r="N193" s="45">
        <v>16.600000000000001</v>
      </c>
      <c r="O193" s="45">
        <v>31.4</v>
      </c>
      <c r="P193" s="45">
        <v>0.95</v>
      </c>
      <c r="Q193" s="45">
        <v>273.64999999999998</v>
      </c>
      <c r="R193" s="45">
        <v>4.68</v>
      </c>
      <c r="S193" s="45">
        <v>0.01</v>
      </c>
      <c r="T193" s="45">
        <v>0</v>
      </c>
      <c r="U193" s="46" t="s">
        <v>161</v>
      </c>
      <c r="V193" s="46" t="s">
        <v>159</v>
      </c>
      <c r="W193" s="47"/>
    </row>
    <row r="194" spans="1:23" s="48" customFormat="1" ht="24" customHeight="1">
      <c r="A194" s="43" t="s">
        <v>162</v>
      </c>
      <c r="B194" s="44">
        <v>200</v>
      </c>
      <c r="C194" s="45">
        <f>10.26*0.2</f>
        <v>2.052</v>
      </c>
      <c r="D194" s="45">
        <f>22.17*0.2</f>
        <v>4.4340000000000002</v>
      </c>
      <c r="E194" s="45">
        <f>46.48*0.2</f>
        <v>9.2959999999999994</v>
      </c>
      <c r="F194" s="45">
        <f>463*0.2</f>
        <v>92.600000000000009</v>
      </c>
      <c r="G194" s="45">
        <v>0.02</v>
      </c>
      <c r="H194" s="45">
        <v>0.32</v>
      </c>
      <c r="I194" s="45">
        <v>0.01</v>
      </c>
      <c r="J194" s="45">
        <v>1.78</v>
      </c>
      <c r="K194" s="45">
        <v>0.09</v>
      </c>
      <c r="L194" s="45">
        <v>0.03</v>
      </c>
      <c r="M194" s="45">
        <v>21.08</v>
      </c>
      <c r="N194" s="45">
        <v>5.73</v>
      </c>
      <c r="O194" s="45">
        <v>24.12</v>
      </c>
      <c r="P194" s="45">
        <v>0.35</v>
      </c>
      <c r="Q194" s="45">
        <v>38.659999999999997</v>
      </c>
      <c r="R194" s="45">
        <v>1.27</v>
      </c>
      <c r="S194" s="45">
        <v>0</v>
      </c>
      <c r="T194" s="45">
        <v>0</v>
      </c>
      <c r="U194" s="46" t="s">
        <v>163</v>
      </c>
      <c r="V194" s="46" t="s">
        <v>159</v>
      </c>
      <c r="W194" s="47"/>
    </row>
    <row r="195" spans="1:23" s="48" customFormat="1" ht="23.25" customHeight="1">
      <c r="A195" s="43" t="s">
        <v>164</v>
      </c>
      <c r="B195" s="44">
        <v>150</v>
      </c>
      <c r="C195" s="45">
        <f>4.84*150/160</f>
        <v>4.5374999999999996</v>
      </c>
      <c r="D195" s="45">
        <v>7.5</v>
      </c>
      <c r="E195" s="45">
        <v>30.1</v>
      </c>
      <c r="F195" s="45">
        <v>213.7</v>
      </c>
      <c r="G195" s="45">
        <v>0.04</v>
      </c>
      <c r="H195" s="45">
        <v>0</v>
      </c>
      <c r="I195" s="45">
        <v>0.04</v>
      </c>
      <c r="J195" s="45">
        <v>1.93</v>
      </c>
      <c r="K195" s="45">
        <v>0.15</v>
      </c>
      <c r="L195" s="45">
        <v>0.03</v>
      </c>
      <c r="M195" s="45">
        <v>26.01</v>
      </c>
      <c r="N195" s="45">
        <v>17.920000000000002</v>
      </c>
      <c r="O195" s="45">
        <v>136.74</v>
      </c>
      <c r="P195" s="45">
        <v>0.88</v>
      </c>
      <c r="Q195" s="45">
        <v>81.41</v>
      </c>
      <c r="R195" s="45">
        <v>0</v>
      </c>
      <c r="S195" s="45">
        <v>0.02</v>
      </c>
      <c r="T195" s="45">
        <v>0.02</v>
      </c>
      <c r="U195" s="46" t="s">
        <v>165</v>
      </c>
      <c r="V195" s="46">
        <v>2017</v>
      </c>
      <c r="W195" s="47"/>
    </row>
    <row r="196" spans="1:23" s="48" customFormat="1" ht="24.75" customHeight="1">
      <c r="A196" s="43" t="s">
        <v>166</v>
      </c>
      <c r="B196" s="44">
        <v>115</v>
      </c>
      <c r="C196" s="45">
        <f>6.59*115/80</f>
        <v>9.4731249999999996</v>
      </c>
      <c r="D196" s="45">
        <f>5.64*115/80</f>
        <v>8.1074999999999982</v>
      </c>
      <c r="E196" s="45">
        <f>9.38*115/80</f>
        <v>13.483750000000001</v>
      </c>
      <c r="F196" s="45">
        <f>115*115/80</f>
        <v>165.3125</v>
      </c>
      <c r="G196" s="45">
        <v>0.1</v>
      </c>
      <c r="H196" s="45">
        <v>0.21</v>
      </c>
      <c r="I196" s="45">
        <v>0.02</v>
      </c>
      <c r="J196" s="45">
        <v>4.29</v>
      </c>
      <c r="K196" s="45">
        <v>0.02</v>
      </c>
      <c r="L196" s="45">
        <v>0.09</v>
      </c>
      <c r="M196" s="45">
        <v>55.69</v>
      </c>
      <c r="N196" s="45">
        <v>47.02</v>
      </c>
      <c r="O196" s="45">
        <v>191.17</v>
      </c>
      <c r="P196" s="45">
        <v>1.5</v>
      </c>
      <c r="Q196" s="45">
        <v>339.53</v>
      </c>
      <c r="R196" s="45">
        <v>95.87</v>
      </c>
      <c r="S196" s="45">
        <v>0.4</v>
      </c>
      <c r="T196" s="45">
        <v>0.01</v>
      </c>
      <c r="U196" s="46" t="s">
        <v>134</v>
      </c>
      <c r="V196" s="46" t="s">
        <v>159</v>
      </c>
      <c r="W196" s="47"/>
    </row>
    <row r="197" spans="1:23" s="48" customFormat="1" ht="21" customHeight="1">
      <c r="A197" s="43" t="s">
        <v>167</v>
      </c>
      <c r="B197" s="44">
        <v>180</v>
      </c>
      <c r="C197" s="45">
        <f>0.07*180/200</f>
        <v>6.3E-2</v>
      </c>
      <c r="D197" s="45">
        <f>0.02*180/200</f>
        <v>1.8000000000000002E-2</v>
      </c>
      <c r="E197" s="45">
        <f>15*180/200</f>
        <v>13.5</v>
      </c>
      <c r="F197" s="45">
        <f>60*180/200</f>
        <v>54</v>
      </c>
      <c r="G197" s="45">
        <v>0</v>
      </c>
      <c r="H197" s="45">
        <v>0.04</v>
      </c>
      <c r="I197" s="45">
        <v>0</v>
      </c>
      <c r="J197" s="45">
        <v>0</v>
      </c>
      <c r="K197" s="45">
        <v>0</v>
      </c>
      <c r="L197" s="45">
        <v>0.01</v>
      </c>
      <c r="M197" s="45">
        <v>11.97</v>
      </c>
      <c r="N197" s="45">
        <v>5.3</v>
      </c>
      <c r="O197" s="45">
        <v>6.68</v>
      </c>
      <c r="P197" s="45">
        <v>0.67</v>
      </c>
      <c r="Q197" s="45">
        <v>23.17</v>
      </c>
      <c r="R197" s="45">
        <v>0</v>
      </c>
      <c r="S197" s="45">
        <v>0</v>
      </c>
      <c r="T197" s="45">
        <v>0</v>
      </c>
      <c r="U197" s="46" t="s">
        <v>168</v>
      </c>
      <c r="V197" s="46" t="s">
        <v>159</v>
      </c>
      <c r="W197" s="47"/>
    </row>
    <row r="198" spans="1:23" s="48" customFormat="1" ht="21.75" customHeight="1">
      <c r="A198" s="43" t="s">
        <v>132</v>
      </c>
      <c r="B198" s="44">
        <v>50</v>
      </c>
      <c r="C198" s="49">
        <v>3.82</v>
      </c>
      <c r="D198" s="49">
        <v>0.31</v>
      </c>
      <c r="E198" s="49">
        <v>25.09</v>
      </c>
      <c r="F198" s="49">
        <v>118.41</v>
      </c>
      <c r="G198" s="50">
        <v>0.08</v>
      </c>
      <c r="H198" s="50">
        <v>0</v>
      </c>
      <c r="I198" s="50">
        <v>0</v>
      </c>
      <c r="J198" s="50">
        <v>0.98</v>
      </c>
      <c r="K198" s="50">
        <v>0</v>
      </c>
      <c r="L198" s="50">
        <v>0.03</v>
      </c>
      <c r="M198" s="50">
        <v>11.5</v>
      </c>
      <c r="N198" s="50">
        <v>16.5</v>
      </c>
      <c r="O198" s="50">
        <v>42</v>
      </c>
      <c r="P198" s="50">
        <v>1</v>
      </c>
      <c r="Q198" s="50">
        <v>64.5</v>
      </c>
      <c r="R198" s="50">
        <v>0</v>
      </c>
      <c r="S198" s="50">
        <v>0.01</v>
      </c>
      <c r="T198" s="50">
        <v>0</v>
      </c>
      <c r="U198" s="46" t="s">
        <v>223</v>
      </c>
      <c r="V198" s="46" t="s">
        <v>169</v>
      </c>
      <c r="W198" s="47"/>
    </row>
    <row r="199" spans="1:23" s="48" customFormat="1" ht="20.25" customHeight="1">
      <c r="A199" s="43" t="s">
        <v>133</v>
      </c>
      <c r="B199" s="44">
        <v>30</v>
      </c>
      <c r="C199" s="49">
        <v>1.99</v>
      </c>
      <c r="D199" s="49">
        <v>0.26</v>
      </c>
      <c r="E199" s="49">
        <v>12.72</v>
      </c>
      <c r="F199" s="49">
        <v>61.19</v>
      </c>
      <c r="G199" s="50">
        <v>0.05</v>
      </c>
      <c r="H199" s="50">
        <v>0</v>
      </c>
      <c r="I199" s="50">
        <v>0</v>
      </c>
      <c r="J199" s="50">
        <v>0.66</v>
      </c>
      <c r="K199" s="50">
        <v>0</v>
      </c>
      <c r="L199" s="50">
        <v>0.02</v>
      </c>
      <c r="M199" s="50">
        <v>5.4</v>
      </c>
      <c r="N199" s="50">
        <v>5.7</v>
      </c>
      <c r="O199" s="50">
        <v>26.1</v>
      </c>
      <c r="P199" s="50">
        <v>1.2</v>
      </c>
      <c r="Q199" s="50">
        <v>40.799999999999997</v>
      </c>
      <c r="R199" s="50">
        <v>1.68</v>
      </c>
      <c r="S199" s="50">
        <v>0</v>
      </c>
      <c r="T199" s="50">
        <v>0</v>
      </c>
      <c r="U199" s="46" t="s">
        <v>223</v>
      </c>
      <c r="V199" s="46" t="s">
        <v>169</v>
      </c>
      <c r="W199" s="47"/>
    </row>
    <row r="200" spans="1:23" s="48" customFormat="1" ht="12.2" customHeight="1">
      <c r="A200" s="51" t="s">
        <v>170</v>
      </c>
      <c r="B200" s="52">
        <f>SUM(B193:B199)</f>
        <v>785</v>
      </c>
      <c r="C200" s="53">
        <f t="shared" ref="C200:T200" si="29">SUM(C193:C199)</f>
        <v>23.357624999999999</v>
      </c>
      <c r="D200" s="53">
        <f t="shared" si="29"/>
        <v>20.6907</v>
      </c>
      <c r="E200" s="53">
        <f t="shared" si="29"/>
        <v>117.91235</v>
      </c>
      <c r="F200" s="53">
        <f t="shared" si="29"/>
        <v>816.39249999999993</v>
      </c>
      <c r="G200" s="53">
        <f t="shared" si="29"/>
        <v>0.32</v>
      </c>
      <c r="H200" s="53">
        <f t="shared" si="29"/>
        <v>5.41</v>
      </c>
      <c r="I200" s="53">
        <f t="shared" si="29"/>
        <v>0.12000000000000001</v>
      </c>
      <c r="J200" s="53">
        <f t="shared" si="29"/>
        <v>11.760000000000002</v>
      </c>
      <c r="K200" s="53">
        <f t="shared" si="29"/>
        <v>0.26</v>
      </c>
      <c r="L200" s="53">
        <f t="shared" si="29"/>
        <v>0.25</v>
      </c>
      <c r="M200" s="53">
        <f t="shared" si="29"/>
        <v>151.63000000000002</v>
      </c>
      <c r="N200" s="53">
        <f t="shared" si="29"/>
        <v>114.77000000000001</v>
      </c>
      <c r="O200" s="53">
        <f t="shared" si="29"/>
        <v>458.21</v>
      </c>
      <c r="P200" s="53">
        <f t="shared" si="29"/>
        <v>6.55</v>
      </c>
      <c r="Q200" s="53">
        <f t="shared" si="29"/>
        <v>861.7199999999998</v>
      </c>
      <c r="R200" s="53">
        <f t="shared" si="29"/>
        <v>103.50000000000001</v>
      </c>
      <c r="S200" s="53">
        <f t="shared" si="29"/>
        <v>0.44000000000000006</v>
      </c>
      <c r="T200" s="53">
        <f t="shared" si="29"/>
        <v>0.03</v>
      </c>
      <c r="U200" s="54"/>
      <c r="V200" s="54"/>
      <c r="W200" s="47"/>
    </row>
    <row r="201" spans="1:23" s="48" customFormat="1" ht="14.65" customHeight="1">
      <c r="A201" s="98" t="s">
        <v>148</v>
      </c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100"/>
      <c r="W201" s="47"/>
    </row>
    <row r="202" spans="1:23" s="48" customFormat="1" ht="23.25" customHeight="1">
      <c r="A202" s="43" t="s">
        <v>171</v>
      </c>
      <c r="B202" s="44">
        <v>150</v>
      </c>
      <c r="C202" s="49">
        <v>7.1</v>
      </c>
      <c r="D202" s="49">
        <v>9.1999999999999993</v>
      </c>
      <c r="E202" s="49">
        <v>13.1</v>
      </c>
      <c r="F202" s="49">
        <v>209.5</v>
      </c>
      <c r="G202" s="50">
        <v>0.3</v>
      </c>
      <c r="H202" s="50">
        <v>5.7</v>
      </c>
      <c r="I202" s="50">
        <v>0.4</v>
      </c>
      <c r="J202" s="50">
        <v>0.34</v>
      </c>
      <c r="K202" s="50">
        <v>0.05</v>
      </c>
      <c r="L202" s="50">
        <v>0.12</v>
      </c>
      <c r="M202" s="50">
        <v>29.45</v>
      </c>
      <c r="N202" s="50">
        <v>34.94</v>
      </c>
      <c r="O202" s="50">
        <v>139.22</v>
      </c>
      <c r="P202" s="50">
        <v>1.82</v>
      </c>
      <c r="Q202" s="50">
        <v>591</v>
      </c>
      <c r="R202" s="50">
        <v>8.6999999999999993</v>
      </c>
      <c r="S202" s="50">
        <v>7.0000000000000007E-2</v>
      </c>
      <c r="T202" s="50">
        <v>0</v>
      </c>
      <c r="U202" s="46" t="s">
        <v>230</v>
      </c>
      <c r="V202" s="46" t="s">
        <v>172</v>
      </c>
      <c r="W202" s="47"/>
    </row>
    <row r="203" spans="1:23" s="48" customFormat="1" ht="21.75" customHeight="1">
      <c r="A203" s="43" t="s">
        <v>49</v>
      </c>
      <c r="B203" s="44">
        <v>180</v>
      </c>
      <c r="C203" s="49">
        <v>0.21</v>
      </c>
      <c r="D203" s="49">
        <v>0.01</v>
      </c>
      <c r="E203" s="49">
        <v>26.54</v>
      </c>
      <c r="F203" s="49">
        <v>136.08000000000001</v>
      </c>
      <c r="G203" s="50">
        <v>0</v>
      </c>
      <c r="H203" s="50">
        <v>0.1</v>
      </c>
      <c r="I203" s="50">
        <v>0</v>
      </c>
      <c r="J203" s="50">
        <v>0</v>
      </c>
      <c r="K203" s="50">
        <v>0</v>
      </c>
      <c r="L203" s="50">
        <v>0</v>
      </c>
      <c r="M203" s="50">
        <v>24.05</v>
      </c>
      <c r="N203" s="50">
        <v>5.26</v>
      </c>
      <c r="O203" s="50">
        <v>13.86</v>
      </c>
      <c r="P203" s="50">
        <v>0.65</v>
      </c>
      <c r="Q203" s="50">
        <v>72.17</v>
      </c>
      <c r="R203" s="50">
        <v>0</v>
      </c>
      <c r="S203" s="50">
        <v>0</v>
      </c>
      <c r="T203" s="50">
        <v>0</v>
      </c>
      <c r="U203" s="46" t="s">
        <v>50</v>
      </c>
      <c r="V203" s="46" t="s">
        <v>29</v>
      </c>
      <c r="W203" s="47"/>
    </row>
    <row r="204" spans="1:23" s="48" customFormat="1" ht="19.5" customHeight="1">
      <c r="A204" s="43" t="s">
        <v>37</v>
      </c>
      <c r="B204" s="44">
        <v>20</v>
      </c>
      <c r="C204" s="49">
        <v>1.1200000000000001</v>
      </c>
      <c r="D204" s="49">
        <v>0.22</v>
      </c>
      <c r="E204" s="49">
        <v>9.8800000000000008</v>
      </c>
      <c r="F204" s="49">
        <v>45.98</v>
      </c>
      <c r="G204" s="50">
        <v>0</v>
      </c>
      <c r="H204" s="50">
        <v>0</v>
      </c>
      <c r="I204" s="50">
        <v>0</v>
      </c>
      <c r="J204" s="50">
        <v>0</v>
      </c>
      <c r="K204" s="50">
        <v>0</v>
      </c>
      <c r="L204" s="50">
        <v>0</v>
      </c>
      <c r="M204" s="50">
        <v>0</v>
      </c>
      <c r="N204" s="50">
        <v>0</v>
      </c>
      <c r="O204" s="50">
        <v>0</v>
      </c>
      <c r="P204" s="50">
        <v>0</v>
      </c>
      <c r="Q204" s="50">
        <v>0</v>
      </c>
      <c r="R204" s="50">
        <v>0</v>
      </c>
      <c r="S204" s="50">
        <v>0</v>
      </c>
      <c r="T204" s="50">
        <v>0</v>
      </c>
      <c r="U204" s="46" t="s">
        <v>223</v>
      </c>
      <c r="V204" s="46" t="s">
        <v>38</v>
      </c>
      <c r="W204" s="47"/>
    </row>
    <row r="205" spans="1:23" s="48" customFormat="1" ht="12.2" customHeight="1">
      <c r="A205" s="51" t="s">
        <v>170</v>
      </c>
      <c r="B205" s="52">
        <f t="shared" ref="B205:T205" si="30">SUM(B202:B204)</f>
        <v>350</v>
      </c>
      <c r="C205" s="53">
        <f t="shared" si="30"/>
        <v>8.43</v>
      </c>
      <c r="D205" s="53">
        <f t="shared" si="30"/>
        <v>9.43</v>
      </c>
      <c r="E205" s="53">
        <f t="shared" si="30"/>
        <v>49.52</v>
      </c>
      <c r="F205" s="53">
        <f t="shared" si="30"/>
        <v>391.56000000000006</v>
      </c>
      <c r="G205" s="53">
        <f t="shared" si="30"/>
        <v>0.3</v>
      </c>
      <c r="H205" s="53">
        <f t="shared" si="30"/>
        <v>5.8</v>
      </c>
      <c r="I205" s="53">
        <f t="shared" si="30"/>
        <v>0.4</v>
      </c>
      <c r="J205" s="53">
        <f t="shared" si="30"/>
        <v>0.34</v>
      </c>
      <c r="K205" s="53">
        <f t="shared" si="30"/>
        <v>0.05</v>
      </c>
      <c r="L205" s="53">
        <f t="shared" si="30"/>
        <v>0.12</v>
      </c>
      <c r="M205" s="53">
        <f t="shared" si="30"/>
        <v>53.5</v>
      </c>
      <c r="N205" s="53">
        <f t="shared" si="30"/>
        <v>40.199999999999996</v>
      </c>
      <c r="O205" s="53">
        <f t="shared" si="30"/>
        <v>153.07999999999998</v>
      </c>
      <c r="P205" s="53">
        <f t="shared" si="30"/>
        <v>2.4700000000000002</v>
      </c>
      <c r="Q205" s="53">
        <f t="shared" si="30"/>
        <v>663.17</v>
      </c>
      <c r="R205" s="53">
        <f t="shared" si="30"/>
        <v>8.6999999999999993</v>
      </c>
      <c r="S205" s="53">
        <f t="shared" si="30"/>
        <v>7.0000000000000007E-2</v>
      </c>
      <c r="T205" s="53">
        <f t="shared" si="30"/>
        <v>0</v>
      </c>
      <c r="U205" s="54"/>
      <c r="V205" s="54"/>
      <c r="W205" s="47"/>
    </row>
    <row r="206" spans="1:23" s="48" customFormat="1" ht="21.6" customHeight="1">
      <c r="A206" s="51" t="s">
        <v>153</v>
      </c>
      <c r="B206" s="65"/>
      <c r="C206" s="66">
        <f>C205+C200+C191</f>
        <v>50.409624999999998</v>
      </c>
      <c r="D206" s="66">
        <f t="shared" ref="D206:T206" si="31">D205+D200+D191</f>
        <v>46.612699999999997</v>
      </c>
      <c r="E206" s="66">
        <f t="shared" si="31"/>
        <v>252.79635000000002</v>
      </c>
      <c r="F206" s="66">
        <f t="shared" si="31"/>
        <v>1767.9624999999999</v>
      </c>
      <c r="G206" s="66">
        <f t="shared" si="31"/>
        <v>0.77</v>
      </c>
      <c r="H206" s="66">
        <f t="shared" si="31"/>
        <v>14.830000000000002</v>
      </c>
      <c r="I206" s="66">
        <f t="shared" si="31"/>
        <v>1.33</v>
      </c>
      <c r="J206" s="66">
        <f t="shared" si="31"/>
        <v>16.330000000000002</v>
      </c>
      <c r="K206" s="66">
        <f t="shared" si="31"/>
        <v>0.37</v>
      </c>
      <c r="L206" s="66">
        <f t="shared" si="31"/>
        <v>0.56000000000000005</v>
      </c>
      <c r="M206" s="66">
        <f t="shared" si="31"/>
        <v>425.03000000000003</v>
      </c>
      <c r="N206" s="66">
        <f t="shared" si="31"/>
        <v>204.42</v>
      </c>
      <c r="O206" s="66">
        <f t="shared" si="31"/>
        <v>831.81999999999994</v>
      </c>
      <c r="P206" s="66">
        <f t="shared" si="31"/>
        <v>11.37</v>
      </c>
      <c r="Q206" s="66">
        <f t="shared" si="31"/>
        <v>1914.2099999999998</v>
      </c>
      <c r="R206" s="66">
        <f t="shared" si="31"/>
        <v>123.23000000000002</v>
      </c>
      <c r="S206" s="66">
        <f t="shared" si="31"/>
        <v>0.58000000000000007</v>
      </c>
      <c r="T206" s="66">
        <f t="shared" si="31"/>
        <v>0.05</v>
      </c>
      <c r="U206" s="54"/>
      <c r="V206" s="54"/>
      <c r="W206" s="47"/>
    </row>
    <row r="207" spans="1:23" s="48" customFormat="1" ht="28.35" customHeight="1">
      <c r="A207" s="93" t="s">
        <v>275</v>
      </c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47"/>
    </row>
    <row r="208" spans="1:23" s="7" customFormat="1" ht="14.65" customHeight="1">
      <c r="A208" s="102" t="s">
        <v>210</v>
      </c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71"/>
    </row>
    <row r="209" spans="1:23" s="7" customFormat="1" ht="13.35" customHeight="1">
      <c r="A209" s="95" t="s">
        <v>1</v>
      </c>
      <c r="B209" s="95" t="s">
        <v>2</v>
      </c>
      <c r="C209" s="103" t="s">
        <v>3</v>
      </c>
      <c r="D209" s="103"/>
      <c r="E209" s="103"/>
      <c r="F209" s="103" t="s">
        <v>4</v>
      </c>
      <c r="G209" s="103" t="s">
        <v>5</v>
      </c>
      <c r="H209" s="103"/>
      <c r="I209" s="103"/>
      <c r="J209" s="103"/>
      <c r="K209" s="103"/>
      <c r="L209" s="103"/>
      <c r="M209" s="103" t="s">
        <v>6</v>
      </c>
      <c r="N209" s="103"/>
      <c r="O209" s="103"/>
      <c r="P209" s="103"/>
      <c r="Q209" s="103"/>
      <c r="R209" s="103"/>
      <c r="S209" s="103"/>
      <c r="T209" s="103"/>
      <c r="U209" s="95" t="s">
        <v>7</v>
      </c>
      <c r="V209" s="95" t="s">
        <v>8</v>
      </c>
    </row>
    <row r="210" spans="1:23" s="7" customFormat="1" ht="26.65" customHeight="1">
      <c r="A210" s="95"/>
      <c r="B210" s="95"/>
      <c r="C210" s="67" t="s">
        <v>9</v>
      </c>
      <c r="D210" s="67" t="s">
        <v>10</v>
      </c>
      <c r="E210" s="67" t="s">
        <v>11</v>
      </c>
      <c r="F210" s="103"/>
      <c r="G210" s="67" t="s">
        <v>12</v>
      </c>
      <c r="H210" s="67" t="s">
        <v>13</v>
      </c>
      <c r="I210" s="67" t="s">
        <v>14</v>
      </c>
      <c r="J210" s="67" t="s">
        <v>15</v>
      </c>
      <c r="K210" s="67" t="s">
        <v>16</v>
      </c>
      <c r="L210" s="67" t="s">
        <v>17</v>
      </c>
      <c r="M210" s="67" t="s">
        <v>18</v>
      </c>
      <c r="N210" s="67" t="s">
        <v>19</v>
      </c>
      <c r="O210" s="67" t="s">
        <v>20</v>
      </c>
      <c r="P210" s="67" t="s">
        <v>21</v>
      </c>
      <c r="Q210" s="67" t="s">
        <v>22</v>
      </c>
      <c r="R210" s="67" t="s">
        <v>23</v>
      </c>
      <c r="S210" s="67" t="s">
        <v>24</v>
      </c>
      <c r="T210" s="67" t="s">
        <v>25</v>
      </c>
      <c r="U210" s="95"/>
      <c r="V210" s="95"/>
    </row>
    <row r="211" spans="1:23" s="48" customFormat="1" ht="14.65" customHeight="1">
      <c r="A211" s="98" t="s">
        <v>26</v>
      </c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100"/>
      <c r="W211" s="47"/>
    </row>
    <row r="212" spans="1:23" s="48" customFormat="1" ht="24" customHeight="1">
      <c r="A212" s="43" t="s">
        <v>174</v>
      </c>
      <c r="B212" s="44">
        <v>110</v>
      </c>
      <c r="C212" s="49">
        <v>0.5</v>
      </c>
      <c r="D212" s="49">
        <v>0.4</v>
      </c>
      <c r="E212" s="49">
        <v>26.7</v>
      </c>
      <c r="F212" s="49">
        <v>114.5</v>
      </c>
      <c r="G212" s="50">
        <v>0.03</v>
      </c>
      <c r="H212" s="50">
        <v>3.52</v>
      </c>
      <c r="I212" s="50">
        <v>0</v>
      </c>
      <c r="J212" s="50">
        <v>0.55000000000000004</v>
      </c>
      <c r="K212" s="50">
        <v>0</v>
      </c>
      <c r="L212" s="50">
        <v>0.02</v>
      </c>
      <c r="M212" s="50">
        <v>17.170000000000002</v>
      </c>
      <c r="N212" s="50">
        <v>8.6</v>
      </c>
      <c r="O212" s="50">
        <v>15.68</v>
      </c>
      <c r="P212" s="50">
        <v>1.9</v>
      </c>
      <c r="Q212" s="50">
        <v>294.74</v>
      </c>
      <c r="R212" s="50">
        <v>1.76</v>
      </c>
      <c r="S212" s="50">
        <v>0.01</v>
      </c>
      <c r="T212" s="50">
        <v>0</v>
      </c>
      <c r="U212" s="46" t="s">
        <v>231</v>
      </c>
      <c r="V212" s="46" t="s">
        <v>136</v>
      </c>
      <c r="W212" s="47"/>
    </row>
    <row r="213" spans="1:23" s="47" customFormat="1" ht="23.25" customHeight="1">
      <c r="A213" s="43" t="s">
        <v>218</v>
      </c>
      <c r="B213" s="44">
        <v>150</v>
      </c>
      <c r="C213" s="45">
        <f>14.2*150/175</f>
        <v>12.171428571428571</v>
      </c>
      <c r="D213" s="45">
        <f>16.9*150/175</f>
        <v>14.485714285714286</v>
      </c>
      <c r="E213" s="45">
        <f>16.58*150/175</f>
        <v>14.211428571428568</v>
      </c>
      <c r="F213" s="45">
        <f>295*150/175</f>
        <v>252.85714285714286</v>
      </c>
      <c r="G213" s="45">
        <v>0.31</v>
      </c>
      <c r="H213" s="45">
        <v>7.73</v>
      </c>
      <c r="I213" s="45">
        <v>0.01</v>
      </c>
      <c r="J213" s="45">
        <v>2.2400000000000002</v>
      </c>
      <c r="K213" s="45">
        <v>0</v>
      </c>
      <c r="L213" s="45">
        <v>0.12</v>
      </c>
      <c r="M213" s="45">
        <v>23.67</v>
      </c>
      <c r="N213" s="45">
        <v>34.450000000000003</v>
      </c>
      <c r="O213" s="45">
        <v>143.11000000000001</v>
      </c>
      <c r="P213" s="45">
        <v>1.93</v>
      </c>
      <c r="Q213" s="45">
        <v>729.18</v>
      </c>
      <c r="R213" s="45">
        <v>9.01</v>
      </c>
      <c r="S213" s="45">
        <v>7.0000000000000007E-2</v>
      </c>
      <c r="T213" s="45">
        <v>0</v>
      </c>
      <c r="U213" s="46" t="s">
        <v>176</v>
      </c>
      <c r="V213" s="46">
        <v>2017</v>
      </c>
    </row>
    <row r="214" spans="1:23" s="48" customFormat="1" ht="22.5" customHeight="1">
      <c r="A214" s="43" t="s">
        <v>177</v>
      </c>
      <c r="B214" s="44">
        <v>200</v>
      </c>
      <c r="C214" s="45">
        <v>2.94</v>
      </c>
      <c r="D214" s="45">
        <f>17.72*0.2</f>
        <v>3.544</v>
      </c>
      <c r="E214" s="45">
        <f>87.89*0.2</f>
        <v>17.577999999999999</v>
      </c>
      <c r="F214" s="45">
        <f>593*0.2</f>
        <v>118.60000000000001</v>
      </c>
      <c r="G214" s="45">
        <v>0.03</v>
      </c>
      <c r="H214" s="45">
        <v>0.47</v>
      </c>
      <c r="I214" s="45">
        <v>0.01</v>
      </c>
      <c r="J214" s="45">
        <v>0</v>
      </c>
      <c r="K214" s="45">
        <v>0</v>
      </c>
      <c r="L214" s="45">
        <v>0.1</v>
      </c>
      <c r="M214" s="45">
        <v>100.28</v>
      </c>
      <c r="N214" s="45">
        <v>24.74</v>
      </c>
      <c r="O214" s="45">
        <v>86.02</v>
      </c>
      <c r="P214" s="45">
        <v>0.78</v>
      </c>
      <c r="Q214" s="45">
        <v>186.56</v>
      </c>
      <c r="R214" s="45">
        <v>8.1</v>
      </c>
      <c r="S214" s="45">
        <v>0</v>
      </c>
      <c r="T214" s="45">
        <v>0</v>
      </c>
      <c r="U214" s="46" t="s">
        <v>152</v>
      </c>
      <c r="V214" s="46" t="s">
        <v>159</v>
      </c>
      <c r="W214" s="47"/>
    </row>
    <row r="215" spans="1:23" s="48" customFormat="1" ht="21.75" customHeight="1">
      <c r="A215" s="43" t="s">
        <v>178</v>
      </c>
      <c r="B215" s="44">
        <v>40</v>
      </c>
      <c r="C215" s="49">
        <v>3.05</v>
      </c>
      <c r="D215" s="49">
        <v>0.25</v>
      </c>
      <c r="E215" s="49">
        <v>20.07</v>
      </c>
      <c r="F215" s="49">
        <v>94.73</v>
      </c>
      <c r="G215" s="50">
        <v>0.06</v>
      </c>
      <c r="H215" s="50">
        <v>0</v>
      </c>
      <c r="I215" s="50">
        <v>0</v>
      </c>
      <c r="J215" s="50">
        <v>0.78</v>
      </c>
      <c r="K215" s="50">
        <v>0</v>
      </c>
      <c r="L215" s="50">
        <v>0.02</v>
      </c>
      <c r="M215" s="50">
        <v>9.1999999999999993</v>
      </c>
      <c r="N215" s="50">
        <v>13.2</v>
      </c>
      <c r="O215" s="50">
        <v>33.6</v>
      </c>
      <c r="P215" s="50">
        <v>0.8</v>
      </c>
      <c r="Q215" s="50">
        <v>51.6</v>
      </c>
      <c r="R215" s="50">
        <v>0</v>
      </c>
      <c r="S215" s="50">
        <v>0.01</v>
      </c>
      <c r="T215" s="50">
        <v>0</v>
      </c>
      <c r="U215" s="46" t="s">
        <v>223</v>
      </c>
      <c r="V215" s="46" t="s">
        <v>169</v>
      </c>
      <c r="W215" s="47"/>
    </row>
    <row r="216" spans="1:23" s="48" customFormat="1" ht="21.6" customHeight="1">
      <c r="A216" s="51" t="s">
        <v>170</v>
      </c>
      <c r="B216" s="52">
        <f>SUM(B212:B215)</f>
        <v>500</v>
      </c>
      <c r="C216" s="53">
        <f t="shared" ref="C216:T216" si="32">SUM(C212:C215)</f>
        <v>18.661428571428569</v>
      </c>
      <c r="D216" s="53">
        <f t="shared" si="32"/>
        <v>18.679714285714287</v>
      </c>
      <c r="E216" s="53">
        <f t="shared" si="32"/>
        <v>78.559428571428555</v>
      </c>
      <c r="F216" s="53">
        <f t="shared" si="32"/>
        <v>580.68714285714293</v>
      </c>
      <c r="G216" s="53">
        <f t="shared" si="32"/>
        <v>0.43</v>
      </c>
      <c r="H216" s="53">
        <f t="shared" si="32"/>
        <v>11.72</v>
      </c>
      <c r="I216" s="53">
        <f t="shared" si="32"/>
        <v>0.02</v>
      </c>
      <c r="J216" s="53">
        <f t="shared" si="32"/>
        <v>3.5700000000000003</v>
      </c>
      <c r="K216" s="53">
        <f t="shared" si="32"/>
        <v>0</v>
      </c>
      <c r="L216" s="53">
        <f t="shared" si="32"/>
        <v>0.26</v>
      </c>
      <c r="M216" s="53">
        <f t="shared" si="32"/>
        <v>150.32</v>
      </c>
      <c r="N216" s="53">
        <f t="shared" si="32"/>
        <v>80.990000000000009</v>
      </c>
      <c r="O216" s="53">
        <f t="shared" si="32"/>
        <v>278.41000000000003</v>
      </c>
      <c r="P216" s="53">
        <f t="shared" si="32"/>
        <v>5.41</v>
      </c>
      <c r="Q216" s="53">
        <f t="shared" si="32"/>
        <v>1262.08</v>
      </c>
      <c r="R216" s="53">
        <f t="shared" si="32"/>
        <v>18.869999999999997</v>
      </c>
      <c r="S216" s="53">
        <f t="shared" si="32"/>
        <v>0.09</v>
      </c>
      <c r="T216" s="53">
        <f t="shared" si="32"/>
        <v>0</v>
      </c>
      <c r="U216" s="54"/>
      <c r="V216" s="54"/>
      <c r="W216" s="47"/>
    </row>
    <row r="217" spans="1:23" s="48" customFormat="1" ht="14.65" customHeight="1">
      <c r="A217" s="98" t="s">
        <v>40</v>
      </c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100"/>
      <c r="W217" s="47"/>
    </row>
    <row r="218" spans="1:23" s="48" customFormat="1" ht="23.25" customHeight="1">
      <c r="A218" s="43" t="s">
        <v>179</v>
      </c>
      <c r="B218" s="44">
        <v>60</v>
      </c>
      <c r="C218" s="45">
        <v>0.7</v>
      </c>
      <c r="D218" s="45">
        <v>2.5</v>
      </c>
      <c r="E218" s="45">
        <v>7.4</v>
      </c>
      <c r="F218" s="45">
        <v>51.9</v>
      </c>
      <c r="G218" s="45">
        <v>0.02</v>
      </c>
      <c r="H218" s="45">
        <v>6.31</v>
      </c>
      <c r="I218" s="45">
        <v>0.15</v>
      </c>
      <c r="J218" s="45">
        <v>1.5</v>
      </c>
      <c r="K218" s="45">
        <v>0</v>
      </c>
      <c r="L218" s="45">
        <v>0.02</v>
      </c>
      <c r="M218" s="45">
        <v>19.899999999999999</v>
      </c>
      <c r="N218" s="45">
        <v>8.67</v>
      </c>
      <c r="O218" s="45">
        <v>14.36</v>
      </c>
      <c r="P218" s="45">
        <v>0.87</v>
      </c>
      <c r="Q218" s="45">
        <v>144.75</v>
      </c>
      <c r="R218" s="45">
        <v>1.78</v>
      </c>
      <c r="S218" s="45">
        <v>0.01</v>
      </c>
      <c r="T218" s="45">
        <v>0</v>
      </c>
      <c r="U218" s="46" t="s">
        <v>209</v>
      </c>
      <c r="V218" s="46" t="s">
        <v>180</v>
      </c>
      <c r="W218" s="47"/>
    </row>
    <row r="219" spans="1:23" s="48" customFormat="1" ht="22.5" customHeight="1">
      <c r="A219" s="43" t="s">
        <v>181</v>
      </c>
      <c r="B219" s="44">
        <v>200</v>
      </c>
      <c r="C219" s="45">
        <v>2.2000000000000002</v>
      </c>
      <c r="D219" s="45">
        <v>4.0999999999999996</v>
      </c>
      <c r="E219" s="45">
        <v>12.9</v>
      </c>
      <c r="F219" s="45">
        <v>88.4</v>
      </c>
      <c r="G219" s="45">
        <v>0.05</v>
      </c>
      <c r="H219" s="45">
        <v>11.74</v>
      </c>
      <c r="I219" s="45">
        <v>0.21</v>
      </c>
      <c r="J219" s="45">
        <v>1.95</v>
      </c>
      <c r="K219" s="45">
        <v>0</v>
      </c>
      <c r="L219" s="45">
        <v>0.05</v>
      </c>
      <c r="M219" s="45">
        <v>53.27</v>
      </c>
      <c r="N219" s="45">
        <v>26.74</v>
      </c>
      <c r="O219" s="45">
        <v>50.95</v>
      </c>
      <c r="P219" s="45">
        <v>1.2</v>
      </c>
      <c r="Q219" s="45">
        <v>428.11</v>
      </c>
      <c r="R219" s="45">
        <v>5.28</v>
      </c>
      <c r="S219" s="45">
        <v>0.03</v>
      </c>
      <c r="T219" s="45">
        <v>0</v>
      </c>
      <c r="U219" s="46" t="s">
        <v>232</v>
      </c>
      <c r="V219" s="46" t="s">
        <v>136</v>
      </c>
      <c r="W219" s="47"/>
    </row>
    <row r="220" spans="1:23" s="48" customFormat="1" ht="25.5" customHeight="1">
      <c r="A220" s="43" t="s">
        <v>182</v>
      </c>
      <c r="B220" s="44">
        <v>150</v>
      </c>
      <c r="C220" s="45">
        <v>6</v>
      </c>
      <c r="D220" s="45">
        <v>9.4</v>
      </c>
      <c r="E220" s="45">
        <v>21.5</v>
      </c>
      <c r="F220" s="45">
        <v>197.2</v>
      </c>
      <c r="G220" s="45">
        <v>0.12</v>
      </c>
      <c r="H220" s="45">
        <v>10.130000000000001</v>
      </c>
      <c r="I220" s="45">
        <v>0.06</v>
      </c>
      <c r="J220" s="45">
        <v>2.81</v>
      </c>
      <c r="K220" s="45">
        <v>0.05</v>
      </c>
      <c r="L220" s="45">
        <v>0.11</v>
      </c>
      <c r="M220" s="45">
        <v>158.41999999999999</v>
      </c>
      <c r="N220" s="45">
        <v>32.520000000000003</v>
      </c>
      <c r="O220" s="45">
        <v>150.36000000000001</v>
      </c>
      <c r="P220" s="45">
        <v>1.45</v>
      </c>
      <c r="Q220" s="45">
        <v>706.27</v>
      </c>
      <c r="R220" s="45">
        <v>6.84</v>
      </c>
      <c r="S220" s="45">
        <v>0.04</v>
      </c>
      <c r="T220" s="45">
        <v>0</v>
      </c>
      <c r="U220" s="46" t="s">
        <v>211</v>
      </c>
      <c r="V220" s="46" t="s">
        <v>180</v>
      </c>
      <c r="W220" s="47"/>
    </row>
    <row r="221" spans="1:23" s="48" customFormat="1" ht="20.25" customHeight="1">
      <c r="A221" s="43" t="s">
        <v>183</v>
      </c>
      <c r="B221" s="44">
        <v>90</v>
      </c>
      <c r="C221" s="45">
        <v>9.5</v>
      </c>
      <c r="D221" s="45">
        <v>10.199999999999999</v>
      </c>
      <c r="E221" s="45">
        <v>12</v>
      </c>
      <c r="F221" s="45">
        <v>190.1</v>
      </c>
      <c r="G221" s="45">
        <v>7.0000000000000007E-2</v>
      </c>
      <c r="H221" s="45">
        <v>2.94</v>
      </c>
      <c r="I221" s="45">
        <v>0.08</v>
      </c>
      <c r="J221" s="45">
        <v>2.81</v>
      </c>
      <c r="K221" s="45">
        <v>0.33</v>
      </c>
      <c r="L221" s="45">
        <v>0.15</v>
      </c>
      <c r="M221" s="45">
        <v>36.229999999999997</v>
      </c>
      <c r="N221" s="45">
        <v>25.05</v>
      </c>
      <c r="O221" s="45">
        <v>151.03</v>
      </c>
      <c r="P221" s="45">
        <v>2.17</v>
      </c>
      <c r="Q221" s="45">
        <v>207.64</v>
      </c>
      <c r="R221" s="45">
        <v>6.8</v>
      </c>
      <c r="S221" s="45">
        <v>0.08</v>
      </c>
      <c r="T221" s="45">
        <v>0.02</v>
      </c>
      <c r="U221" s="46" t="s">
        <v>233</v>
      </c>
      <c r="V221" s="46" t="s">
        <v>136</v>
      </c>
      <c r="W221" s="47"/>
    </row>
    <row r="222" spans="1:23" s="48" customFormat="1" ht="33" customHeight="1">
      <c r="A222" s="43" t="s">
        <v>184</v>
      </c>
      <c r="B222" s="44">
        <v>180</v>
      </c>
      <c r="C222" s="45">
        <v>0.3</v>
      </c>
      <c r="D222" s="45">
        <v>0.1</v>
      </c>
      <c r="E222" s="45">
        <v>20.2</v>
      </c>
      <c r="F222" s="45">
        <v>89.5</v>
      </c>
      <c r="G222" s="45">
        <v>0.01</v>
      </c>
      <c r="H222" s="45">
        <v>44</v>
      </c>
      <c r="I222" s="45">
        <v>0.08</v>
      </c>
      <c r="J222" s="45">
        <v>0</v>
      </c>
      <c r="K222" s="45">
        <v>0</v>
      </c>
      <c r="L222" s="45">
        <v>0.03</v>
      </c>
      <c r="M222" s="45">
        <v>12.98</v>
      </c>
      <c r="N222" s="45">
        <v>3.15</v>
      </c>
      <c r="O222" s="45">
        <v>1.53</v>
      </c>
      <c r="P222" s="45">
        <v>0.27</v>
      </c>
      <c r="Q222" s="45">
        <v>6.02</v>
      </c>
      <c r="R222" s="45">
        <v>0</v>
      </c>
      <c r="S222" s="45">
        <v>0</v>
      </c>
      <c r="T222" s="45">
        <v>0</v>
      </c>
      <c r="U222" s="46" t="s">
        <v>234</v>
      </c>
      <c r="V222" s="46" t="s">
        <v>185</v>
      </c>
      <c r="W222" s="47"/>
    </row>
    <row r="223" spans="1:23" s="48" customFormat="1" ht="27" customHeight="1">
      <c r="A223" s="43" t="s">
        <v>51</v>
      </c>
      <c r="B223" s="44">
        <v>50</v>
      </c>
      <c r="C223" s="49">
        <v>3.82</v>
      </c>
      <c r="D223" s="49">
        <v>0.31</v>
      </c>
      <c r="E223" s="49">
        <v>25.09</v>
      </c>
      <c r="F223" s="49">
        <v>118.41</v>
      </c>
      <c r="G223" s="50">
        <v>0.08</v>
      </c>
      <c r="H223" s="50">
        <v>0</v>
      </c>
      <c r="I223" s="50">
        <v>0</v>
      </c>
      <c r="J223" s="50">
        <v>0.98</v>
      </c>
      <c r="K223" s="50">
        <v>0</v>
      </c>
      <c r="L223" s="50">
        <v>0.03</v>
      </c>
      <c r="M223" s="50">
        <v>11.5</v>
      </c>
      <c r="N223" s="50">
        <v>16.5</v>
      </c>
      <c r="O223" s="50">
        <v>42</v>
      </c>
      <c r="P223" s="50">
        <v>1</v>
      </c>
      <c r="Q223" s="50">
        <v>64.5</v>
      </c>
      <c r="R223" s="50">
        <v>0</v>
      </c>
      <c r="S223" s="50">
        <v>0.01</v>
      </c>
      <c r="T223" s="50">
        <v>0</v>
      </c>
      <c r="U223" s="46" t="s">
        <v>223</v>
      </c>
      <c r="V223" s="46" t="s">
        <v>38</v>
      </c>
      <c r="W223" s="47"/>
    </row>
    <row r="224" spans="1:23" s="48" customFormat="1" ht="21.75" customHeight="1">
      <c r="A224" s="43" t="s">
        <v>186</v>
      </c>
      <c r="B224" s="44">
        <v>40</v>
      </c>
      <c r="C224" s="45">
        <v>2.65</v>
      </c>
      <c r="D224" s="45">
        <v>0.35</v>
      </c>
      <c r="E224" s="45">
        <v>16.96</v>
      </c>
      <c r="F224" s="45">
        <v>81.58</v>
      </c>
      <c r="G224" s="45">
        <v>7.0000000000000007E-2</v>
      </c>
      <c r="H224" s="45">
        <v>0</v>
      </c>
      <c r="I224" s="45">
        <v>0</v>
      </c>
      <c r="J224" s="45">
        <v>0.88</v>
      </c>
      <c r="K224" s="45">
        <v>0</v>
      </c>
      <c r="L224" s="45">
        <v>0.03</v>
      </c>
      <c r="M224" s="45">
        <v>7.2</v>
      </c>
      <c r="N224" s="45">
        <v>7.6</v>
      </c>
      <c r="O224" s="45">
        <v>34.799999999999997</v>
      </c>
      <c r="P224" s="45">
        <v>1.6</v>
      </c>
      <c r="Q224" s="45">
        <v>54.4</v>
      </c>
      <c r="R224" s="45">
        <v>2.2400000000000002</v>
      </c>
      <c r="S224" s="45">
        <v>0</v>
      </c>
      <c r="T224" s="45">
        <v>0</v>
      </c>
      <c r="U224" s="46" t="s">
        <v>223</v>
      </c>
      <c r="V224" s="46" t="s">
        <v>169</v>
      </c>
      <c r="W224" s="47"/>
    </row>
    <row r="225" spans="1:23" s="48" customFormat="1" ht="21.6" customHeight="1">
      <c r="A225" s="51" t="s">
        <v>170</v>
      </c>
      <c r="B225" s="52">
        <f>SUM(B218:B224)</f>
        <v>770</v>
      </c>
      <c r="C225" s="53">
        <f t="shared" ref="C225:T225" si="33">SUM(C218:C224)</f>
        <v>25.169999999999998</v>
      </c>
      <c r="D225" s="53">
        <f t="shared" si="33"/>
        <v>26.96</v>
      </c>
      <c r="E225" s="53">
        <f t="shared" si="33"/>
        <v>116.05000000000001</v>
      </c>
      <c r="F225" s="53">
        <f t="shared" si="33"/>
        <v>817.09</v>
      </c>
      <c r="G225" s="53">
        <f t="shared" si="33"/>
        <v>0.42000000000000004</v>
      </c>
      <c r="H225" s="53">
        <f t="shared" si="33"/>
        <v>75.12</v>
      </c>
      <c r="I225" s="53">
        <f t="shared" si="33"/>
        <v>0.57999999999999996</v>
      </c>
      <c r="J225" s="53">
        <f t="shared" si="33"/>
        <v>10.930000000000001</v>
      </c>
      <c r="K225" s="53">
        <f t="shared" si="33"/>
        <v>0.38</v>
      </c>
      <c r="L225" s="53">
        <f t="shared" si="33"/>
        <v>0.42000000000000004</v>
      </c>
      <c r="M225" s="53">
        <f t="shared" si="33"/>
        <v>299.5</v>
      </c>
      <c r="N225" s="53">
        <f t="shared" si="33"/>
        <v>120.23</v>
      </c>
      <c r="O225" s="53">
        <f t="shared" si="33"/>
        <v>445.03000000000003</v>
      </c>
      <c r="P225" s="53">
        <f t="shared" si="33"/>
        <v>8.5599999999999987</v>
      </c>
      <c r="Q225" s="53">
        <f t="shared" si="33"/>
        <v>1611.69</v>
      </c>
      <c r="R225" s="53">
        <f t="shared" si="33"/>
        <v>22.939999999999998</v>
      </c>
      <c r="S225" s="53">
        <f t="shared" si="33"/>
        <v>0.17</v>
      </c>
      <c r="T225" s="53">
        <f t="shared" si="33"/>
        <v>0.02</v>
      </c>
      <c r="U225" s="54"/>
      <c r="V225" s="54"/>
      <c r="W225" s="47"/>
    </row>
    <row r="226" spans="1:23" s="48" customFormat="1" ht="14.65" customHeight="1">
      <c r="A226" s="98" t="s">
        <v>52</v>
      </c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100"/>
      <c r="W226" s="47"/>
    </row>
    <row r="227" spans="1:23" s="48" customFormat="1" ht="19.5" customHeight="1">
      <c r="A227" s="63" t="s">
        <v>252</v>
      </c>
      <c r="B227" s="64">
        <v>100</v>
      </c>
      <c r="C227" s="45">
        <v>6.58</v>
      </c>
      <c r="D227" s="45">
        <v>6.91</v>
      </c>
      <c r="E227" s="45">
        <v>29.73</v>
      </c>
      <c r="F227" s="45">
        <v>205.18</v>
      </c>
      <c r="G227" s="45">
        <v>0.05</v>
      </c>
      <c r="H227" s="45">
        <v>0</v>
      </c>
      <c r="I227" s="45">
        <v>0</v>
      </c>
      <c r="J227" s="45">
        <v>1.5</v>
      </c>
      <c r="K227" s="45">
        <v>0.02</v>
      </c>
      <c r="L227" s="45">
        <v>0.02</v>
      </c>
      <c r="M227" s="45">
        <v>8.82</v>
      </c>
      <c r="N227" s="45">
        <v>5.71</v>
      </c>
      <c r="O227" s="45">
        <v>31.93</v>
      </c>
      <c r="P227" s="45">
        <v>0.36</v>
      </c>
      <c r="Q227" s="45">
        <v>49.34</v>
      </c>
      <c r="R227" s="45">
        <v>0.74</v>
      </c>
      <c r="S227" s="45">
        <v>0.01</v>
      </c>
      <c r="T227" s="45">
        <v>0.01</v>
      </c>
      <c r="U227" s="58" t="s">
        <v>223</v>
      </c>
      <c r="V227" s="46">
        <v>2017</v>
      </c>
      <c r="W227" s="47"/>
    </row>
    <row r="228" spans="1:23" s="48" customFormat="1" ht="17.25" customHeight="1">
      <c r="A228" s="43" t="s">
        <v>187</v>
      </c>
      <c r="B228" s="44">
        <v>15</v>
      </c>
      <c r="C228" s="45">
        <v>3.48</v>
      </c>
      <c r="D228" s="45">
        <v>4.42</v>
      </c>
      <c r="E228" s="45">
        <v>6.5000000000000002E-2</v>
      </c>
      <c r="F228" s="45">
        <v>54</v>
      </c>
      <c r="G228" s="45">
        <v>0</v>
      </c>
      <c r="H228" s="45">
        <v>0.08</v>
      </c>
      <c r="I228" s="45">
        <v>0.04</v>
      </c>
      <c r="J228" s="45">
        <v>0.03</v>
      </c>
      <c r="K228" s="45">
        <v>0</v>
      </c>
      <c r="L228" s="45">
        <v>0.03</v>
      </c>
      <c r="M228" s="45">
        <v>99.44</v>
      </c>
      <c r="N228" s="45">
        <v>3.96</v>
      </c>
      <c r="O228" s="45">
        <v>56.5</v>
      </c>
      <c r="P228" s="45">
        <v>0.11</v>
      </c>
      <c r="Q228" s="45">
        <v>9.94</v>
      </c>
      <c r="R228" s="45">
        <v>0</v>
      </c>
      <c r="S228" s="45">
        <v>0</v>
      </c>
      <c r="T228" s="45">
        <v>0</v>
      </c>
      <c r="U228" s="46" t="s">
        <v>188</v>
      </c>
      <c r="V228" s="46">
        <v>2017</v>
      </c>
      <c r="W228" s="47"/>
    </row>
    <row r="229" spans="1:23" s="48" customFormat="1" ht="20.25" customHeight="1">
      <c r="A229" s="43" t="s">
        <v>99</v>
      </c>
      <c r="B229" s="44">
        <v>200</v>
      </c>
      <c r="C229" s="49">
        <v>1</v>
      </c>
      <c r="D229" s="49">
        <v>0</v>
      </c>
      <c r="E229" s="49">
        <v>20.2</v>
      </c>
      <c r="F229" s="49">
        <v>84.8</v>
      </c>
      <c r="G229" s="50">
        <v>0.03</v>
      </c>
      <c r="H229" s="50">
        <v>1.6</v>
      </c>
      <c r="I229" s="50">
        <v>0</v>
      </c>
      <c r="J229" s="50">
        <v>0</v>
      </c>
      <c r="K229" s="50">
        <v>0</v>
      </c>
      <c r="L229" s="50">
        <v>0.02</v>
      </c>
      <c r="M229" s="50">
        <v>36</v>
      </c>
      <c r="N229" s="50">
        <v>16.2</v>
      </c>
      <c r="O229" s="50">
        <v>21.6</v>
      </c>
      <c r="P229" s="50">
        <v>0.72</v>
      </c>
      <c r="Q229" s="50">
        <v>300</v>
      </c>
      <c r="R229" s="50">
        <v>12</v>
      </c>
      <c r="S229" s="50">
        <v>0</v>
      </c>
      <c r="T229" s="50">
        <v>0</v>
      </c>
      <c r="U229" s="46" t="s">
        <v>100</v>
      </c>
      <c r="V229" s="46">
        <v>2017</v>
      </c>
      <c r="W229" s="47"/>
    </row>
    <row r="230" spans="1:23" s="48" customFormat="1" ht="12.2" customHeight="1">
      <c r="A230" s="51" t="s">
        <v>170</v>
      </c>
      <c r="B230" s="52">
        <f>SUM(B227:B229)</f>
        <v>315</v>
      </c>
      <c r="C230" s="53">
        <f t="shared" ref="C230:T230" si="34">SUM(C227:C229)</f>
        <v>11.06</v>
      </c>
      <c r="D230" s="53">
        <f t="shared" si="34"/>
        <v>11.33</v>
      </c>
      <c r="E230" s="53">
        <f t="shared" si="34"/>
        <v>49.995000000000005</v>
      </c>
      <c r="F230" s="53">
        <f t="shared" si="34"/>
        <v>343.98</v>
      </c>
      <c r="G230" s="53">
        <f t="shared" si="34"/>
        <v>0.08</v>
      </c>
      <c r="H230" s="53">
        <f t="shared" si="34"/>
        <v>1.6800000000000002</v>
      </c>
      <c r="I230" s="53">
        <f t="shared" si="34"/>
        <v>0.04</v>
      </c>
      <c r="J230" s="53">
        <f t="shared" si="34"/>
        <v>1.53</v>
      </c>
      <c r="K230" s="53">
        <f t="shared" si="34"/>
        <v>0.02</v>
      </c>
      <c r="L230" s="53">
        <f t="shared" si="34"/>
        <v>7.0000000000000007E-2</v>
      </c>
      <c r="M230" s="53">
        <f t="shared" si="34"/>
        <v>144.26</v>
      </c>
      <c r="N230" s="53">
        <f t="shared" si="34"/>
        <v>25.869999999999997</v>
      </c>
      <c r="O230" s="53">
        <f t="shared" si="34"/>
        <v>110.03</v>
      </c>
      <c r="P230" s="53">
        <f t="shared" si="34"/>
        <v>1.19</v>
      </c>
      <c r="Q230" s="53">
        <f t="shared" si="34"/>
        <v>359.28</v>
      </c>
      <c r="R230" s="53">
        <f t="shared" si="34"/>
        <v>12.74</v>
      </c>
      <c r="S230" s="53">
        <f t="shared" si="34"/>
        <v>0.01</v>
      </c>
      <c r="T230" s="53">
        <f t="shared" si="34"/>
        <v>0.01</v>
      </c>
      <c r="U230" s="54"/>
      <c r="V230" s="54"/>
      <c r="W230" s="47"/>
    </row>
    <row r="231" spans="1:23" s="48" customFormat="1" ht="21.6" customHeight="1">
      <c r="A231" s="51" t="s">
        <v>153</v>
      </c>
      <c r="B231" s="65"/>
      <c r="C231" s="66">
        <f>C230+C225+C216</f>
        <v>54.891428571428563</v>
      </c>
      <c r="D231" s="66">
        <f t="shared" ref="D231:T231" si="35">D230+D225+D216</f>
        <v>56.969714285714289</v>
      </c>
      <c r="E231" s="66">
        <f t="shared" si="35"/>
        <v>244.60442857142857</v>
      </c>
      <c r="F231" s="66">
        <f t="shared" si="35"/>
        <v>1741.7571428571432</v>
      </c>
      <c r="G231" s="66">
        <f t="shared" si="35"/>
        <v>0.92999999999999994</v>
      </c>
      <c r="H231" s="66">
        <f t="shared" si="35"/>
        <v>88.52000000000001</v>
      </c>
      <c r="I231" s="66">
        <f t="shared" si="35"/>
        <v>0.64</v>
      </c>
      <c r="J231" s="66">
        <f t="shared" si="35"/>
        <v>16.03</v>
      </c>
      <c r="K231" s="66">
        <f t="shared" si="35"/>
        <v>0.4</v>
      </c>
      <c r="L231" s="66">
        <f t="shared" si="35"/>
        <v>0.75</v>
      </c>
      <c r="M231" s="66">
        <f t="shared" si="35"/>
        <v>594.07999999999993</v>
      </c>
      <c r="N231" s="66">
        <f t="shared" si="35"/>
        <v>227.09</v>
      </c>
      <c r="O231" s="66">
        <f t="shared" si="35"/>
        <v>833.47</v>
      </c>
      <c r="P231" s="66">
        <f t="shared" si="35"/>
        <v>15.159999999999998</v>
      </c>
      <c r="Q231" s="66">
        <f t="shared" si="35"/>
        <v>3233.05</v>
      </c>
      <c r="R231" s="66">
        <f t="shared" si="35"/>
        <v>54.55</v>
      </c>
      <c r="S231" s="66">
        <f t="shared" si="35"/>
        <v>0.27</v>
      </c>
      <c r="T231" s="66">
        <f t="shared" si="35"/>
        <v>0.03</v>
      </c>
      <c r="U231" s="54"/>
      <c r="V231" s="54"/>
      <c r="W231" s="47"/>
    </row>
    <row r="232" spans="1:23" s="48" customFormat="1" ht="1.1499999999999999" customHeight="1">
      <c r="A232" s="72"/>
      <c r="B232" s="47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47"/>
      <c r="V232" s="47"/>
      <c r="W232" s="47"/>
    </row>
    <row r="233" spans="1:23" s="48" customFormat="1" ht="28.35" customHeight="1">
      <c r="A233" s="93" t="s">
        <v>271</v>
      </c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47"/>
    </row>
    <row r="234" spans="1:23" s="7" customFormat="1" ht="13.35" customHeight="1">
      <c r="A234" s="95" t="s">
        <v>1</v>
      </c>
      <c r="B234" s="95" t="s">
        <v>2</v>
      </c>
      <c r="C234" s="103" t="s">
        <v>3</v>
      </c>
      <c r="D234" s="103"/>
      <c r="E234" s="103"/>
      <c r="F234" s="103" t="s">
        <v>4</v>
      </c>
      <c r="G234" s="103" t="s">
        <v>5</v>
      </c>
      <c r="H234" s="103"/>
      <c r="I234" s="103"/>
      <c r="J234" s="103"/>
      <c r="K234" s="103"/>
      <c r="L234" s="103"/>
      <c r="M234" s="103" t="s">
        <v>6</v>
      </c>
      <c r="N234" s="103"/>
      <c r="O234" s="103"/>
      <c r="P234" s="103"/>
      <c r="Q234" s="103"/>
      <c r="R234" s="103"/>
      <c r="S234" s="103"/>
      <c r="T234" s="103"/>
      <c r="U234" s="95" t="s">
        <v>7</v>
      </c>
      <c r="V234" s="95" t="s">
        <v>8</v>
      </c>
    </row>
    <row r="235" spans="1:23" s="7" customFormat="1" ht="26.65" customHeight="1">
      <c r="A235" s="95"/>
      <c r="B235" s="95"/>
      <c r="C235" s="67" t="s">
        <v>9</v>
      </c>
      <c r="D235" s="67" t="s">
        <v>10</v>
      </c>
      <c r="E235" s="67" t="s">
        <v>11</v>
      </c>
      <c r="F235" s="103"/>
      <c r="G235" s="67" t="s">
        <v>12</v>
      </c>
      <c r="H235" s="67" t="s">
        <v>13</v>
      </c>
      <c r="I235" s="67" t="s">
        <v>14</v>
      </c>
      <c r="J235" s="67" t="s">
        <v>15</v>
      </c>
      <c r="K235" s="67" t="s">
        <v>16</v>
      </c>
      <c r="L235" s="67" t="s">
        <v>17</v>
      </c>
      <c r="M235" s="67" t="s">
        <v>18</v>
      </c>
      <c r="N235" s="67" t="s">
        <v>19</v>
      </c>
      <c r="O235" s="67" t="s">
        <v>20</v>
      </c>
      <c r="P235" s="67" t="s">
        <v>21</v>
      </c>
      <c r="Q235" s="67" t="s">
        <v>22</v>
      </c>
      <c r="R235" s="67" t="s">
        <v>23</v>
      </c>
      <c r="S235" s="67" t="s">
        <v>24</v>
      </c>
      <c r="T235" s="67" t="s">
        <v>25</v>
      </c>
      <c r="U235" s="95"/>
      <c r="V235" s="95"/>
    </row>
    <row r="236" spans="1:23" s="48" customFormat="1" ht="14.65" customHeight="1">
      <c r="A236" s="98" t="s">
        <v>26</v>
      </c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100"/>
      <c r="W236" s="47"/>
    </row>
    <row r="237" spans="1:23" s="48" customFormat="1" ht="34.5" customHeight="1">
      <c r="A237" s="43" t="s">
        <v>243</v>
      </c>
      <c r="B237" s="44">
        <v>60</v>
      </c>
      <c r="C237" s="45">
        <v>0.8</v>
      </c>
      <c r="D237" s="45">
        <v>0.1</v>
      </c>
      <c r="E237" s="45">
        <v>5.0999999999999996</v>
      </c>
      <c r="F237" s="45">
        <v>15</v>
      </c>
      <c r="G237" s="45">
        <v>0.04</v>
      </c>
      <c r="H237" s="45">
        <v>3</v>
      </c>
      <c r="I237" s="45">
        <v>1.49</v>
      </c>
      <c r="J237" s="45">
        <v>0.38</v>
      </c>
      <c r="K237" s="45">
        <v>0</v>
      </c>
      <c r="L237" s="45">
        <v>0.04</v>
      </c>
      <c r="M237" s="45">
        <v>30.6</v>
      </c>
      <c r="N237" s="45">
        <v>22.8</v>
      </c>
      <c r="O237" s="45">
        <v>33</v>
      </c>
      <c r="P237" s="45">
        <v>0.6</v>
      </c>
      <c r="Q237" s="45">
        <v>120</v>
      </c>
      <c r="R237" s="45">
        <v>3</v>
      </c>
      <c r="S237" s="45">
        <v>0.03</v>
      </c>
      <c r="T237" s="45">
        <v>0</v>
      </c>
      <c r="U237" s="46" t="s">
        <v>213</v>
      </c>
      <c r="V237" s="46" t="s">
        <v>53</v>
      </c>
      <c r="W237" s="47"/>
    </row>
    <row r="238" spans="1:23" s="48" customFormat="1" ht="22.5" customHeight="1">
      <c r="A238" s="43" t="s">
        <v>189</v>
      </c>
      <c r="B238" s="44">
        <v>150</v>
      </c>
      <c r="C238" s="45">
        <f>20.65*0.15</f>
        <v>3.0974999999999997</v>
      </c>
      <c r="D238" s="45">
        <v>7.86</v>
      </c>
      <c r="E238" s="45">
        <f>94.27*0.15</f>
        <v>14.140499999999999</v>
      </c>
      <c r="F238" s="45">
        <f>851*0.15</f>
        <v>127.64999999999999</v>
      </c>
      <c r="G238" s="45">
        <v>0.05</v>
      </c>
      <c r="H238" s="45">
        <v>32.18</v>
      </c>
      <c r="I238" s="45">
        <v>0.11</v>
      </c>
      <c r="J238" s="45">
        <v>0.25</v>
      </c>
      <c r="K238" s="45">
        <v>0.08</v>
      </c>
      <c r="L238" s="45">
        <v>7.0000000000000007E-2</v>
      </c>
      <c r="M238" s="45">
        <v>84.98</v>
      </c>
      <c r="N238" s="45">
        <v>30.86</v>
      </c>
      <c r="O238" s="45">
        <v>61.45</v>
      </c>
      <c r="P238" s="45">
        <v>1.85</v>
      </c>
      <c r="Q238" s="45">
        <v>398.08</v>
      </c>
      <c r="R238" s="45">
        <v>5.51</v>
      </c>
      <c r="S238" s="45">
        <v>0.02</v>
      </c>
      <c r="T238" s="45">
        <v>0</v>
      </c>
      <c r="U238" s="46" t="s">
        <v>190</v>
      </c>
      <c r="V238" s="46" t="s">
        <v>159</v>
      </c>
      <c r="W238" s="47"/>
    </row>
    <row r="239" spans="1:23" s="48" customFormat="1" ht="23.25" customHeight="1">
      <c r="A239" s="43" t="s">
        <v>191</v>
      </c>
      <c r="B239" s="44">
        <v>90</v>
      </c>
      <c r="C239" s="45">
        <v>11.7</v>
      </c>
      <c r="D239" s="45">
        <v>10.9</v>
      </c>
      <c r="E239" s="45">
        <v>15.8</v>
      </c>
      <c r="F239" s="45">
        <v>192</v>
      </c>
      <c r="G239" s="45">
        <v>0.08</v>
      </c>
      <c r="H239" s="45">
        <v>0.82</v>
      </c>
      <c r="I239" s="45">
        <v>0.41</v>
      </c>
      <c r="J239" s="45">
        <v>0.69</v>
      </c>
      <c r="K239" s="45">
        <v>0.25</v>
      </c>
      <c r="L239" s="45">
        <v>0.12</v>
      </c>
      <c r="M239" s="45">
        <v>47.84</v>
      </c>
      <c r="N239" s="45">
        <v>41.49</v>
      </c>
      <c r="O239" s="45">
        <v>173.06</v>
      </c>
      <c r="P239" s="45">
        <v>1.01</v>
      </c>
      <c r="Q239" s="45">
        <v>341.35</v>
      </c>
      <c r="R239" s="45">
        <v>95.55</v>
      </c>
      <c r="S239" s="45">
        <v>0.4</v>
      </c>
      <c r="T239" s="45">
        <v>0.01</v>
      </c>
      <c r="U239" s="46" t="s">
        <v>192</v>
      </c>
      <c r="V239" s="46" t="s">
        <v>193</v>
      </c>
      <c r="W239" s="47"/>
    </row>
    <row r="240" spans="1:23" s="48" customFormat="1" ht="23.25" customHeight="1">
      <c r="A240" s="43" t="s">
        <v>194</v>
      </c>
      <c r="B240" s="44">
        <v>200</v>
      </c>
      <c r="C240" s="49">
        <v>1</v>
      </c>
      <c r="D240" s="49">
        <v>0</v>
      </c>
      <c r="E240" s="49">
        <v>20.2</v>
      </c>
      <c r="F240" s="49">
        <v>84.8</v>
      </c>
      <c r="G240" s="50">
        <v>0.03</v>
      </c>
      <c r="H240" s="50">
        <v>1.6</v>
      </c>
      <c r="I240" s="50">
        <v>0</v>
      </c>
      <c r="J240" s="50">
        <v>0</v>
      </c>
      <c r="K240" s="50">
        <v>0</v>
      </c>
      <c r="L240" s="50">
        <v>0.02</v>
      </c>
      <c r="M240" s="50">
        <v>36</v>
      </c>
      <c r="N240" s="50">
        <v>16.2</v>
      </c>
      <c r="O240" s="50">
        <v>21.6</v>
      </c>
      <c r="P240" s="50">
        <v>0.72</v>
      </c>
      <c r="Q240" s="50">
        <v>300</v>
      </c>
      <c r="R240" s="50">
        <v>12</v>
      </c>
      <c r="S240" s="50">
        <v>0</v>
      </c>
      <c r="T240" s="50">
        <v>0</v>
      </c>
      <c r="U240" s="46" t="s">
        <v>195</v>
      </c>
      <c r="V240" s="46">
        <v>2017</v>
      </c>
      <c r="W240" s="47"/>
    </row>
    <row r="241" spans="1:23" s="48" customFormat="1" ht="21" customHeight="1">
      <c r="A241" s="43" t="s">
        <v>37</v>
      </c>
      <c r="B241" s="44">
        <v>20</v>
      </c>
      <c r="C241" s="49">
        <v>1.1200000000000001</v>
      </c>
      <c r="D241" s="49">
        <v>0.22</v>
      </c>
      <c r="E241" s="49">
        <v>9.8800000000000008</v>
      </c>
      <c r="F241" s="49">
        <v>45.98</v>
      </c>
      <c r="G241" s="50">
        <v>0</v>
      </c>
      <c r="H241" s="50">
        <v>0</v>
      </c>
      <c r="I241" s="50">
        <v>0</v>
      </c>
      <c r="J241" s="50">
        <v>0</v>
      </c>
      <c r="K241" s="50">
        <v>0</v>
      </c>
      <c r="L241" s="50">
        <v>0</v>
      </c>
      <c r="M241" s="50">
        <v>0</v>
      </c>
      <c r="N241" s="50">
        <v>0</v>
      </c>
      <c r="O241" s="50">
        <v>0</v>
      </c>
      <c r="P241" s="50">
        <v>0</v>
      </c>
      <c r="Q241" s="50">
        <v>0</v>
      </c>
      <c r="R241" s="50">
        <v>0</v>
      </c>
      <c r="S241" s="50">
        <v>0</v>
      </c>
      <c r="T241" s="50">
        <v>0</v>
      </c>
      <c r="U241" s="46" t="s">
        <v>223</v>
      </c>
      <c r="V241" s="46" t="s">
        <v>38</v>
      </c>
      <c r="W241" s="47"/>
    </row>
    <row r="242" spans="1:23" s="48" customFormat="1" ht="21.6" customHeight="1">
      <c r="A242" s="51" t="s">
        <v>170</v>
      </c>
      <c r="B242" s="52">
        <f>SUM(B237:B241)</f>
        <v>520</v>
      </c>
      <c r="C242" s="53">
        <f t="shared" ref="C242:T242" si="36">SUM(C237:C241)</f>
        <v>17.717500000000001</v>
      </c>
      <c r="D242" s="53">
        <f t="shared" si="36"/>
        <v>19.079999999999998</v>
      </c>
      <c r="E242" s="53">
        <f t="shared" si="36"/>
        <v>65.120499999999993</v>
      </c>
      <c r="F242" s="53">
        <f t="shared" si="36"/>
        <v>465.43</v>
      </c>
      <c r="G242" s="53">
        <f t="shared" si="36"/>
        <v>0.19999999999999998</v>
      </c>
      <c r="H242" s="53">
        <f t="shared" si="36"/>
        <v>37.6</v>
      </c>
      <c r="I242" s="53">
        <f t="shared" si="36"/>
        <v>2.0100000000000002</v>
      </c>
      <c r="J242" s="53">
        <f t="shared" si="36"/>
        <v>1.3199999999999998</v>
      </c>
      <c r="K242" s="53">
        <f t="shared" si="36"/>
        <v>0.33</v>
      </c>
      <c r="L242" s="53">
        <f t="shared" si="36"/>
        <v>0.25</v>
      </c>
      <c r="M242" s="53">
        <f t="shared" si="36"/>
        <v>199.42000000000002</v>
      </c>
      <c r="N242" s="53">
        <f t="shared" si="36"/>
        <v>111.35000000000001</v>
      </c>
      <c r="O242" s="53">
        <f t="shared" si="36"/>
        <v>289.11</v>
      </c>
      <c r="P242" s="53">
        <f t="shared" si="36"/>
        <v>4.18</v>
      </c>
      <c r="Q242" s="53">
        <f t="shared" si="36"/>
        <v>1159.4299999999998</v>
      </c>
      <c r="R242" s="53">
        <f t="shared" si="36"/>
        <v>116.06</v>
      </c>
      <c r="S242" s="53">
        <f t="shared" si="36"/>
        <v>0.45</v>
      </c>
      <c r="T242" s="53">
        <f t="shared" si="36"/>
        <v>0.01</v>
      </c>
      <c r="U242" s="54"/>
      <c r="V242" s="54"/>
      <c r="W242" s="47"/>
    </row>
    <row r="243" spans="1:23" s="48" customFormat="1" ht="14.65" customHeight="1">
      <c r="A243" s="98" t="s">
        <v>40</v>
      </c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100"/>
      <c r="W243" s="47"/>
    </row>
    <row r="244" spans="1:23" s="48" customFormat="1" ht="31.5" customHeight="1">
      <c r="A244" s="43" t="s">
        <v>104</v>
      </c>
      <c r="B244" s="44">
        <v>60</v>
      </c>
      <c r="C244" s="45">
        <v>0.67</v>
      </c>
      <c r="D244" s="45">
        <v>0.12</v>
      </c>
      <c r="E244" s="45">
        <v>2.2799999999999998</v>
      </c>
      <c r="F244" s="45">
        <v>13.2</v>
      </c>
      <c r="G244" s="45">
        <v>0.02</v>
      </c>
      <c r="H244" s="45">
        <v>2.4500000000000002</v>
      </c>
      <c r="I244" s="45">
        <v>0</v>
      </c>
      <c r="J244" s="45">
        <v>0</v>
      </c>
      <c r="K244" s="45">
        <v>0</v>
      </c>
      <c r="L244" s="45">
        <v>0.01</v>
      </c>
      <c r="M244" s="45">
        <v>0</v>
      </c>
      <c r="N244" s="45">
        <v>0</v>
      </c>
      <c r="O244" s="45">
        <v>0</v>
      </c>
      <c r="P244" s="45">
        <v>0</v>
      </c>
      <c r="Q244" s="45">
        <v>0</v>
      </c>
      <c r="R244" s="45">
        <v>0</v>
      </c>
      <c r="S244" s="45">
        <v>0</v>
      </c>
      <c r="T244" s="45">
        <v>0</v>
      </c>
      <c r="U244" s="46">
        <v>71</v>
      </c>
      <c r="V244" s="46" t="s">
        <v>29</v>
      </c>
      <c r="W244" s="47"/>
    </row>
    <row r="245" spans="1:23" s="48" customFormat="1" ht="18" customHeight="1">
      <c r="A245" s="63" t="s">
        <v>196</v>
      </c>
      <c r="B245" s="64">
        <v>200</v>
      </c>
      <c r="C245" s="45">
        <f>6.35*0.2</f>
        <v>1.27</v>
      </c>
      <c r="D245" s="45">
        <f>19.95*0.2</f>
        <v>3.99</v>
      </c>
      <c r="E245" s="45">
        <f>36.55*0.2</f>
        <v>7.31</v>
      </c>
      <c r="F245" s="45">
        <f>381*0.2</f>
        <v>76.2</v>
      </c>
      <c r="G245" s="45">
        <f>0.29*0.2</f>
        <v>5.7999999999999996E-2</v>
      </c>
      <c r="H245" s="45">
        <f>41.5*0.2</f>
        <v>8.3000000000000007</v>
      </c>
      <c r="I245" s="45">
        <v>0</v>
      </c>
      <c r="J245" s="45">
        <v>0.25</v>
      </c>
      <c r="K245" s="45">
        <v>0.06</v>
      </c>
      <c r="L245" s="45">
        <f>0.19*0.2</f>
        <v>3.8000000000000006E-2</v>
      </c>
      <c r="M245" s="45">
        <f>139.4*0.2</f>
        <v>27.880000000000003</v>
      </c>
      <c r="N245" s="45">
        <f>83*0.2</f>
        <v>16.600000000000001</v>
      </c>
      <c r="O245" s="45">
        <f>197.1*0.2</f>
        <v>39.42</v>
      </c>
      <c r="P245" s="45">
        <f>3.1*0.2</f>
        <v>0.62000000000000011</v>
      </c>
      <c r="Q245" s="45">
        <f>1536.4*0.2</f>
        <v>307.28000000000003</v>
      </c>
      <c r="R245" s="45">
        <v>5.51</v>
      </c>
      <c r="S245" s="45">
        <v>0.02</v>
      </c>
      <c r="T245" s="45">
        <v>0</v>
      </c>
      <c r="U245" s="46" t="s">
        <v>197</v>
      </c>
      <c r="V245" s="46">
        <v>2017</v>
      </c>
      <c r="W245" s="47"/>
    </row>
    <row r="246" spans="1:23" s="48" customFormat="1" ht="21.75" customHeight="1">
      <c r="A246" s="63" t="s">
        <v>198</v>
      </c>
      <c r="B246" s="44">
        <v>150</v>
      </c>
      <c r="C246" s="45">
        <f>6.4*150/90</f>
        <v>10.666666666666666</v>
      </c>
      <c r="D246" s="45">
        <f>9.5*150/90</f>
        <v>15.833333333333334</v>
      </c>
      <c r="E246" s="45">
        <v>41.18</v>
      </c>
      <c r="F246" s="45">
        <v>296.25</v>
      </c>
      <c r="G246" s="45">
        <v>0.14000000000000001</v>
      </c>
      <c r="H246" s="45">
        <v>7.41</v>
      </c>
      <c r="I246" s="45">
        <v>3.48</v>
      </c>
      <c r="J246" s="45">
        <v>2.98</v>
      </c>
      <c r="K246" s="45">
        <v>0.89</v>
      </c>
      <c r="L246" s="45">
        <v>0.97</v>
      </c>
      <c r="M246" s="45">
        <v>57</v>
      </c>
      <c r="N246" s="45">
        <v>19.78</v>
      </c>
      <c r="O246" s="45">
        <v>229.97</v>
      </c>
      <c r="P246" s="45">
        <v>4.0199999999999996</v>
      </c>
      <c r="Q246" s="45">
        <v>278.43</v>
      </c>
      <c r="R246" s="45">
        <v>14.44</v>
      </c>
      <c r="S246" s="45">
        <v>0.12</v>
      </c>
      <c r="T246" s="45">
        <v>0.03</v>
      </c>
      <c r="U246" s="46" t="s">
        <v>235</v>
      </c>
      <c r="V246" s="46" t="s">
        <v>185</v>
      </c>
      <c r="W246" s="47"/>
    </row>
    <row r="247" spans="1:23" s="48" customFormat="1" ht="17.25" customHeight="1">
      <c r="A247" s="63" t="s">
        <v>199</v>
      </c>
      <c r="B247" s="44">
        <v>25</v>
      </c>
      <c r="C247" s="45">
        <v>0.3</v>
      </c>
      <c r="D247" s="45">
        <v>2.7</v>
      </c>
      <c r="E247" s="45">
        <v>2.2999999999999998</v>
      </c>
      <c r="F247" s="45">
        <v>44</v>
      </c>
      <c r="G247" s="45">
        <v>0.01</v>
      </c>
      <c r="H247" s="45">
        <v>0.74</v>
      </c>
      <c r="I247" s="45">
        <v>0.09</v>
      </c>
      <c r="J247" s="45">
        <v>1.66</v>
      </c>
      <c r="K247" s="45">
        <v>0</v>
      </c>
      <c r="L247" s="45">
        <v>0.01</v>
      </c>
      <c r="M247" s="45">
        <v>7.04</v>
      </c>
      <c r="N247" s="45">
        <v>3.64</v>
      </c>
      <c r="O247" s="45">
        <v>7.35</v>
      </c>
      <c r="P247" s="45">
        <v>0.16</v>
      </c>
      <c r="Q247" s="45">
        <v>40.22</v>
      </c>
      <c r="R247" s="45">
        <v>0.6</v>
      </c>
      <c r="S247" s="45">
        <v>0</v>
      </c>
      <c r="T247" s="45">
        <v>0</v>
      </c>
      <c r="U247" s="46" t="s">
        <v>236</v>
      </c>
      <c r="V247" s="46" t="s">
        <v>185</v>
      </c>
      <c r="W247" s="47"/>
    </row>
    <row r="248" spans="1:23" s="48" customFormat="1" ht="23.25" customHeight="1">
      <c r="A248" s="63" t="s">
        <v>95</v>
      </c>
      <c r="B248" s="44">
        <v>180</v>
      </c>
      <c r="C248" s="45">
        <v>5.22</v>
      </c>
      <c r="D248" s="45">
        <v>4.5</v>
      </c>
      <c r="E248" s="45">
        <v>7.2</v>
      </c>
      <c r="F248" s="45">
        <v>95.4</v>
      </c>
      <c r="G248" s="45">
        <v>7.0000000000000007E-2</v>
      </c>
      <c r="H248" s="45">
        <v>1.26</v>
      </c>
      <c r="I248" s="45">
        <v>0.05</v>
      </c>
      <c r="J248" s="45">
        <v>0.13</v>
      </c>
      <c r="K248" s="45">
        <v>0</v>
      </c>
      <c r="L248" s="45">
        <v>0.31</v>
      </c>
      <c r="M248" s="45">
        <v>216</v>
      </c>
      <c r="N248" s="45">
        <v>25.2</v>
      </c>
      <c r="O248" s="45">
        <v>171</v>
      </c>
      <c r="P248" s="45">
        <v>0.18</v>
      </c>
      <c r="Q248" s="45">
        <v>262.8</v>
      </c>
      <c r="R248" s="45">
        <v>16.2</v>
      </c>
      <c r="S248" s="45">
        <v>0.04</v>
      </c>
      <c r="T248" s="45">
        <v>0</v>
      </c>
      <c r="U248" s="46" t="s">
        <v>223</v>
      </c>
      <c r="V248" s="46" t="s">
        <v>159</v>
      </c>
      <c r="W248" s="47"/>
    </row>
    <row r="249" spans="1:23" s="48" customFormat="1" ht="21" customHeight="1">
      <c r="A249" s="43" t="s">
        <v>69</v>
      </c>
      <c r="B249" s="44">
        <v>150</v>
      </c>
      <c r="C249" s="45">
        <v>1.35</v>
      </c>
      <c r="D249" s="45">
        <v>0.3</v>
      </c>
      <c r="E249" s="45">
        <v>12.15</v>
      </c>
      <c r="F249" s="45">
        <v>64.5</v>
      </c>
      <c r="G249" s="45">
        <v>0.06</v>
      </c>
      <c r="H249" s="45">
        <v>90</v>
      </c>
      <c r="I249" s="45">
        <v>0.02</v>
      </c>
      <c r="J249" s="45">
        <v>0.33</v>
      </c>
      <c r="K249" s="45">
        <v>0</v>
      </c>
      <c r="L249" s="45">
        <v>0.05</v>
      </c>
      <c r="M249" s="45">
        <v>51</v>
      </c>
      <c r="N249" s="45">
        <v>19.5</v>
      </c>
      <c r="O249" s="45">
        <v>34.5</v>
      </c>
      <c r="P249" s="45">
        <v>0.45</v>
      </c>
      <c r="Q249" s="45">
        <v>295.5</v>
      </c>
      <c r="R249" s="45">
        <v>3</v>
      </c>
      <c r="S249" s="45">
        <v>0.03</v>
      </c>
      <c r="T249" s="45">
        <v>0</v>
      </c>
      <c r="U249" s="58" t="s">
        <v>251</v>
      </c>
      <c r="V249" s="46" t="s">
        <v>29</v>
      </c>
      <c r="W249" s="47"/>
    </row>
    <row r="250" spans="1:23" s="48" customFormat="1" ht="17.25" customHeight="1">
      <c r="A250" s="63" t="s">
        <v>51</v>
      </c>
      <c r="B250" s="44">
        <v>40</v>
      </c>
      <c r="C250" s="45">
        <v>3.05</v>
      </c>
      <c r="D250" s="45">
        <v>0.25</v>
      </c>
      <c r="E250" s="45">
        <v>20.07</v>
      </c>
      <c r="F250" s="45">
        <v>94.73</v>
      </c>
      <c r="G250" s="45">
        <v>0.05</v>
      </c>
      <c r="H250" s="45">
        <v>0</v>
      </c>
      <c r="I250" s="45">
        <v>0</v>
      </c>
      <c r="J250" s="45">
        <v>0.59</v>
      </c>
      <c r="K250" s="45">
        <v>0</v>
      </c>
      <c r="L250" s="45">
        <v>0.02</v>
      </c>
      <c r="M250" s="45">
        <v>6.9</v>
      </c>
      <c r="N250" s="45">
        <v>9.9</v>
      </c>
      <c r="O250" s="45">
        <v>25.2</v>
      </c>
      <c r="P250" s="45">
        <v>0.6</v>
      </c>
      <c r="Q250" s="45">
        <v>38.700000000000003</v>
      </c>
      <c r="R250" s="45">
        <v>0</v>
      </c>
      <c r="S250" s="45">
        <v>0</v>
      </c>
      <c r="T250" s="45">
        <v>0</v>
      </c>
      <c r="U250" s="46" t="s">
        <v>223</v>
      </c>
      <c r="V250" s="46" t="s">
        <v>38</v>
      </c>
      <c r="W250" s="47"/>
    </row>
    <row r="251" spans="1:23" s="48" customFormat="1" ht="22.5" customHeight="1">
      <c r="A251" s="43" t="s">
        <v>37</v>
      </c>
      <c r="B251" s="44">
        <v>20</v>
      </c>
      <c r="C251" s="49">
        <v>1.1200000000000001</v>
      </c>
      <c r="D251" s="49">
        <v>0.22</v>
      </c>
      <c r="E251" s="49">
        <v>9.8800000000000008</v>
      </c>
      <c r="F251" s="49">
        <v>45.98</v>
      </c>
      <c r="G251" s="50">
        <v>0</v>
      </c>
      <c r="H251" s="50">
        <v>0</v>
      </c>
      <c r="I251" s="50">
        <v>0</v>
      </c>
      <c r="J251" s="50">
        <v>0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0">
        <v>0</v>
      </c>
      <c r="Q251" s="50">
        <v>0</v>
      </c>
      <c r="R251" s="50">
        <v>0</v>
      </c>
      <c r="S251" s="50">
        <v>0</v>
      </c>
      <c r="T251" s="50">
        <v>0</v>
      </c>
      <c r="U251" s="46" t="s">
        <v>223</v>
      </c>
      <c r="V251" s="46" t="s">
        <v>38</v>
      </c>
      <c r="W251" s="47"/>
    </row>
    <row r="252" spans="1:23" s="48" customFormat="1" ht="21.6" customHeight="1">
      <c r="A252" s="51" t="s">
        <v>170</v>
      </c>
      <c r="B252" s="52">
        <f t="shared" ref="B252:T252" si="37">SUM(B244:B251)</f>
        <v>825</v>
      </c>
      <c r="C252" s="53">
        <f t="shared" si="37"/>
        <v>23.646666666666668</v>
      </c>
      <c r="D252" s="53">
        <f t="shared" si="37"/>
        <v>27.913333333333334</v>
      </c>
      <c r="E252" s="53">
        <f t="shared" si="37"/>
        <v>102.37</v>
      </c>
      <c r="F252" s="53">
        <f t="shared" si="37"/>
        <v>730.26</v>
      </c>
      <c r="G252" s="53">
        <f t="shared" si="37"/>
        <v>0.40800000000000003</v>
      </c>
      <c r="H252" s="53">
        <f t="shared" si="37"/>
        <v>110.16</v>
      </c>
      <c r="I252" s="53">
        <f t="shared" si="37"/>
        <v>3.6399999999999997</v>
      </c>
      <c r="J252" s="53">
        <f t="shared" si="37"/>
        <v>5.9399999999999995</v>
      </c>
      <c r="K252" s="53">
        <f t="shared" si="37"/>
        <v>0.95</v>
      </c>
      <c r="L252" s="53">
        <f t="shared" si="37"/>
        <v>1.4080000000000001</v>
      </c>
      <c r="M252" s="53">
        <f t="shared" si="37"/>
        <v>365.82</v>
      </c>
      <c r="N252" s="53">
        <f t="shared" si="37"/>
        <v>94.62</v>
      </c>
      <c r="O252" s="53">
        <f t="shared" si="37"/>
        <v>507.44</v>
      </c>
      <c r="P252" s="53">
        <f t="shared" si="37"/>
        <v>6.0299999999999994</v>
      </c>
      <c r="Q252" s="53">
        <f t="shared" si="37"/>
        <v>1222.93</v>
      </c>
      <c r="R252" s="53">
        <f t="shared" si="37"/>
        <v>39.75</v>
      </c>
      <c r="S252" s="53">
        <f t="shared" si="37"/>
        <v>0.21</v>
      </c>
      <c r="T252" s="53">
        <f t="shared" si="37"/>
        <v>0.03</v>
      </c>
      <c r="U252" s="54"/>
      <c r="V252" s="54"/>
      <c r="W252" s="47"/>
    </row>
    <row r="253" spans="1:23" s="48" customFormat="1" ht="14.65" customHeight="1">
      <c r="A253" s="98" t="s">
        <v>52</v>
      </c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100"/>
      <c r="W253" s="47"/>
    </row>
    <row r="254" spans="1:23" s="48" customFormat="1" ht="25.5" customHeight="1">
      <c r="A254" s="43" t="s">
        <v>200</v>
      </c>
      <c r="B254" s="44">
        <v>150</v>
      </c>
      <c r="C254" s="49">
        <v>7.9</v>
      </c>
      <c r="D254" s="49">
        <v>12.3</v>
      </c>
      <c r="E254" s="49">
        <v>25.1</v>
      </c>
      <c r="F254" s="49">
        <v>257.60000000000002</v>
      </c>
      <c r="G254" s="50">
        <v>7.0000000000000007E-2</v>
      </c>
      <c r="H254" s="50">
        <v>0.14000000000000001</v>
      </c>
      <c r="I254" s="50">
        <v>0.1</v>
      </c>
      <c r="J254" s="50">
        <v>2.81</v>
      </c>
      <c r="K254" s="50">
        <v>0.67</v>
      </c>
      <c r="L254" s="50">
        <v>0.14000000000000001</v>
      </c>
      <c r="M254" s="50">
        <v>52.99</v>
      </c>
      <c r="N254" s="50">
        <v>12.12</v>
      </c>
      <c r="O254" s="50">
        <v>94.02</v>
      </c>
      <c r="P254" s="50">
        <v>1.3</v>
      </c>
      <c r="Q254" s="50">
        <v>122.1</v>
      </c>
      <c r="R254" s="50">
        <v>8.0399999999999991</v>
      </c>
      <c r="S254" s="50">
        <v>0.02</v>
      </c>
      <c r="T254" s="50">
        <v>0.02</v>
      </c>
      <c r="U254" s="46" t="s">
        <v>111</v>
      </c>
      <c r="V254" s="46" t="s">
        <v>29</v>
      </c>
      <c r="W254" s="47"/>
    </row>
    <row r="255" spans="1:23" s="48" customFormat="1" ht="29.25" customHeight="1">
      <c r="A255" s="43" t="s">
        <v>70</v>
      </c>
      <c r="B255" s="44">
        <v>180</v>
      </c>
      <c r="C255" s="49">
        <v>0.14000000000000001</v>
      </c>
      <c r="D255" s="49">
        <v>0.14000000000000001</v>
      </c>
      <c r="E255" s="49">
        <v>25.09</v>
      </c>
      <c r="F255" s="49">
        <v>103.14</v>
      </c>
      <c r="G255" s="50">
        <v>0.01</v>
      </c>
      <c r="H255" s="50">
        <v>1.44</v>
      </c>
      <c r="I255" s="50">
        <v>0</v>
      </c>
      <c r="J255" s="50">
        <v>0.23</v>
      </c>
      <c r="K255" s="50">
        <v>0</v>
      </c>
      <c r="L255" s="50">
        <v>0.01</v>
      </c>
      <c r="M255" s="50">
        <v>11.84</v>
      </c>
      <c r="N255" s="50">
        <v>3.99</v>
      </c>
      <c r="O255" s="50">
        <v>3.56</v>
      </c>
      <c r="P255" s="50">
        <v>0.71</v>
      </c>
      <c r="Q255" s="50">
        <v>101.19</v>
      </c>
      <c r="R255" s="50">
        <v>0.72</v>
      </c>
      <c r="S255" s="50">
        <v>0</v>
      </c>
      <c r="T255" s="50">
        <v>0</v>
      </c>
      <c r="U255" s="46" t="s">
        <v>71</v>
      </c>
      <c r="V255" s="46">
        <v>2017</v>
      </c>
      <c r="W255" s="47"/>
    </row>
    <row r="256" spans="1:23" s="48" customFormat="1" ht="12.2" customHeight="1">
      <c r="A256" s="51" t="s">
        <v>170</v>
      </c>
      <c r="B256" s="52">
        <f t="shared" ref="B256:T256" si="38">SUM(B254:B255)</f>
        <v>330</v>
      </c>
      <c r="C256" s="53">
        <f t="shared" si="38"/>
        <v>8.0400000000000009</v>
      </c>
      <c r="D256" s="53">
        <f t="shared" si="38"/>
        <v>12.440000000000001</v>
      </c>
      <c r="E256" s="53">
        <f t="shared" si="38"/>
        <v>50.19</v>
      </c>
      <c r="F256" s="53">
        <f t="shared" si="38"/>
        <v>360.74</v>
      </c>
      <c r="G256" s="53">
        <f t="shared" si="38"/>
        <v>0.08</v>
      </c>
      <c r="H256" s="53">
        <f t="shared" si="38"/>
        <v>1.58</v>
      </c>
      <c r="I256" s="53">
        <f t="shared" si="38"/>
        <v>0.1</v>
      </c>
      <c r="J256" s="53">
        <f t="shared" si="38"/>
        <v>3.04</v>
      </c>
      <c r="K256" s="53">
        <f t="shared" si="38"/>
        <v>0.67</v>
      </c>
      <c r="L256" s="53">
        <f t="shared" si="38"/>
        <v>0.15000000000000002</v>
      </c>
      <c r="M256" s="53">
        <f t="shared" si="38"/>
        <v>64.83</v>
      </c>
      <c r="N256" s="53">
        <f t="shared" si="38"/>
        <v>16.11</v>
      </c>
      <c r="O256" s="53">
        <f t="shared" si="38"/>
        <v>97.58</v>
      </c>
      <c r="P256" s="53">
        <f t="shared" si="38"/>
        <v>2.0099999999999998</v>
      </c>
      <c r="Q256" s="53">
        <f t="shared" si="38"/>
        <v>223.29</v>
      </c>
      <c r="R256" s="53">
        <f t="shared" si="38"/>
        <v>8.76</v>
      </c>
      <c r="S256" s="53">
        <f t="shared" si="38"/>
        <v>0.02</v>
      </c>
      <c r="T256" s="53">
        <f t="shared" si="38"/>
        <v>0.02</v>
      </c>
      <c r="U256" s="54"/>
      <c r="V256" s="54"/>
      <c r="W256" s="47"/>
    </row>
    <row r="257" spans="1:23" s="48" customFormat="1" ht="21.6" customHeight="1">
      <c r="A257" s="51" t="s">
        <v>201</v>
      </c>
      <c r="B257" s="65"/>
      <c r="C257" s="66">
        <f t="shared" ref="C257:T257" si="39">C256+C252+C242</f>
        <v>49.404166666666669</v>
      </c>
      <c r="D257" s="66">
        <f t="shared" si="39"/>
        <v>59.433333333333337</v>
      </c>
      <c r="E257" s="66">
        <f t="shared" si="39"/>
        <v>217.68049999999999</v>
      </c>
      <c r="F257" s="66">
        <f t="shared" si="39"/>
        <v>1556.43</v>
      </c>
      <c r="G257" s="66">
        <f t="shared" si="39"/>
        <v>0.68800000000000006</v>
      </c>
      <c r="H257" s="66">
        <f t="shared" si="39"/>
        <v>149.34</v>
      </c>
      <c r="I257" s="66">
        <f t="shared" si="39"/>
        <v>5.75</v>
      </c>
      <c r="J257" s="66">
        <f t="shared" si="39"/>
        <v>10.3</v>
      </c>
      <c r="K257" s="66">
        <f t="shared" si="39"/>
        <v>1.9500000000000002</v>
      </c>
      <c r="L257" s="66">
        <f t="shared" si="39"/>
        <v>1.8080000000000003</v>
      </c>
      <c r="M257" s="66">
        <f t="shared" si="39"/>
        <v>630.06999999999994</v>
      </c>
      <c r="N257" s="66">
        <f t="shared" si="39"/>
        <v>222.08</v>
      </c>
      <c r="O257" s="66">
        <f t="shared" si="39"/>
        <v>894.13</v>
      </c>
      <c r="P257" s="66">
        <f t="shared" si="39"/>
        <v>12.219999999999999</v>
      </c>
      <c r="Q257" s="66">
        <f t="shared" si="39"/>
        <v>2605.6499999999996</v>
      </c>
      <c r="R257" s="66">
        <f t="shared" si="39"/>
        <v>164.57</v>
      </c>
      <c r="S257" s="66">
        <f t="shared" si="39"/>
        <v>0.67999999999999994</v>
      </c>
      <c r="T257" s="66">
        <f t="shared" si="39"/>
        <v>6.0000000000000005E-2</v>
      </c>
      <c r="U257" s="54"/>
      <c r="V257" s="54"/>
      <c r="W257" s="47"/>
    </row>
    <row r="259" spans="1:23" s="3" customFormat="1" ht="14.1" customHeight="1">
      <c r="A259" s="80" t="s">
        <v>202</v>
      </c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17"/>
      <c r="N259" s="17"/>
      <c r="O259" s="17"/>
      <c r="P259" s="17"/>
      <c r="Q259" s="17"/>
      <c r="R259" s="17"/>
      <c r="S259" s="17"/>
      <c r="T259" s="17"/>
      <c r="U259" s="14"/>
      <c r="V259" s="14"/>
      <c r="W259" s="5"/>
    </row>
    <row r="260" spans="1:23" s="3" customFormat="1" ht="14.1" customHeight="1">
      <c r="A260" s="85" t="s">
        <v>255</v>
      </c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5"/>
    </row>
    <row r="261" spans="1:23" s="3" customFormat="1" ht="13.35" customHeight="1">
      <c r="A261" s="81" t="s">
        <v>214</v>
      </c>
      <c r="B261" s="81"/>
      <c r="C261" s="83" t="s">
        <v>3</v>
      </c>
      <c r="D261" s="83"/>
      <c r="E261" s="83"/>
      <c r="F261" s="83" t="s">
        <v>4</v>
      </c>
      <c r="G261" s="83" t="s">
        <v>5</v>
      </c>
      <c r="H261" s="83"/>
      <c r="I261" s="83"/>
      <c r="J261" s="83"/>
      <c r="K261" s="83"/>
      <c r="L261" s="83"/>
      <c r="M261" s="83" t="s">
        <v>6</v>
      </c>
      <c r="N261" s="83"/>
      <c r="O261" s="83"/>
      <c r="P261" s="83"/>
      <c r="Q261" s="83"/>
      <c r="R261" s="83"/>
      <c r="S261" s="83"/>
      <c r="T261" s="83"/>
      <c r="U261" s="81"/>
      <c r="V261" s="81"/>
      <c r="W261" s="5"/>
    </row>
    <row r="262" spans="1:23" s="3" customFormat="1" ht="26.65" customHeight="1">
      <c r="A262" s="82"/>
      <c r="B262" s="82"/>
      <c r="C262" s="30" t="s">
        <v>9</v>
      </c>
      <c r="D262" s="30" t="s">
        <v>10</v>
      </c>
      <c r="E262" s="30" t="s">
        <v>11</v>
      </c>
      <c r="F262" s="84"/>
      <c r="G262" s="30" t="s">
        <v>12</v>
      </c>
      <c r="H262" s="30" t="s">
        <v>13</v>
      </c>
      <c r="I262" s="30" t="s">
        <v>14</v>
      </c>
      <c r="J262" s="30" t="s">
        <v>15</v>
      </c>
      <c r="K262" s="30" t="s">
        <v>16</v>
      </c>
      <c r="L262" s="30" t="s">
        <v>17</v>
      </c>
      <c r="M262" s="30" t="s">
        <v>18</v>
      </c>
      <c r="N262" s="30" t="s">
        <v>19</v>
      </c>
      <c r="O262" s="30" t="s">
        <v>20</v>
      </c>
      <c r="P262" s="30" t="s">
        <v>21</v>
      </c>
      <c r="Q262" s="30" t="s">
        <v>22</v>
      </c>
      <c r="R262" s="30" t="s">
        <v>23</v>
      </c>
      <c r="S262" s="30" t="s">
        <v>24</v>
      </c>
      <c r="T262" s="30" t="s">
        <v>25</v>
      </c>
      <c r="U262" s="81"/>
      <c r="V262" s="81"/>
      <c r="W262" s="5"/>
    </row>
    <row r="263" spans="1:23" s="21" customFormat="1" ht="14.1" customHeight="1">
      <c r="A263" s="18" t="s">
        <v>216</v>
      </c>
      <c r="B263" s="18"/>
      <c r="C263" s="33">
        <f t="shared" ref="C263:T263" si="40">C257+C231+C206+C181+C155+C129+C104+C80+C55+C28</f>
        <v>531.96653275782194</v>
      </c>
      <c r="D263" s="33">
        <f t="shared" si="40"/>
        <v>562.85682880597665</v>
      </c>
      <c r="E263" s="33">
        <f t="shared" si="40"/>
        <v>2307.4027445463958</v>
      </c>
      <c r="F263" s="33">
        <f t="shared" si="40"/>
        <v>16421.97870604034</v>
      </c>
      <c r="G263" s="33">
        <f t="shared" si="40"/>
        <v>8.3606036132547015</v>
      </c>
      <c r="H263" s="33">
        <f t="shared" si="40"/>
        <v>764.82920590428091</v>
      </c>
      <c r="I263" s="33">
        <f t="shared" si="40"/>
        <v>481.78249079825162</v>
      </c>
      <c r="J263" s="33">
        <f t="shared" si="40"/>
        <v>134.57000000000002</v>
      </c>
      <c r="K263" s="33">
        <f t="shared" si="40"/>
        <v>8.870000000000001</v>
      </c>
      <c r="L263" s="33">
        <f t="shared" si="40"/>
        <v>11.140083587427066</v>
      </c>
      <c r="M263" s="33">
        <f t="shared" si="40"/>
        <v>6700.0033692776633</v>
      </c>
      <c r="N263" s="33">
        <f t="shared" si="40"/>
        <v>2370.5103841787441</v>
      </c>
      <c r="O263" s="33">
        <f t="shared" si="40"/>
        <v>9528.4169891079528</v>
      </c>
      <c r="P263" s="33">
        <f t="shared" si="40"/>
        <v>130.13981986375137</v>
      </c>
      <c r="Q263" s="33">
        <f t="shared" si="40"/>
        <v>27911.731430532025</v>
      </c>
      <c r="R263" s="33">
        <f t="shared" si="40"/>
        <v>1071.31</v>
      </c>
      <c r="S263" s="33">
        <f t="shared" si="40"/>
        <v>4.8</v>
      </c>
      <c r="T263" s="33">
        <f t="shared" si="40"/>
        <v>0.40999999999999992</v>
      </c>
      <c r="U263" s="19"/>
      <c r="V263" s="19"/>
      <c r="W263" s="20"/>
    </row>
    <row r="264" spans="1:23" s="21" customFormat="1" ht="14.1" customHeight="1">
      <c r="A264" s="18" t="s">
        <v>217</v>
      </c>
      <c r="B264" s="18"/>
      <c r="C264" s="33">
        <f>C263/10</f>
        <v>53.196653275782197</v>
      </c>
      <c r="D264" s="33">
        <f t="shared" ref="D264:T264" si="41">D263/10</f>
        <v>56.285682880597662</v>
      </c>
      <c r="E264" s="33">
        <f t="shared" si="41"/>
        <v>230.74027445463958</v>
      </c>
      <c r="F264" s="33">
        <f t="shared" si="41"/>
        <v>1642.1978706040341</v>
      </c>
      <c r="G264" s="33">
        <f t="shared" si="41"/>
        <v>0.83606036132547012</v>
      </c>
      <c r="H264" s="33">
        <f t="shared" si="41"/>
        <v>76.482920590428094</v>
      </c>
      <c r="I264" s="33">
        <f t="shared" si="41"/>
        <v>48.178249079825164</v>
      </c>
      <c r="J264" s="33">
        <f t="shared" si="41"/>
        <v>13.457000000000003</v>
      </c>
      <c r="K264" s="33">
        <f t="shared" si="41"/>
        <v>0.88700000000000012</v>
      </c>
      <c r="L264" s="33">
        <f t="shared" si="41"/>
        <v>1.1140083587427065</v>
      </c>
      <c r="M264" s="33">
        <f t="shared" si="41"/>
        <v>670.00033692776628</v>
      </c>
      <c r="N264" s="33">
        <f t="shared" si="41"/>
        <v>237.05103841787439</v>
      </c>
      <c r="O264" s="33">
        <f t="shared" si="41"/>
        <v>952.84169891079523</v>
      </c>
      <c r="P264" s="33">
        <f t="shared" si="41"/>
        <v>13.013981986375137</v>
      </c>
      <c r="Q264" s="33">
        <f t="shared" si="41"/>
        <v>2791.1731430532027</v>
      </c>
      <c r="R264" s="33">
        <f t="shared" si="41"/>
        <v>107.131</v>
      </c>
      <c r="S264" s="33">
        <f t="shared" si="41"/>
        <v>0.48</v>
      </c>
      <c r="T264" s="33">
        <f t="shared" si="41"/>
        <v>4.0999999999999995E-2</v>
      </c>
      <c r="U264" s="19"/>
      <c r="V264" s="19"/>
      <c r="W264" s="20"/>
    </row>
    <row r="265" spans="1:23" s="3" customFormat="1" ht="14.1" customHeight="1">
      <c r="A265" s="15"/>
      <c r="B265" s="15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17"/>
      <c r="N265" s="17"/>
      <c r="O265" s="17"/>
      <c r="P265" s="17"/>
      <c r="Q265" s="17"/>
      <c r="R265" s="17"/>
      <c r="S265" s="17"/>
      <c r="T265" s="17"/>
      <c r="U265" s="14"/>
      <c r="V265" s="14"/>
      <c r="W265" s="5"/>
    </row>
    <row r="266" spans="1:23" s="11" customFormat="1" ht="35.450000000000003" customHeight="1">
      <c r="A266" s="79" t="s">
        <v>225</v>
      </c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</row>
    <row r="267" spans="1:23" s="21" customFormat="1" ht="14.1" customHeight="1">
      <c r="A267" s="18" t="s">
        <v>221</v>
      </c>
      <c r="B267" s="18"/>
      <c r="C267" s="33" t="s">
        <v>226</v>
      </c>
      <c r="D267" s="33" t="s">
        <v>227</v>
      </c>
      <c r="E267" s="33" t="s">
        <v>228</v>
      </c>
      <c r="F267" s="35"/>
      <c r="G267" s="35"/>
      <c r="H267" s="35"/>
      <c r="I267" s="35"/>
      <c r="J267" s="35"/>
      <c r="K267" s="35"/>
      <c r="L267" s="35"/>
      <c r="M267" s="22"/>
      <c r="N267" s="22"/>
      <c r="O267" s="22"/>
      <c r="P267" s="22"/>
      <c r="Q267" s="22"/>
      <c r="R267" s="22"/>
      <c r="S267" s="22"/>
      <c r="T267" s="22"/>
      <c r="U267" s="19"/>
      <c r="V267" s="19"/>
      <c r="W267" s="20"/>
    </row>
    <row r="268" spans="1:23" s="21" customFormat="1" ht="14.1" customHeight="1">
      <c r="A268" s="18" t="s">
        <v>222</v>
      </c>
      <c r="B268" s="18"/>
      <c r="C268" s="33">
        <f>(B242+B216+B191+B166+B138+B114+B90+B65+B39+B13)/10</f>
        <v>512</v>
      </c>
      <c r="D268" s="33">
        <f>(B252+B225+B200+B175+B148+B123+B99+B74+B49+B22)/10</f>
        <v>839.5</v>
      </c>
      <c r="E268" s="33">
        <f>(B256+B230+B205+B180+B154+B128+B103+B79+B54+B27)/10</f>
        <v>357.5</v>
      </c>
      <c r="F268" s="35"/>
      <c r="G268" s="35"/>
      <c r="H268" s="35"/>
      <c r="I268" s="35"/>
      <c r="J268" s="35"/>
      <c r="K268" s="35"/>
      <c r="L268" s="35"/>
      <c r="M268" s="22"/>
      <c r="N268" s="22"/>
      <c r="O268" s="22"/>
      <c r="P268" s="22"/>
      <c r="Q268" s="22"/>
      <c r="R268" s="22"/>
      <c r="S268" s="22"/>
      <c r="T268" s="22"/>
      <c r="U268" s="19"/>
      <c r="V268" s="19"/>
      <c r="W268" s="20"/>
    </row>
  </sheetData>
  <mergeCells count="135">
    <mergeCell ref="A159:V159"/>
    <mergeCell ref="A167:V167"/>
    <mergeCell ref="A176:V176"/>
    <mergeCell ref="A185:V185"/>
    <mergeCell ref="A211:V211"/>
    <mergeCell ref="A236:V236"/>
    <mergeCell ref="A192:V192"/>
    <mergeCell ref="A217:V217"/>
    <mergeCell ref="A243:V243"/>
    <mergeCell ref="A201:V201"/>
    <mergeCell ref="A226:V226"/>
    <mergeCell ref="M234:T234"/>
    <mergeCell ref="U234:U235"/>
    <mergeCell ref="V234:V235"/>
    <mergeCell ref="A182:V182"/>
    <mergeCell ref="A233:V233"/>
    <mergeCell ref="A234:A235"/>
    <mergeCell ref="B234:B235"/>
    <mergeCell ref="C234:E234"/>
    <mergeCell ref="F234:F235"/>
    <mergeCell ref="G234:L234"/>
    <mergeCell ref="A59:V59"/>
    <mergeCell ref="A75:V75"/>
    <mergeCell ref="A66:V66"/>
    <mergeCell ref="A84:V84"/>
    <mergeCell ref="A100:V100"/>
    <mergeCell ref="A91:V91"/>
    <mergeCell ref="A108:V108"/>
    <mergeCell ref="A115:V115"/>
    <mergeCell ref="A124:V124"/>
    <mergeCell ref="V106:V107"/>
    <mergeCell ref="A81:V81"/>
    <mergeCell ref="A105:V105"/>
    <mergeCell ref="A253:V253"/>
    <mergeCell ref="M183:T183"/>
    <mergeCell ref="U183:U184"/>
    <mergeCell ref="V183:V184"/>
    <mergeCell ref="A209:A210"/>
    <mergeCell ref="B209:B210"/>
    <mergeCell ref="C209:E209"/>
    <mergeCell ref="F209:F210"/>
    <mergeCell ref="G209:L209"/>
    <mergeCell ref="M209:T209"/>
    <mergeCell ref="U209:U210"/>
    <mergeCell ref="V209:V210"/>
    <mergeCell ref="A183:A184"/>
    <mergeCell ref="B183:B184"/>
    <mergeCell ref="C183:E183"/>
    <mergeCell ref="F183:F184"/>
    <mergeCell ref="G183:L183"/>
    <mergeCell ref="A207:V207"/>
    <mergeCell ref="F157:F158"/>
    <mergeCell ref="G157:L157"/>
    <mergeCell ref="M157:T157"/>
    <mergeCell ref="U157:U158"/>
    <mergeCell ref="V157:V158"/>
    <mergeCell ref="A131:A132"/>
    <mergeCell ref="B131:B132"/>
    <mergeCell ref="C131:E131"/>
    <mergeCell ref="F131:F132"/>
    <mergeCell ref="G131:L131"/>
    <mergeCell ref="A133:V133"/>
    <mergeCell ref="A139:V139"/>
    <mergeCell ref="A149:V149"/>
    <mergeCell ref="M30:T30"/>
    <mergeCell ref="U30:U31"/>
    <mergeCell ref="V30:V31"/>
    <mergeCell ref="A57:A58"/>
    <mergeCell ref="B57:B58"/>
    <mergeCell ref="C57:E57"/>
    <mergeCell ref="F57:F58"/>
    <mergeCell ref="G57:L57"/>
    <mergeCell ref="M57:T57"/>
    <mergeCell ref="U57:U58"/>
    <mergeCell ref="V57:V58"/>
    <mergeCell ref="A30:A31"/>
    <mergeCell ref="B30:B31"/>
    <mergeCell ref="C30:E30"/>
    <mergeCell ref="F30:F31"/>
    <mergeCell ref="G30:L30"/>
    <mergeCell ref="A32:V32"/>
    <mergeCell ref="A40:V40"/>
    <mergeCell ref="A50:V50"/>
    <mergeCell ref="A56:V56"/>
    <mergeCell ref="A130:V130"/>
    <mergeCell ref="A156:V156"/>
    <mergeCell ref="A208:V208"/>
    <mergeCell ref="C106:E106"/>
    <mergeCell ref="A82:A83"/>
    <mergeCell ref="B82:B83"/>
    <mergeCell ref="C82:E82"/>
    <mergeCell ref="F82:F83"/>
    <mergeCell ref="G82:L82"/>
    <mergeCell ref="M82:T82"/>
    <mergeCell ref="U82:U83"/>
    <mergeCell ref="V82:V83"/>
    <mergeCell ref="A106:A107"/>
    <mergeCell ref="B106:B107"/>
    <mergeCell ref="F106:F107"/>
    <mergeCell ref="G106:L106"/>
    <mergeCell ref="M106:T106"/>
    <mergeCell ref="U106:U107"/>
    <mergeCell ref="M131:T131"/>
    <mergeCell ref="U131:U132"/>
    <mergeCell ref="V131:V132"/>
    <mergeCell ref="A157:A158"/>
    <mergeCell ref="B157:B158"/>
    <mergeCell ref="C157:E157"/>
    <mergeCell ref="A1:C1"/>
    <mergeCell ref="K1:V2"/>
    <mergeCell ref="A3:V3"/>
    <mergeCell ref="A4:V4"/>
    <mergeCell ref="A29:V29"/>
    <mergeCell ref="A5:A6"/>
    <mergeCell ref="B5:B6"/>
    <mergeCell ref="C5:E5"/>
    <mergeCell ref="F5:F6"/>
    <mergeCell ref="G5:L5"/>
    <mergeCell ref="M5:T5"/>
    <mergeCell ref="U5:U6"/>
    <mergeCell ref="V5:V6"/>
    <mergeCell ref="A14:V14"/>
    <mergeCell ref="A7:V7"/>
    <mergeCell ref="A23:V23"/>
    <mergeCell ref="A266:W266"/>
    <mergeCell ref="A259:L259"/>
    <mergeCell ref="A261:A262"/>
    <mergeCell ref="B261:B262"/>
    <mergeCell ref="F261:F262"/>
    <mergeCell ref="G261:L261"/>
    <mergeCell ref="M261:T261"/>
    <mergeCell ref="C261:E261"/>
    <mergeCell ref="U261:U262"/>
    <mergeCell ref="V261:V262"/>
    <mergeCell ref="A260:V260"/>
  </mergeCells>
  <pageMargins left="0" right="0" top="0" bottom="0" header="0" footer="0"/>
  <pageSetup paperSize="9" scale="66" orientation="landscape" horizontalDpi="300" verticalDpi="300" r:id="rId1"/>
  <rowBreaks count="8" manualBreakCount="8">
    <brk id="28" max="16383" man="1"/>
    <brk id="55" max="16383" man="1"/>
    <brk id="80" max="16383" man="1"/>
    <brk id="104" max="16383" man="1"/>
    <brk id="129" max="16383" man="1"/>
    <brk id="155" max="16383" man="1"/>
    <brk id="181" max="16383" man="1"/>
    <brk id="2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113"/>
  <sheetViews>
    <sheetView topLeftCell="A91" workbookViewId="0">
      <selection activeCell="F106" sqref="F106"/>
    </sheetView>
  </sheetViews>
  <sheetFormatPr defaultColWidth="9.1640625" defaultRowHeight="15"/>
  <cols>
    <col min="1" max="1" width="64.33203125" style="7" customWidth="1"/>
    <col min="2" max="2" width="9.6640625" style="8" customWidth="1"/>
    <col min="3" max="3" width="12.6640625" style="6" customWidth="1"/>
    <col min="4" max="4" width="12.33203125" style="6" customWidth="1"/>
    <col min="5" max="5" width="14.6640625" style="6" customWidth="1"/>
    <col min="6" max="6" width="15" style="6" customWidth="1"/>
    <col min="7" max="7" width="7.6640625" style="6" customWidth="1"/>
    <col min="8" max="8" width="10.6640625" style="6" customWidth="1"/>
    <col min="9" max="9" width="14.1640625" style="6" customWidth="1"/>
    <col min="10" max="10" width="7" style="6" customWidth="1"/>
    <col min="11" max="11" width="6.6640625" style="6" customWidth="1"/>
    <col min="12" max="12" width="7.33203125" style="6" customWidth="1"/>
    <col min="13" max="13" width="10.83203125" style="6" customWidth="1"/>
    <col min="14" max="14" width="14.33203125" style="6" customWidth="1"/>
    <col min="15" max="15" width="11.5" style="6" customWidth="1"/>
    <col min="16" max="16" width="7" style="6" customWidth="1"/>
    <col min="17" max="17" width="10.5" style="6" customWidth="1"/>
    <col min="18" max="18" width="11.33203125" style="6" customWidth="1"/>
    <col min="19" max="20" width="7" style="6" customWidth="1"/>
    <col min="21" max="21" width="9.5" style="8" customWidth="1"/>
    <col min="22" max="22" width="11" style="8" customWidth="1"/>
    <col min="23" max="16384" width="9.1640625" style="3"/>
  </cols>
  <sheetData>
    <row r="1" spans="1:23" s="8" customFormat="1" ht="82.5" customHeight="1">
      <c r="A1" s="87" t="s">
        <v>280</v>
      </c>
      <c r="B1" s="87"/>
      <c r="C1" s="87"/>
      <c r="D1" s="29"/>
      <c r="E1" s="29"/>
      <c r="F1" s="29"/>
      <c r="G1" s="29"/>
      <c r="H1" s="29"/>
      <c r="I1" s="29"/>
      <c r="J1" s="29"/>
      <c r="K1" s="88" t="s">
        <v>281</v>
      </c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3" s="8" customFormat="1" ht="22.9" customHeight="1">
      <c r="A2" s="78"/>
      <c r="C2" s="29"/>
      <c r="D2" s="29"/>
      <c r="E2" s="29"/>
      <c r="F2" s="29"/>
      <c r="G2" s="29"/>
      <c r="H2" s="29"/>
      <c r="I2" s="29"/>
      <c r="J2" s="2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3" s="1" customFormat="1" ht="13.5" customHeight="1">
      <c r="A3" s="90" t="s">
        <v>279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12"/>
    </row>
    <row r="4" spans="1:23" s="32" customFormat="1" ht="13.5" customHeight="1">
      <c r="A4" s="109" t="s">
        <v>238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31"/>
    </row>
    <row r="5" spans="1:23" ht="28.35" customHeight="1">
      <c r="A5" s="108" t="s">
        <v>262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3" ht="13.35" customHeight="1">
      <c r="A6" s="95" t="s">
        <v>1</v>
      </c>
      <c r="B6" s="96" t="s">
        <v>2</v>
      </c>
      <c r="C6" s="97" t="s">
        <v>3</v>
      </c>
      <c r="D6" s="97"/>
      <c r="E6" s="97"/>
      <c r="F6" s="97" t="s">
        <v>4</v>
      </c>
      <c r="G6" s="97" t="s">
        <v>5</v>
      </c>
      <c r="H6" s="97"/>
      <c r="I6" s="97"/>
      <c r="J6" s="97"/>
      <c r="K6" s="97"/>
      <c r="L6" s="97"/>
      <c r="M6" s="97" t="s">
        <v>6</v>
      </c>
      <c r="N6" s="97"/>
      <c r="O6" s="97"/>
      <c r="P6" s="97"/>
      <c r="Q6" s="97"/>
      <c r="R6" s="97"/>
      <c r="S6" s="97"/>
      <c r="T6" s="97"/>
      <c r="U6" s="96" t="s">
        <v>7</v>
      </c>
      <c r="V6" s="96" t="s">
        <v>8</v>
      </c>
    </row>
    <row r="7" spans="1:23" ht="26.65" customHeight="1">
      <c r="A7" s="95"/>
      <c r="B7" s="96"/>
      <c r="C7" s="39" t="s">
        <v>9</v>
      </c>
      <c r="D7" s="39" t="s">
        <v>10</v>
      </c>
      <c r="E7" s="39" t="s">
        <v>11</v>
      </c>
      <c r="F7" s="97"/>
      <c r="G7" s="39" t="s">
        <v>12</v>
      </c>
      <c r="H7" s="39" t="s">
        <v>13</v>
      </c>
      <c r="I7" s="39" t="s">
        <v>14</v>
      </c>
      <c r="J7" s="39" t="s">
        <v>15</v>
      </c>
      <c r="K7" s="39" t="s">
        <v>16</v>
      </c>
      <c r="L7" s="39" t="s">
        <v>17</v>
      </c>
      <c r="M7" s="39" t="s">
        <v>18</v>
      </c>
      <c r="N7" s="39" t="s">
        <v>19</v>
      </c>
      <c r="O7" s="39" t="s">
        <v>20</v>
      </c>
      <c r="P7" s="39" t="s">
        <v>21</v>
      </c>
      <c r="Q7" s="39" t="s">
        <v>22</v>
      </c>
      <c r="R7" s="39" t="s">
        <v>23</v>
      </c>
      <c r="S7" s="39" t="s">
        <v>24</v>
      </c>
      <c r="T7" s="39" t="s">
        <v>25</v>
      </c>
      <c r="U7" s="96"/>
      <c r="V7" s="96"/>
    </row>
    <row r="8" spans="1:23" s="48" customFormat="1" ht="14.65" customHeight="1">
      <c r="A8" s="74" t="s">
        <v>26</v>
      </c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5"/>
      <c r="V8" s="75"/>
    </row>
    <row r="9" spans="1:23" s="48" customFormat="1" ht="12.2" customHeight="1">
      <c r="A9" s="43" t="s">
        <v>27</v>
      </c>
      <c r="B9" s="44">
        <v>150</v>
      </c>
      <c r="C9" s="45">
        <v>6.08</v>
      </c>
      <c r="D9" s="45">
        <f>11.18*150/210</f>
        <v>7.9857142857142858</v>
      </c>
      <c r="E9" s="45">
        <f>33.48*150/210</f>
        <v>23.914285714285711</v>
      </c>
      <c r="F9" s="45">
        <f>260*150/210</f>
        <v>185.71428571428572</v>
      </c>
      <c r="G9" s="45">
        <f>0.1*150/210</f>
        <v>7.1428571428571425E-2</v>
      </c>
      <c r="H9" s="45">
        <f>0.96*150/210</f>
        <v>0.68571428571428572</v>
      </c>
      <c r="I9" s="45">
        <f>54.08*150/210</f>
        <v>38.628571428571426</v>
      </c>
      <c r="J9" s="45">
        <v>0.64</v>
      </c>
      <c r="K9" s="45">
        <v>0.15</v>
      </c>
      <c r="L9" s="45">
        <f>0.14*160/210</f>
        <v>0.10666666666666667</v>
      </c>
      <c r="M9" s="45">
        <v>83.75</v>
      </c>
      <c r="N9" s="45">
        <f>37.22*160/210</f>
        <v>28.358095238095238</v>
      </c>
      <c r="O9" s="45">
        <f>156.72*160/210</f>
        <v>119.40571428571428</v>
      </c>
      <c r="P9" s="45">
        <f>0.81*160/210</f>
        <v>0.61714285714285722</v>
      </c>
      <c r="Q9" s="45">
        <f>201.34*160/210</f>
        <v>153.40190476190477</v>
      </c>
      <c r="R9" s="45">
        <v>7.53</v>
      </c>
      <c r="S9" s="45">
        <v>0.01</v>
      </c>
      <c r="T9" s="45">
        <v>0</v>
      </c>
      <c r="U9" s="46" t="s">
        <v>28</v>
      </c>
      <c r="V9" s="46" t="s">
        <v>29</v>
      </c>
      <c r="W9" s="47"/>
    </row>
    <row r="10" spans="1:23" s="48" customFormat="1" ht="12.2" customHeight="1">
      <c r="A10" s="43" t="s">
        <v>30</v>
      </c>
      <c r="B10" s="44">
        <v>50</v>
      </c>
      <c r="C10" s="49">
        <v>6.27</v>
      </c>
      <c r="D10" s="49">
        <v>7.86</v>
      </c>
      <c r="E10" s="49">
        <v>14.83</v>
      </c>
      <c r="F10" s="49">
        <v>180</v>
      </c>
      <c r="G10" s="50">
        <v>0.05</v>
      </c>
      <c r="H10" s="50">
        <v>7.0000000000000007E-2</v>
      </c>
      <c r="I10" s="50">
        <v>0.08</v>
      </c>
      <c r="J10" s="50">
        <v>0.84</v>
      </c>
      <c r="K10" s="50">
        <v>0.15</v>
      </c>
      <c r="L10" s="50">
        <v>0.05</v>
      </c>
      <c r="M10" s="50">
        <v>95.92</v>
      </c>
      <c r="N10" s="50">
        <v>13.4</v>
      </c>
      <c r="O10" s="50">
        <v>76.72</v>
      </c>
      <c r="P10" s="50">
        <v>0.72</v>
      </c>
      <c r="Q10" s="50">
        <v>49</v>
      </c>
      <c r="R10" s="50">
        <v>0</v>
      </c>
      <c r="S10" s="50">
        <v>0.01</v>
      </c>
      <c r="T10" s="50">
        <v>0</v>
      </c>
      <c r="U10" s="46" t="s">
        <v>31</v>
      </c>
      <c r="V10" s="46">
        <v>2017</v>
      </c>
      <c r="W10" s="47"/>
    </row>
    <row r="11" spans="1:23" s="48" customFormat="1" ht="12.2" customHeight="1">
      <c r="A11" s="43" t="s">
        <v>33</v>
      </c>
      <c r="B11" s="44">
        <v>180</v>
      </c>
      <c r="C11" s="45">
        <f>1.52*180/200</f>
        <v>1.3680000000000001</v>
      </c>
      <c r="D11" s="45">
        <f>1.35*180/200</f>
        <v>1.2150000000000001</v>
      </c>
      <c r="E11" s="45">
        <v>14.31</v>
      </c>
      <c r="F11" s="45">
        <f>81*180/200</f>
        <v>72.900000000000006</v>
      </c>
      <c r="G11" s="45">
        <f>0.04</f>
        <v>0.04</v>
      </c>
      <c r="H11" s="45">
        <v>1.33</v>
      </c>
      <c r="I11" s="45">
        <v>0.41</v>
      </c>
      <c r="J11" s="45">
        <v>0</v>
      </c>
      <c r="K11" s="45">
        <v>0</v>
      </c>
      <c r="L11" s="45">
        <v>0.16</v>
      </c>
      <c r="M11" s="45">
        <v>126.6</v>
      </c>
      <c r="N11" s="45">
        <v>15.4</v>
      </c>
      <c r="O11" s="45">
        <v>92.8</v>
      </c>
      <c r="P11" s="45">
        <v>0.41</v>
      </c>
      <c r="Q11" s="45">
        <v>154.6</v>
      </c>
      <c r="R11" s="45">
        <v>4.5</v>
      </c>
      <c r="S11" s="45">
        <v>0</v>
      </c>
      <c r="T11" s="45">
        <v>0</v>
      </c>
      <c r="U11" s="46" t="s">
        <v>34</v>
      </c>
      <c r="V11" s="46">
        <v>2017</v>
      </c>
      <c r="W11" s="47"/>
    </row>
    <row r="12" spans="1:23" s="48" customFormat="1" ht="12.2" customHeight="1">
      <c r="A12" s="43" t="s">
        <v>288</v>
      </c>
      <c r="B12" s="44">
        <v>100</v>
      </c>
      <c r="C12" s="49">
        <v>0.4</v>
      </c>
      <c r="D12" s="49">
        <v>0.4</v>
      </c>
      <c r="E12" s="49">
        <v>9.8000000000000007</v>
      </c>
      <c r="F12" s="49">
        <v>47</v>
      </c>
      <c r="G12" s="50">
        <v>0.03</v>
      </c>
      <c r="H12" s="50">
        <v>10</v>
      </c>
      <c r="I12" s="50">
        <v>0.01</v>
      </c>
      <c r="J12" s="50">
        <v>0.63</v>
      </c>
      <c r="K12" s="50">
        <v>0</v>
      </c>
      <c r="L12" s="50">
        <v>0.02</v>
      </c>
      <c r="M12" s="50">
        <v>16</v>
      </c>
      <c r="N12" s="50">
        <v>8</v>
      </c>
      <c r="O12" s="50">
        <v>11</v>
      </c>
      <c r="P12" s="50">
        <v>2.2000000000000002</v>
      </c>
      <c r="Q12" s="50">
        <v>278</v>
      </c>
      <c r="R12" s="50">
        <v>2</v>
      </c>
      <c r="S12" s="50">
        <v>0.01</v>
      </c>
      <c r="T12" s="50">
        <v>0</v>
      </c>
      <c r="U12" s="46" t="s">
        <v>36</v>
      </c>
      <c r="V12" s="46" t="s">
        <v>29</v>
      </c>
      <c r="W12" s="47"/>
    </row>
    <row r="13" spans="1:23" s="48" customFormat="1" ht="12.2" customHeight="1">
      <c r="A13" s="43" t="s">
        <v>37</v>
      </c>
      <c r="B13" s="44">
        <v>20</v>
      </c>
      <c r="C13" s="49">
        <v>1.1200000000000001</v>
      </c>
      <c r="D13" s="49">
        <v>0.22</v>
      </c>
      <c r="E13" s="49">
        <v>9.8800000000000008</v>
      </c>
      <c r="F13" s="49">
        <v>45.98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46" t="s">
        <v>223</v>
      </c>
      <c r="V13" s="46" t="s">
        <v>38</v>
      </c>
      <c r="W13" s="47"/>
    </row>
    <row r="14" spans="1:23" s="48" customFormat="1" ht="12.2" customHeight="1">
      <c r="A14" s="51" t="s">
        <v>39</v>
      </c>
      <c r="B14" s="52">
        <f>SUM(B9:B13)</f>
        <v>500</v>
      </c>
      <c r="C14" s="53">
        <f t="shared" ref="C14:T14" si="0">SUM(C9:C13)</f>
        <v>15.238</v>
      </c>
      <c r="D14" s="53">
        <f t="shared" si="0"/>
        <v>17.680714285714284</v>
      </c>
      <c r="E14" s="53">
        <f t="shared" si="0"/>
        <v>72.734285714285704</v>
      </c>
      <c r="F14" s="53">
        <f t="shared" si="0"/>
        <v>531.59428571428577</v>
      </c>
      <c r="G14" s="53">
        <f t="shared" si="0"/>
        <v>0.19142857142857142</v>
      </c>
      <c r="H14" s="53">
        <f t="shared" si="0"/>
        <v>12.085714285714285</v>
      </c>
      <c r="I14" s="53">
        <f t="shared" si="0"/>
        <v>39.128571428571419</v>
      </c>
      <c r="J14" s="53">
        <f t="shared" si="0"/>
        <v>2.11</v>
      </c>
      <c r="K14" s="53">
        <f t="shared" si="0"/>
        <v>0.3</v>
      </c>
      <c r="L14" s="53">
        <f t="shared" si="0"/>
        <v>0.33666666666666667</v>
      </c>
      <c r="M14" s="53">
        <f t="shared" si="0"/>
        <v>322.27</v>
      </c>
      <c r="N14" s="53">
        <f t="shared" si="0"/>
        <v>65.158095238095228</v>
      </c>
      <c r="O14" s="53">
        <f t="shared" si="0"/>
        <v>299.92571428571426</v>
      </c>
      <c r="P14" s="53">
        <f t="shared" si="0"/>
        <v>3.9471428571428575</v>
      </c>
      <c r="Q14" s="53">
        <f t="shared" si="0"/>
        <v>635.00190476190483</v>
      </c>
      <c r="R14" s="53">
        <f t="shared" si="0"/>
        <v>14.030000000000001</v>
      </c>
      <c r="S14" s="53">
        <f t="shared" si="0"/>
        <v>0.03</v>
      </c>
      <c r="T14" s="53">
        <f t="shared" si="0"/>
        <v>0</v>
      </c>
      <c r="U14" s="54"/>
      <c r="V14" s="54"/>
      <c r="W14" s="47"/>
    </row>
    <row r="15" spans="1:23" s="7" customFormat="1" ht="28.35" customHeight="1">
      <c r="A15" s="104" t="s">
        <v>263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</row>
    <row r="16" spans="1:23" s="7" customFormat="1" ht="13.35" customHeight="1">
      <c r="A16" s="95" t="s">
        <v>1</v>
      </c>
      <c r="B16" s="95" t="s">
        <v>2</v>
      </c>
      <c r="C16" s="103" t="s">
        <v>3</v>
      </c>
      <c r="D16" s="103"/>
      <c r="E16" s="103"/>
      <c r="F16" s="103" t="s">
        <v>4</v>
      </c>
      <c r="G16" s="103" t="s">
        <v>5</v>
      </c>
      <c r="H16" s="103"/>
      <c r="I16" s="103"/>
      <c r="J16" s="103"/>
      <c r="K16" s="103"/>
      <c r="L16" s="103"/>
      <c r="M16" s="103" t="s">
        <v>6</v>
      </c>
      <c r="N16" s="103"/>
      <c r="O16" s="103"/>
      <c r="P16" s="103"/>
      <c r="Q16" s="103"/>
      <c r="R16" s="103"/>
      <c r="S16" s="103"/>
      <c r="T16" s="103"/>
      <c r="U16" s="95" t="s">
        <v>7</v>
      </c>
      <c r="V16" s="95" t="s">
        <v>8</v>
      </c>
    </row>
    <row r="17" spans="1:23" s="7" customFormat="1" ht="26.65" customHeight="1">
      <c r="A17" s="95"/>
      <c r="B17" s="95"/>
      <c r="C17" s="67" t="s">
        <v>9</v>
      </c>
      <c r="D17" s="67" t="s">
        <v>10</v>
      </c>
      <c r="E17" s="67" t="s">
        <v>11</v>
      </c>
      <c r="F17" s="103"/>
      <c r="G17" s="67" t="s">
        <v>12</v>
      </c>
      <c r="H17" s="67" t="s">
        <v>13</v>
      </c>
      <c r="I17" s="67" t="s">
        <v>14</v>
      </c>
      <c r="J17" s="67" t="s">
        <v>15</v>
      </c>
      <c r="K17" s="67" t="s">
        <v>16</v>
      </c>
      <c r="L17" s="67" t="s">
        <v>17</v>
      </c>
      <c r="M17" s="67" t="s">
        <v>18</v>
      </c>
      <c r="N17" s="67" t="s">
        <v>19</v>
      </c>
      <c r="O17" s="67" t="s">
        <v>20</v>
      </c>
      <c r="P17" s="67" t="s">
        <v>21</v>
      </c>
      <c r="Q17" s="67" t="s">
        <v>22</v>
      </c>
      <c r="R17" s="67" t="s">
        <v>23</v>
      </c>
      <c r="S17" s="67" t="s">
        <v>24</v>
      </c>
      <c r="T17" s="67" t="s">
        <v>25</v>
      </c>
      <c r="U17" s="95"/>
      <c r="V17" s="95"/>
    </row>
    <row r="18" spans="1:23" s="7" customFormat="1" ht="14.65" customHeight="1">
      <c r="A18" s="107" t="s">
        <v>26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</row>
    <row r="19" spans="1:23" s="48" customFormat="1" ht="18" customHeight="1">
      <c r="A19" s="55" t="s">
        <v>26</v>
      </c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6"/>
      <c r="V19" s="56"/>
      <c r="W19" s="47"/>
    </row>
    <row r="20" spans="1:23" s="48" customFormat="1" ht="12.2" customHeight="1">
      <c r="A20" s="43" t="s">
        <v>295</v>
      </c>
      <c r="B20" s="44">
        <v>60</v>
      </c>
      <c r="C20" s="45">
        <f>0.35*60/50</f>
        <v>0.42</v>
      </c>
      <c r="D20" s="45">
        <f>0.05*60/50</f>
        <v>0.06</v>
      </c>
      <c r="E20" s="45">
        <f>0.95*60/50</f>
        <v>1.1399999999999999</v>
      </c>
      <c r="F20" s="45">
        <f>6*60/50</f>
        <v>7.2</v>
      </c>
      <c r="G20" s="45">
        <v>0.02</v>
      </c>
      <c r="H20" s="45">
        <v>2.4500000000000002</v>
      </c>
      <c r="I20" s="45">
        <v>0</v>
      </c>
      <c r="J20" s="45">
        <v>0</v>
      </c>
      <c r="K20" s="45">
        <v>0</v>
      </c>
      <c r="L20" s="45">
        <v>0.01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6" t="s">
        <v>59</v>
      </c>
      <c r="V20" s="46" t="s">
        <v>29</v>
      </c>
      <c r="W20" s="47"/>
    </row>
    <row r="21" spans="1:23" s="48" customFormat="1" ht="12.2" customHeight="1">
      <c r="A21" s="43" t="s">
        <v>60</v>
      </c>
      <c r="B21" s="44">
        <v>150</v>
      </c>
      <c r="C21" s="49">
        <v>3.8</v>
      </c>
      <c r="D21" s="49">
        <v>4.3</v>
      </c>
      <c r="E21" s="49">
        <v>27.6</v>
      </c>
      <c r="F21" s="49">
        <v>142.5</v>
      </c>
      <c r="G21" s="50">
        <v>0.1</v>
      </c>
      <c r="H21" s="50">
        <v>0.21</v>
      </c>
      <c r="I21" s="50">
        <v>0.02</v>
      </c>
      <c r="J21" s="50">
        <v>1.36</v>
      </c>
      <c r="K21" s="50">
        <v>0.06</v>
      </c>
      <c r="L21" s="50">
        <v>0.04</v>
      </c>
      <c r="M21" s="50">
        <v>46.8</v>
      </c>
      <c r="N21" s="50">
        <v>23.36</v>
      </c>
      <c r="O21" s="50">
        <v>150.53</v>
      </c>
      <c r="P21" s="50">
        <v>0.95</v>
      </c>
      <c r="Q21" s="50">
        <v>107.94</v>
      </c>
      <c r="R21" s="50">
        <v>0.13</v>
      </c>
      <c r="S21" s="50">
        <v>0.04</v>
      </c>
      <c r="T21" s="50">
        <v>0.02</v>
      </c>
      <c r="U21" s="46" t="s">
        <v>140</v>
      </c>
      <c r="V21" s="46" t="s">
        <v>53</v>
      </c>
      <c r="W21" s="47"/>
    </row>
    <row r="22" spans="1:23" s="48" customFormat="1" ht="12.2" customHeight="1">
      <c r="A22" s="43" t="s">
        <v>61</v>
      </c>
      <c r="B22" s="44">
        <v>95</v>
      </c>
      <c r="C22" s="45">
        <f>4.59*95/46</f>
        <v>9.4793478260869559</v>
      </c>
      <c r="D22" s="45">
        <f>7.68*95/46</f>
        <v>15.860869565217392</v>
      </c>
      <c r="E22" s="45">
        <f>4.21*95/46</f>
        <v>8.6945652173913039</v>
      </c>
      <c r="F22" s="45">
        <f>105*95/46</f>
        <v>216.84782608695653</v>
      </c>
      <c r="G22" s="45">
        <f>0.07*95/46</f>
        <v>0.14456521739130435</v>
      </c>
      <c r="H22" s="45">
        <v>0.09</v>
      </c>
      <c r="I22" s="45">
        <f>21.4*95/46</f>
        <v>44.195652173913039</v>
      </c>
      <c r="J22" s="45">
        <v>2.69</v>
      </c>
      <c r="K22" s="45">
        <v>0.02</v>
      </c>
      <c r="L22" s="45">
        <f>0.04*95/46</f>
        <v>8.2608695652173922E-2</v>
      </c>
      <c r="M22" s="45">
        <f>8.09*95/46</f>
        <v>16.707608695652173</v>
      </c>
      <c r="N22" s="45">
        <f>8.22*95/46</f>
        <v>16.97608695652174</v>
      </c>
      <c r="O22" s="45">
        <f>54.96*95/46</f>
        <v>113.50434782608696</v>
      </c>
      <c r="P22" s="45">
        <f>0.88*95/46</f>
        <v>1.817391304347826</v>
      </c>
      <c r="Q22" s="45">
        <f>73.69*95/46</f>
        <v>152.18586956521739</v>
      </c>
      <c r="R22" s="45">
        <v>5.65</v>
      </c>
      <c r="S22" s="45">
        <v>0.04</v>
      </c>
      <c r="T22" s="45">
        <v>0</v>
      </c>
      <c r="U22" s="46" t="s">
        <v>62</v>
      </c>
      <c r="V22" s="46" t="s">
        <v>29</v>
      </c>
      <c r="W22" s="47"/>
    </row>
    <row r="23" spans="1:23" s="48" customFormat="1" ht="12.2" customHeight="1">
      <c r="A23" s="43" t="s">
        <v>287</v>
      </c>
      <c r="B23" s="44">
        <v>200</v>
      </c>
      <c r="C23" s="49">
        <v>1</v>
      </c>
      <c r="D23" s="49">
        <v>0</v>
      </c>
      <c r="E23" s="49">
        <v>20.2</v>
      </c>
      <c r="F23" s="49">
        <v>84.8</v>
      </c>
      <c r="G23" s="50">
        <v>0.03</v>
      </c>
      <c r="H23" s="50">
        <v>1.6</v>
      </c>
      <c r="I23" s="50">
        <v>0</v>
      </c>
      <c r="J23" s="50">
        <v>0</v>
      </c>
      <c r="K23" s="50">
        <v>0</v>
      </c>
      <c r="L23" s="50">
        <v>0.02</v>
      </c>
      <c r="M23" s="50">
        <v>36</v>
      </c>
      <c r="N23" s="50">
        <v>16.2</v>
      </c>
      <c r="O23" s="50">
        <v>21.6</v>
      </c>
      <c r="P23" s="50">
        <v>0.72</v>
      </c>
      <c r="Q23" s="50">
        <v>300</v>
      </c>
      <c r="R23" s="50">
        <v>12</v>
      </c>
      <c r="S23" s="50">
        <v>0</v>
      </c>
      <c r="T23" s="50">
        <v>0</v>
      </c>
      <c r="U23" s="46" t="s">
        <v>100</v>
      </c>
      <c r="V23" s="46">
        <v>2017</v>
      </c>
      <c r="W23" s="47"/>
    </row>
    <row r="24" spans="1:23" s="48" customFormat="1" ht="12.2" customHeight="1">
      <c r="A24" s="43" t="s">
        <v>51</v>
      </c>
      <c r="B24" s="44">
        <v>20</v>
      </c>
      <c r="C24" s="49">
        <v>1.53</v>
      </c>
      <c r="D24" s="49">
        <v>0.12</v>
      </c>
      <c r="E24" s="49">
        <v>10.039999999999999</v>
      </c>
      <c r="F24" s="49">
        <v>47.36</v>
      </c>
      <c r="G24" s="50">
        <v>0.03</v>
      </c>
      <c r="H24" s="50">
        <v>0</v>
      </c>
      <c r="I24" s="50">
        <v>0</v>
      </c>
      <c r="J24" s="50">
        <v>0.39</v>
      </c>
      <c r="K24" s="50">
        <v>0</v>
      </c>
      <c r="L24" s="50">
        <v>0.01</v>
      </c>
      <c r="M24" s="50">
        <v>4.5999999999999996</v>
      </c>
      <c r="N24" s="50">
        <v>6.6</v>
      </c>
      <c r="O24" s="50">
        <v>16.8</v>
      </c>
      <c r="P24" s="50">
        <v>0.4</v>
      </c>
      <c r="Q24" s="50">
        <v>25.8</v>
      </c>
      <c r="R24" s="50">
        <v>0</v>
      </c>
      <c r="S24" s="50">
        <v>0</v>
      </c>
      <c r="T24" s="50">
        <v>0</v>
      </c>
      <c r="U24" s="46" t="s">
        <v>223</v>
      </c>
      <c r="V24" s="46" t="s">
        <v>38</v>
      </c>
      <c r="W24" s="47"/>
    </row>
    <row r="25" spans="1:23" s="48" customFormat="1" ht="12.2" customHeight="1">
      <c r="A25" s="43" t="s">
        <v>37</v>
      </c>
      <c r="B25" s="44">
        <v>20</v>
      </c>
      <c r="C25" s="49">
        <v>1.1200000000000001</v>
      </c>
      <c r="D25" s="49">
        <v>0.22</v>
      </c>
      <c r="E25" s="49">
        <v>9.8800000000000008</v>
      </c>
      <c r="F25" s="49">
        <v>45.98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46" t="s">
        <v>223</v>
      </c>
      <c r="V25" s="46" t="s">
        <v>38</v>
      </c>
      <c r="W25" s="47"/>
    </row>
    <row r="26" spans="1:23" s="48" customFormat="1" ht="12.2" customHeight="1">
      <c r="A26" s="51" t="s">
        <v>39</v>
      </c>
      <c r="B26" s="52">
        <f t="shared" ref="B26:T26" si="1">SUM(B20:B25)</f>
        <v>545</v>
      </c>
      <c r="C26" s="53">
        <f t="shared" si="1"/>
        <v>17.349347826086959</v>
      </c>
      <c r="D26" s="53">
        <f t="shared" si="1"/>
        <v>20.560869565217391</v>
      </c>
      <c r="E26" s="53">
        <f t="shared" si="1"/>
        <v>77.554565217391314</v>
      </c>
      <c r="F26" s="53">
        <f t="shared" si="1"/>
        <v>544.68782608695653</v>
      </c>
      <c r="G26" s="53">
        <f t="shared" si="1"/>
        <v>0.32456521739130439</v>
      </c>
      <c r="H26" s="53">
        <f t="shared" si="1"/>
        <v>4.3499999999999996</v>
      </c>
      <c r="I26" s="53">
        <f t="shared" si="1"/>
        <v>44.215652173913043</v>
      </c>
      <c r="J26" s="53">
        <f t="shared" si="1"/>
        <v>4.4399999999999995</v>
      </c>
      <c r="K26" s="53">
        <f t="shared" si="1"/>
        <v>0.08</v>
      </c>
      <c r="L26" s="53">
        <f t="shared" si="1"/>
        <v>0.16260869565217392</v>
      </c>
      <c r="M26" s="53">
        <f t="shared" si="1"/>
        <v>104.10760869565216</v>
      </c>
      <c r="N26" s="53">
        <f t="shared" si="1"/>
        <v>63.136086956521744</v>
      </c>
      <c r="O26" s="53">
        <f t="shared" si="1"/>
        <v>302.43434782608699</v>
      </c>
      <c r="P26" s="53">
        <f t="shared" si="1"/>
        <v>3.8873913043478256</v>
      </c>
      <c r="Q26" s="53">
        <f t="shared" si="1"/>
        <v>585.92586956521734</v>
      </c>
      <c r="R26" s="53">
        <f t="shared" si="1"/>
        <v>17.78</v>
      </c>
      <c r="S26" s="53">
        <f t="shared" si="1"/>
        <v>0.08</v>
      </c>
      <c r="T26" s="53">
        <f t="shared" si="1"/>
        <v>0.02</v>
      </c>
      <c r="U26" s="54"/>
      <c r="V26" s="54"/>
      <c r="W26" s="47"/>
    </row>
    <row r="27" spans="1:23" s="7" customFormat="1" ht="28.35" customHeight="1">
      <c r="A27" s="104" t="s">
        <v>264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</row>
    <row r="28" spans="1:23" s="7" customFormat="1" ht="13.35" customHeight="1">
      <c r="A28" s="95" t="s">
        <v>1</v>
      </c>
      <c r="B28" s="95" t="s">
        <v>2</v>
      </c>
      <c r="C28" s="103" t="s">
        <v>3</v>
      </c>
      <c r="D28" s="103"/>
      <c r="E28" s="103"/>
      <c r="F28" s="103" t="s">
        <v>4</v>
      </c>
      <c r="G28" s="103" t="s">
        <v>5</v>
      </c>
      <c r="H28" s="103"/>
      <c r="I28" s="103"/>
      <c r="J28" s="103"/>
      <c r="K28" s="103"/>
      <c r="L28" s="103"/>
      <c r="M28" s="103" t="s">
        <v>6</v>
      </c>
      <c r="N28" s="103"/>
      <c r="O28" s="103"/>
      <c r="P28" s="103"/>
      <c r="Q28" s="103"/>
      <c r="R28" s="103"/>
      <c r="S28" s="103"/>
      <c r="T28" s="103"/>
      <c r="U28" s="95" t="s">
        <v>7</v>
      </c>
      <c r="V28" s="95" t="s">
        <v>8</v>
      </c>
    </row>
    <row r="29" spans="1:23" s="7" customFormat="1" ht="26.65" customHeight="1">
      <c r="A29" s="95"/>
      <c r="B29" s="95"/>
      <c r="C29" s="67" t="s">
        <v>9</v>
      </c>
      <c r="D29" s="67" t="s">
        <v>10</v>
      </c>
      <c r="E29" s="67" t="s">
        <v>11</v>
      </c>
      <c r="F29" s="103"/>
      <c r="G29" s="67" t="s">
        <v>12</v>
      </c>
      <c r="H29" s="67" t="s">
        <v>13</v>
      </c>
      <c r="I29" s="67" t="s">
        <v>14</v>
      </c>
      <c r="J29" s="67" t="s">
        <v>15</v>
      </c>
      <c r="K29" s="67" t="s">
        <v>16</v>
      </c>
      <c r="L29" s="67" t="s">
        <v>17</v>
      </c>
      <c r="M29" s="67" t="s">
        <v>18</v>
      </c>
      <c r="N29" s="67" t="s">
        <v>19</v>
      </c>
      <c r="O29" s="67" t="s">
        <v>20</v>
      </c>
      <c r="P29" s="67" t="s">
        <v>21</v>
      </c>
      <c r="Q29" s="67" t="s">
        <v>22</v>
      </c>
      <c r="R29" s="67" t="s">
        <v>23</v>
      </c>
      <c r="S29" s="67" t="s">
        <v>24</v>
      </c>
      <c r="T29" s="67" t="s">
        <v>25</v>
      </c>
      <c r="U29" s="95"/>
      <c r="V29" s="95"/>
    </row>
    <row r="30" spans="1:23" s="7" customFormat="1" ht="14.65" customHeight="1">
      <c r="A30" s="107" t="s">
        <v>26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</row>
    <row r="31" spans="1:23" s="48" customFormat="1" ht="12.2" customHeight="1">
      <c r="A31" s="43" t="s">
        <v>75</v>
      </c>
      <c r="B31" s="44">
        <v>60</v>
      </c>
      <c r="C31" s="45">
        <f>1.22*0.06</f>
        <v>7.3200000000000001E-2</v>
      </c>
      <c r="D31" s="45">
        <f>51.04*0.06</f>
        <v>3.0623999999999998</v>
      </c>
      <c r="E31" s="45">
        <f>111.65*0.06</f>
        <v>6.6989999999999998</v>
      </c>
      <c r="F31" s="45">
        <f>901*0.06</f>
        <v>54.059999999999995</v>
      </c>
      <c r="G31" s="45">
        <f>0.33*0.06</f>
        <v>1.9800000000000002E-2</v>
      </c>
      <c r="H31" s="45">
        <f>168.7*0.06</f>
        <v>10.121999999999998</v>
      </c>
      <c r="I31" s="45">
        <v>0</v>
      </c>
      <c r="J31" s="45">
        <v>1.45</v>
      </c>
      <c r="K31" s="45">
        <v>0</v>
      </c>
      <c r="L31" s="45">
        <f>0.34*0.06</f>
        <v>2.0400000000000001E-2</v>
      </c>
      <c r="M31" s="45">
        <f>334.88*0.06</f>
        <v>20.0928</v>
      </c>
      <c r="N31" s="45">
        <f>160.01*0.06</f>
        <v>9.6005999999999982</v>
      </c>
      <c r="O31" s="45">
        <f>293.47*0.06</f>
        <v>17.6082</v>
      </c>
      <c r="P31" s="45">
        <f>9.78*0.06</f>
        <v>0.58679999999999999</v>
      </c>
      <c r="Q31" s="45">
        <f>2431*0.06</f>
        <v>145.85999999999999</v>
      </c>
      <c r="R31" s="45">
        <v>1.7</v>
      </c>
      <c r="S31" s="45">
        <v>0.01</v>
      </c>
      <c r="T31" s="45">
        <v>0</v>
      </c>
      <c r="U31" s="46" t="s">
        <v>76</v>
      </c>
      <c r="V31" s="46">
        <v>2017</v>
      </c>
      <c r="W31" s="47"/>
    </row>
    <row r="32" spans="1:23" s="48" customFormat="1" ht="12.2" customHeight="1">
      <c r="A32" s="43" t="s">
        <v>77</v>
      </c>
      <c r="B32" s="44">
        <v>200</v>
      </c>
      <c r="C32" s="45">
        <v>15.2</v>
      </c>
      <c r="D32" s="45">
        <v>16.100000000000001</v>
      </c>
      <c r="E32" s="45">
        <v>23.3</v>
      </c>
      <c r="F32" s="49">
        <v>307.39999999999998</v>
      </c>
      <c r="G32" s="50">
        <v>0.23</v>
      </c>
      <c r="H32" s="50">
        <v>16.96</v>
      </c>
      <c r="I32" s="50">
        <v>4.32</v>
      </c>
      <c r="J32" s="50">
        <v>6.32</v>
      </c>
      <c r="K32" s="50">
        <v>0</v>
      </c>
      <c r="L32" s="50">
        <v>1.04</v>
      </c>
      <c r="M32" s="50">
        <v>135.96</v>
      </c>
      <c r="N32" s="50">
        <v>46.64</v>
      </c>
      <c r="O32" s="50">
        <v>287.91000000000003</v>
      </c>
      <c r="P32" s="50">
        <v>4.88</v>
      </c>
      <c r="Q32" s="50">
        <v>815.11</v>
      </c>
      <c r="R32" s="50">
        <v>12.11</v>
      </c>
      <c r="S32" s="50">
        <v>0.16</v>
      </c>
      <c r="T32" s="50">
        <v>0.02</v>
      </c>
      <c r="U32" s="46" t="s">
        <v>207</v>
      </c>
      <c r="V32" s="46" t="s">
        <v>53</v>
      </c>
      <c r="W32" s="47"/>
    </row>
    <row r="33" spans="1:23" s="48" customFormat="1" ht="12.2" customHeight="1">
      <c r="A33" s="43" t="s">
        <v>78</v>
      </c>
      <c r="B33" s="44">
        <v>200</v>
      </c>
      <c r="C33" s="45">
        <v>0.59</v>
      </c>
      <c r="D33" s="45">
        <f>0.45*0.18</f>
        <v>8.1000000000000003E-2</v>
      </c>
      <c r="E33" s="45">
        <v>28.92</v>
      </c>
      <c r="F33" s="45">
        <v>119.52</v>
      </c>
      <c r="G33" s="45">
        <f>0.02*0.18</f>
        <v>3.5999999999999999E-3</v>
      </c>
      <c r="H33" s="45">
        <f>3.63*0.18</f>
        <v>0.65339999999999998</v>
      </c>
      <c r="I33" s="45">
        <v>0</v>
      </c>
      <c r="J33" s="45">
        <v>0</v>
      </c>
      <c r="K33" s="45">
        <v>0</v>
      </c>
      <c r="L33" s="45">
        <v>0</v>
      </c>
      <c r="M33" s="45">
        <f>162.4*0.18</f>
        <v>29.231999999999999</v>
      </c>
      <c r="N33" s="45">
        <f>87.3*0.18</f>
        <v>15.713999999999999</v>
      </c>
      <c r="O33" s="45">
        <f>117.2*0.18</f>
        <v>21.096</v>
      </c>
      <c r="P33" s="45">
        <f>3.49*0.18</f>
        <v>0.62819999999999998</v>
      </c>
      <c r="Q33" s="45">
        <f>1149*0.18</f>
        <v>206.82</v>
      </c>
      <c r="R33" s="45">
        <v>0</v>
      </c>
      <c r="S33" s="45">
        <v>0</v>
      </c>
      <c r="T33" s="45">
        <v>0</v>
      </c>
      <c r="U33" s="58" t="s">
        <v>79</v>
      </c>
      <c r="V33" s="46" t="s">
        <v>29</v>
      </c>
      <c r="W33" s="47"/>
    </row>
    <row r="34" spans="1:23" s="48" customFormat="1" ht="12.2" customHeight="1">
      <c r="A34" s="43" t="s">
        <v>51</v>
      </c>
      <c r="B34" s="44">
        <v>20</v>
      </c>
      <c r="C34" s="49">
        <v>1.53</v>
      </c>
      <c r="D34" s="49">
        <v>0.12</v>
      </c>
      <c r="E34" s="49">
        <v>10.039999999999999</v>
      </c>
      <c r="F34" s="49">
        <v>47.36</v>
      </c>
      <c r="G34" s="50">
        <v>0.03</v>
      </c>
      <c r="H34" s="50">
        <v>0</v>
      </c>
      <c r="I34" s="50">
        <v>0</v>
      </c>
      <c r="J34" s="50">
        <v>0.39</v>
      </c>
      <c r="K34" s="50">
        <v>0</v>
      </c>
      <c r="L34" s="50">
        <v>0.01</v>
      </c>
      <c r="M34" s="50">
        <v>4.5999999999999996</v>
      </c>
      <c r="N34" s="50">
        <v>6.6</v>
      </c>
      <c r="O34" s="50">
        <v>16.8</v>
      </c>
      <c r="P34" s="50">
        <v>0.4</v>
      </c>
      <c r="Q34" s="50">
        <v>25.8</v>
      </c>
      <c r="R34" s="50">
        <v>0</v>
      </c>
      <c r="S34" s="50">
        <v>0</v>
      </c>
      <c r="T34" s="50">
        <v>0</v>
      </c>
      <c r="U34" s="46" t="s">
        <v>223</v>
      </c>
      <c r="V34" s="46" t="s">
        <v>38</v>
      </c>
      <c r="W34" s="47"/>
    </row>
    <row r="35" spans="1:23" s="48" customFormat="1" ht="12.2" customHeight="1">
      <c r="A35" s="43" t="s">
        <v>37</v>
      </c>
      <c r="B35" s="44">
        <v>20</v>
      </c>
      <c r="C35" s="49">
        <v>1.1200000000000001</v>
      </c>
      <c r="D35" s="49">
        <v>0.22</v>
      </c>
      <c r="E35" s="49">
        <v>9.8800000000000008</v>
      </c>
      <c r="F35" s="49">
        <v>45.98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46" t="s">
        <v>223</v>
      </c>
      <c r="V35" s="46" t="s">
        <v>38</v>
      </c>
      <c r="W35" s="47"/>
    </row>
    <row r="36" spans="1:23" s="48" customFormat="1" ht="12.2" customHeight="1">
      <c r="A36" s="51" t="s">
        <v>39</v>
      </c>
      <c r="B36" s="52">
        <f>SUM(B31:B35)</f>
        <v>500</v>
      </c>
      <c r="C36" s="53">
        <f t="shared" ref="C36:T36" si="2">SUM(C31:C35)</f>
        <v>18.513200000000001</v>
      </c>
      <c r="D36" s="53">
        <f t="shared" si="2"/>
        <v>19.583400000000001</v>
      </c>
      <c r="E36" s="53">
        <f t="shared" si="2"/>
        <v>78.838999999999999</v>
      </c>
      <c r="F36" s="53">
        <f t="shared" si="2"/>
        <v>574.31999999999994</v>
      </c>
      <c r="G36" s="53">
        <f t="shared" si="2"/>
        <v>0.28339999999999999</v>
      </c>
      <c r="H36" s="53">
        <f t="shared" si="2"/>
        <v>27.735400000000002</v>
      </c>
      <c r="I36" s="53">
        <f t="shared" si="2"/>
        <v>4.32</v>
      </c>
      <c r="J36" s="53">
        <f t="shared" si="2"/>
        <v>8.16</v>
      </c>
      <c r="K36" s="53">
        <f t="shared" si="2"/>
        <v>0</v>
      </c>
      <c r="L36" s="53">
        <f t="shared" si="2"/>
        <v>1.0704</v>
      </c>
      <c r="M36" s="53">
        <f t="shared" si="2"/>
        <v>189.88480000000001</v>
      </c>
      <c r="N36" s="53">
        <f t="shared" si="2"/>
        <v>78.554599999999994</v>
      </c>
      <c r="O36" s="53">
        <f t="shared" si="2"/>
        <v>343.41420000000005</v>
      </c>
      <c r="P36" s="53">
        <f t="shared" si="2"/>
        <v>6.4950000000000001</v>
      </c>
      <c r="Q36" s="53">
        <f t="shared" si="2"/>
        <v>1193.5899999999999</v>
      </c>
      <c r="R36" s="53">
        <f t="shared" si="2"/>
        <v>13.809999999999999</v>
      </c>
      <c r="S36" s="53">
        <f t="shared" si="2"/>
        <v>0.17</v>
      </c>
      <c r="T36" s="53">
        <f t="shared" si="2"/>
        <v>0.02</v>
      </c>
      <c r="U36" s="54"/>
      <c r="V36" s="54"/>
      <c r="W36" s="47"/>
    </row>
    <row r="37" spans="1:23" s="7" customFormat="1" ht="28.35" customHeight="1">
      <c r="A37" s="104" t="s">
        <v>265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</row>
    <row r="38" spans="1:23" s="7" customFormat="1" ht="13.35" customHeight="1">
      <c r="A38" s="95" t="s">
        <v>1</v>
      </c>
      <c r="B38" s="95" t="s">
        <v>2</v>
      </c>
      <c r="C38" s="103" t="s">
        <v>3</v>
      </c>
      <c r="D38" s="103"/>
      <c r="E38" s="103"/>
      <c r="F38" s="103" t="s">
        <v>4</v>
      </c>
      <c r="G38" s="103" t="s">
        <v>5</v>
      </c>
      <c r="H38" s="103"/>
      <c r="I38" s="103"/>
      <c r="J38" s="103"/>
      <c r="K38" s="103"/>
      <c r="L38" s="103"/>
      <c r="M38" s="103" t="s">
        <v>6</v>
      </c>
      <c r="N38" s="103"/>
      <c r="O38" s="103"/>
      <c r="P38" s="103"/>
      <c r="Q38" s="103"/>
      <c r="R38" s="103"/>
      <c r="S38" s="103"/>
      <c r="T38" s="103"/>
      <c r="U38" s="95" t="s">
        <v>7</v>
      </c>
      <c r="V38" s="95" t="s">
        <v>8</v>
      </c>
    </row>
    <row r="39" spans="1:23" s="7" customFormat="1" ht="26.65" customHeight="1">
      <c r="A39" s="95"/>
      <c r="B39" s="95"/>
      <c r="C39" s="67" t="s">
        <v>9</v>
      </c>
      <c r="D39" s="67" t="s">
        <v>10</v>
      </c>
      <c r="E39" s="67" t="s">
        <v>11</v>
      </c>
      <c r="F39" s="103"/>
      <c r="G39" s="67" t="s">
        <v>12</v>
      </c>
      <c r="H39" s="67" t="s">
        <v>13</v>
      </c>
      <c r="I39" s="67" t="s">
        <v>14</v>
      </c>
      <c r="J39" s="67" t="s">
        <v>15</v>
      </c>
      <c r="K39" s="67" t="s">
        <v>16</v>
      </c>
      <c r="L39" s="67" t="s">
        <v>17</v>
      </c>
      <c r="M39" s="67" t="s">
        <v>18</v>
      </c>
      <c r="N39" s="67" t="s">
        <v>19</v>
      </c>
      <c r="O39" s="67" t="s">
        <v>20</v>
      </c>
      <c r="P39" s="67" t="s">
        <v>21</v>
      </c>
      <c r="Q39" s="67" t="s">
        <v>22</v>
      </c>
      <c r="R39" s="67" t="s">
        <v>23</v>
      </c>
      <c r="S39" s="67" t="s">
        <v>24</v>
      </c>
      <c r="T39" s="67" t="s">
        <v>25</v>
      </c>
      <c r="U39" s="95"/>
      <c r="V39" s="95"/>
    </row>
    <row r="40" spans="1:23" s="7" customFormat="1" ht="14.65" customHeight="1">
      <c r="A40" s="107" t="s">
        <v>26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</row>
    <row r="41" spans="1:23" s="48" customFormat="1" ht="12.2" customHeight="1">
      <c r="A41" s="43" t="s">
        <v>297</v>
      </c>
      <c r="B41" s="44">
        <v>120</v>
      </c>
      <c r="C41" s="45">
        <f>0.4*120/100</f>
        <v>0.48</v>
      </c>
      <c r="D41" s="45">
        <v>0.48</v>
      </c>
      <c r="E41" s="45">
        <v>9.8000000000000007</v>
      </c>
      <c r="F41" s="45">
        <v>47</v>
      </c>
      <c r="G41" s="45">
        <v>0.03</v>
      </c>
      <c r="H41" s="45">
        <v>10</v>
      </c>
      <c r="I41" s="45">
        <v>0.01</v>
      </c>
      <c r="J41" s="45">
        <v>0.63</v>
      </c>
      <c r="K41" s="45">
        <v>0</v>
      </c>
      <c r="L41" s="45">
        <v>0.02</v>
      </c>
      <c r="M41" s="45">
        <v>16</v>
      </c>
      <c r="N41" s="45">
        <v>8</v>
      </c>
      <c r="O41" s="45">
        <v>11</v>
      </c>
      <c r="P41" s="45">
        <v>2.2000000000000002</v>
      </c>
      <c r="Q41" s="45">
        <v>278</v>
      </c>
      <c r="R41" s="45">
        <v>2</v>
      </c>
      <c r="S41" s="45">
        <v>0.01</v>
      </c>
      <c r="T41" s="45">
        <v>0</v>
      </c>
      <c r="U41" s="46" t="s">
        <v>36</v>
      </c>
      <c r="V41" s="46" t="s">
        <v>29</v>
      </c>
      <c r="W41" s="47"/>
    </row>
    <row r="42" spans="1:23" s="48" customFormat="1" ht="12.2" customHeight="1">
      <c r="A42" s="43" t="s">
        <v>257</v>
      </c>
      <c r="B42" s="44">
        <v>160</v>
      </c>
      <c r="C42" s="45">
        <v>10.76</v>
      </c>
      <c r="D42" s="45">
        <v>14.48</v>
      </c>
      <c r="E42" s="45">
        <v>29.7</v>
      </c>
      <c r="F42" s="45">
        <f>138*150/80</f>
        <v>258.75</v>
      </c>
      <c r="G42" s="45">
        <f>0.036*150/80</f>
        <v>6.7499999999999991E-2</v>
      </c>
      <c r="H42" s="45">
        <f>0.63*150/80</f>
        <v>1.1812499999999999</v>
      </c>
      <c r="I42" s="45">
        <f>22.1*150/80</f>
        <v>41.4375</v>
      </c>
      <c r="J42" s="45">
        <v>0.42</v>
      </c>
      <c r="K42" s="45">
        <v>0.19</v>
      </c>
      <c r="L42" s="45">
        <f>0.101*150/80</f>
        <v>0.18937500000000002</v>
      </c>
      <c r="M42" s="45">
        <f>61.29*150/80</f>
        <v>114.91875</v>
      </c>
      <c r="N42" s="45">
        <f>12.68*150/80</f>
        <v>23.774999999999999</v>
      </c>
      <c r="O42" s="45">
        <f>80.7*150/80</f>
        <v>151.3125</v>
      </c>
      <c r="P42" s="45">
        <f>0.59*150/80</f>
        <v>1.10625</v>
      </c>
      <c r="Q42" s="45">
        <f>91.8*150/80</f>
        <v>172.125</v>
      </c>
      <c r="R42" s="45">
        <v>1.51</v>
      </c>
      <c r="S42" s="45">
        <v>0.04</v>
      </c>
      <c r="T42" s="45">
        <v>0.03</v>
      </c>
      <c r="U42" s="46" t="s">
        <v>248</v>
      </c>
      <c r="V42" s="46">
        <v>2023</v>
      </c>
      <c r="W42" s="47"/>
    </row>
    <row r="43" spans="1:23" s="48" customFormat="1" ht="12.2" customHeight="1">
      <c r="A43" s="43" t="s">
        <v>296</v>
      </c>
      <c r="B43" s="44">
        <v>200</v>
      </c>
      <c r="C43" s="45">
        <v>5.8</v>
      </c>
      <c r="D43" s="45">
        <v>5</v>
      </c>
      <c r="E43" s="45">
        <v>8</v>
      </c>
      <c r="F43" s="45">
        <v>106</v>
      </c>
      <c r="G43" s="45">
        <v>0.08</v>
      </c>
      <c r="H43" s="45">
        <v>1.4</v>
      </c>
      <c r="I43" s="45">
        <v>0.05</v>
      </c>
      <c r="J43" s="45">
        <v>0.14000000000000001</v>
      </c>
      <c r="K43" s="45">
        <v>0</v>
      </c>
      <c r="L43" s="45">
        <v>0.34</v>
      </c>
      <c r="M43" s="45">
        <v>240</v>
      </c>
      <c r="N43" s="45">
        <v>28</v>
      </c>
      <c r="O43" s="45">
        <v>190</v>
      </c>
      <c r="P43" s="45">
        <v>0.2</v>
      </c>
      <c r="Q43" s="45">
        <v>292</v>
      </c>
      <c r="R43" s="45">
        <v>18</v>
      </c>
      <c r="S43" s="45">
        <v>0.04</v>
      </c>
      <c r="T43" s="45">
        <v>0</v>
      </c>
      <c r="U43" s="46" t="s">
        <v>55</v>
      </c>
      <c r="V43" s="46" t="s">
        <v>29</v>
      </c>
      <c r="W43" s="47"/>
    </row>
    <row r="44" spans="1:23" s="48" customFormat="1" ht="12.2" customHeight="1">
      <c r="A44" s="43" t="s">
        <v>51</v>
      </c>
      <c r="B44" s="44">
        <v>30</v>
      </c>
      <c r="C44" s="45">
        <v>2.2999999999999998</v>
      </c>
      <c r="D44" s="45">
        <v>0.19</v>
      </c>
      <c r="E44" s="45">
        <v>15.05</v>
      </c>
      <c r="F44" s="45">
        <v>71.05</v>
      </c>
      <c r="G44" s="45">
        <v>0.05</v>
      </c>
      <c r="H44" s="45">
        <v>0</v>
      </c>
      <c r="I44" s="45">
        <v>0</v>
      </c>
      <c r="J44" s="45">
        <v>0.59</v>
      </c>
      <c r="K44" s="45">
        <v>0</v>
      </c>
      <c r="L44" s="45">
        <v>0.02</v>
      </c>
      <c r="M44" s="45">
        <v>6.9</v>
      </c>
      <c r="N44" s="45">
        <v>9.9</v>
      </c>
      <c r="O44" s="45">
        <v>25.2</v>
      </c>
      <c r="P44" s="45">
        <v>0.6</v>
      </c>
      <c r="Q44" s="45">
        <v>38.700000000000003</v>
      </c>
      <c r="R44" s="45">
        <v>0</v>
      </c>
      <c r="S44" s="45">
        <v>0</v>
      </c>
      <c r="T44" s="45">
        <v>0</v>
      </c>
      <c r="U44" s="46" t="s">
        <v>223</v>
      </c>
      <c r="V44" s="46" t="s">
        <v>38</v>
      </c>
      <c r="W44" s="47"/>
    </row>
    <row r="45" spans="1:23" s="48" customFormat="1" ht="12.2" customHeight="1">
      <c r="A45" s="43" t="s">
        <v>37</v>
      </c>
      <c r="B45" s="44">
        <v>20</v>
      </c>
      <c r="C45" s="49">
        <v>1.1200000000000001</v>
      </c>
      <c r="D45" s="49">
        <v>0.22</v>
      </c>
      <c r="E45" s="49">
        <v>9.8800000000000008</v>
      </c>
      <c r="F45" s="49">
        <v>45.98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46" t="s">
        <v>223</v>
      </c>
      <c r="V45" s="46" t="s">
        <v>38</v>
      </c>
      <c r="W45" s="47"/>
    </row>
    <row r="46" spans="1:23" s="48" customFormat="1" ht="12.2" customHeight="1">
      <c r="A46" s="51" t="s">
        <v>39</v>
      </c>
      <c r="B46" s="52">
        <f t="shared" ref="B46:T46" si="3">SUM(B41:B45)</f>
        <v>530</v>
      </c>
      <c r="C46" s="53">
        <f t="shared" si="3"/>
        <v>20.46</v>
      </c>
      <c r="D46" s="53">
        <f t="shared" si="3"/>
        <v>20.37</v>
      </c>
      <c r="E46" s="53">
        <f t="shared" si="3"/>
        <v>72.429999999999993</v>
      </c>
      <c r="F46" s="53">
        <f t="shared" si="3"/>
        <v>528.78</v>
      </c>
      <c r="G46" s="53">
        <f t="shared" si="3"/>
        <v>0.22749999999999998</v>
      </c>
      <c r="H46" s="53">
        <f t="shared" si="3"/>
        <v>12.581250000000001</v>
      </c>
      <c r="I46" s="53">
        <f t="shared" si="3"/>
        <v>41.497499999999995</v>
      </c>
      <c r="J46" s="53">
        <f t="shared" si="3"/>
        <v>1.7799999999999998</v>
      </c>
      <c r="K46" s="53">
        <f t="shared" si="3"/>
        <v>0.19</v>
      </c>
      <c r="L46" s="53">
        <f t="shared" si="3"/>
        <v>0.56937500000000008</v>
      </c>
      <c r="M46" s="53">
        <f t="shared" si="3"/>
        <v>377.81874999999997</v>
      </c>
      <c r="N46" s="53">
        <f t="shared" si="3"/>
        <v>69.674999999999997</v>
      </c>
      <c r="O46" s="53">
        <f t="shared" si="3"/>
        <v>377.51249999999999</v>
      </c>
      <c r="P46" s="53">
        <f t="shared" si="3"/>
        <v>4.1062500000000002</v>
      </c>
      <c r="Q46" s="53">
        <f t="shared" si="3"/>
        <v>780.82500000000005</v>
      </c>
      <c r="R46" s="53">
        <f t="shared" si="3"/>
        <v>21.509999999999998</v>
      </c>
      <c r="S46" s="53">
        <f t="shared" si="3"/>
        <v>0.09</v>
      </c>
      <c r="T46" s="53">
        <f t="shared" si="3"/>
        <v>0.03</v>
      </c>
      <c r="U46" s="54"/>
      <c r="V46" s="54"/>
      <c r="W46" s="47"/>
    </row>
    <row r="47" spans="1:23" s="7" customFormat="1" ht="28.35" customHeight="1">
      <c r="A47" s="104" t="s">
        <v>266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</row>
    <row r="48" spans="1:23" s="7" customFormat="1" ht="13.35" customHeight="1">
      <c r="A48" s="95" t="s">
        <v>1</v>
      </c>
      <c r="B48" s="95" t="s">
        <v>2</v>
      </c>
      <c r="C48" s="103" t="s">
        <v>3</v>
      </c>
      <c r="D48" s="103"/>
      <c r="E48" s="103"/>
      <c r="F48" s="103" t="s">
        <v>4</v>
      </c>
      <c r="G48" s="103" t="s">
        <v>5</v>
      </c>
      <c r="H48" s="103"/>
      <c r="I48" s="103"/>
      <c r="J48" s="103"/>
      <c r="K48" s="103"/>
      <c r="L48" s="103"/>
      <c r="M48" s="103" t="s">
        <v>6</v>
      </c>
      <c r="N48" s="103"/>
      <c r="O48" s="103"/>
      <c r="P48" s="103"/>
      <c r="Q48" s="103"/>
      <c r="R48" s="103"/>
      <c r="S48" s="103"/>
      <c r="T48" s="103"/>
      <c r="U48" s="95" t="s">
        <v>7</v>
      </c>
      <c r="V48" s="95" t="s">
        <v>8</v>
      </c>
    </row>
    <row r="49" spans="1:23" s="7" customFormat="1" ht="26.65" customHeight="1">
      <c r="A49" s="95"/>
      <c r="B49" s="95"/>
      <c r="C49" s="67" t="s">
        <v>9</v>
      </c>
      <c r="D49" s="67" t="s">
        <v>10</v>
      </c>
      <c r="E49" s="67" t="s">
        <v>11</v>
      </c>
      <c r="F49" s="103"/>
      <c r="G49" s="67" t="s">
        <v>12</v>
      </c>
      <c r="H49" s="67" t="s">
        <v>13</v>
      </c>
      <c r="I49" s="67" t="s">
        <v>14</v>
      </c>
      <c r="J49" s="67" t="s">
        <v>15</v>
      </c>
      <c r="K49" s="67" t="s">
        <v>16</v>
      </c>
      <c r="L49" s="67" t="s">
        <v>17</v>
      </c>
      <c r="M49" s="67" t="s">
        <v>18</v>
      </c>
      <c r="N49" s="67" t="s">
        <v>19</v>
      </c>
      <c r="O49" s="67" t="s">
        <v>20</v>
      </c>
      <c r="P49" s="67" t="s">
        <v>21</v>
      </c>
      <c r="Q49" s="67" t="s">
        <v>22</v>
      </c>
      <c r="R49" s="67" t="s">
        <v>23</v>
      </c>
      <c r="S49" s="67" t="s">
        <v>24</v>
      </c>
      <c r="T49" s="67" t="s">
        <v>25</v>
      </c>
      <c r="U49" s="95"/>
      <c r="V49" s="95"/>
    </row>
    <row r="50" spans="1:23" s="7" customFormat="1" ht="14.65" customHeight="1">
      <c r="A50" s="107" t="s">
        <v>26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</row>
    <row r="51" spans="1:23" s="48" customFormat="1" ht="14.65" customHeight="1">
      <c r="A51" s="55" t="s">
        <v>26</v>
      </c>
      <c r="B51" s="56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6"/>
      <c r="V51" s="56"/>
      <c r="W51" s="47"/>
    </row>
    <row r="52" spans="1:23" s="48" customFormat="1" ht="12.2" customHeight="1">
      <c r="A52" s="43" t="s">
        <v>298</v>
      </c>
      <c r="B52" s="44">
        <v>60</v>
      </c>
      <c r="C52" s="45">
        <v>0.67</v>
      </c>
      <c r="D52" s="45">
        <v>0.12</v>
      </c>
      <c r="E52" s="45">
        <v>2.2799999999999998</v>
      </c>
      <c r="F52" s="45">
        <v>13.2</v>
      </c>
      <c r="G52" s="45">
        <v>0.02</v>
      </c>
      <c r="H52" s="45">
        <v>2.4500000000000002</v>
      </c>
      <c r="I52" s="45">
        <v>0</v>
      </c>
      <c r="J52" s="45">
        <v>0</v>
      </c>
      <c r="K52" s="45">
        <v>0</v>
      </c>
      <c r="L52" s="45">
        <v>0.01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6">
        <v>71</v>
      </c>
      <c r="V52" s="46" t="s">
        <v>29</v>
      </c>
      <c r="W52" s="47"/>
    </row>
    <row r="53" spans="1:23" s="48" customFormat="1" ht="12.2" customHeight="1">
      <c r="A53" s="43" t="s">
        <v>45</v>
      </c>
      <c r="B53" s="44">
        <v>150</v>
      </c>
      <c r="C53" s="45">
        <f>20.43*0.15</f>
        <v>3.0644999999999998</v>
      </c>
      <c r="D53" s="45">
        <f>32.01*0.15</f>
        <v>4.8014999999999999</v>
      </c>
      <c r="E53" s="45">
        <f>136*0.15</f>
        <v>20.399999999999999</v>
      </c>
      <c r="F53" s="45">
        <f>915*0.15</f>
        <v>137.25</v>
      </c>
      <c r="G53" s="45">
        <f>0.93*0.15</f>
        <v>0.13950000000000001</v>
      </c>
      <c r="H53" s="45">
        <v>8.33</v>
      </c>
      <c r="I53" s="45">
        <v>0.03</v>
      </c>
      <c r="J53" s="45">
        <v>0.22</v>
      </c>
      <c r="K53" s="45">
        <v>0.08</v>
      </c>
      <c r="L53" s="45">
        <f>0.74*0.15</f>
        <v>0.111</v>
      </c>
      <c r="M53" s="45">
        <f>246.5*0.15</f>
        <v>36.975000000000001</v>
      </c>
      <c r="N53" s="45">
        <v>25.06</v>
      </c>
      <c r="O53" s="45">
        <f>577.3*0.15</f>
        <v>86.594999999999985</v>
      </c>
      <c r="P53" s="45">
        <v>1</v>
      </c>
      <c r="Q53" s="45">
        <f>4323*0.15</f>
        <v>648.44999999999993</v>
      </c>
      <c r="R53" s="45">
        <v>7.26</v>
      </c>
      <c r="S53" s="45">
        <v>0.03</v>
      </c>
      <c r="T53" s="45">
        <v>0</v>
      </c>
      <c r="U53" s="46" t="s">
        <v>46</v>
      </c>
      <c r="V53" s="46" t="s">
        <v>29</v>
      </c>
      <c r="W53" s="47"/>
    </row>
    <row r="54" spans="1:23" s="48" customFormat="1" ht="12.2" customHeight="1">
      <c r="A54" s="43" t="s">
        <v>244</v>
      </c>
      <c r="B54" s="44">
        <v>105</v>
      </c>
      <c r="C54" s="45">
        <f>7.61*105/80</f>
        <v>9.9881250000000001</v>
      </c>
      <c r="D54" s="45">
        <f>8.44*105/80</f>
        <v>11.077499999999999</v>
      </c>
      <c r="E54" s="45">
        <f>9.41*105/80</f>
        <v>12.350625000000001</v>
      </c>
      <c r="F54" s="45">
        <f>122*105/80</f>
        <v>160.125</v>
      </c>
      <c r="G54" s="45">
        <f>0.06*105/80</f>
        <v>7.8750000000000001E-2</v>
      </c>
      <c r="H54" s="45">
        <f>1.15*105/80</f>
        <v>1.5093749999999999</v>
      </c>
      <c r="I54" s="45">
        <f>14.8*105/80</f>
        <v>19.425000000000001</v>
      </c>
      <c r="J54" s="45">
        <v>3.41</v>
      </c>
      <c r="K54" s="45">
        <v>0</v>
      </c>
      <c r="L54" s="45">
        <f>0.05*105/80</f>
        <v>6.5625000000000003E-2</v>
      </c>
      <c r="M54" s="45">
        <f>51.05*105/80</f>
        <v>67.003124999999997</v>
      </c>
      <c r="N54" s="45">
        <f>16.28*105/80</f>
        <v>21.3675</v>
      </c>
      <c r="O54" s="45">
        <f>97.9*105/80</f>
        <v>128.49375000000001</v>
      </c>
      <c r="P54" s="45">
        <f>0.5*105/80</f>
        <v>0.65625</v>
      </c>
      <c r="Q54" s="45">
        <f>165.33*105/80</f>
        <v>216.99562500000002</v>
      </c>
      <c r="R54" s="45">
        <v>95.52</v>
      </c>
      <c r="S54" s="45">
        <v>0.4</v>
      </c>
      <c r="T54" s="45">
        <v>0.01</v>
      </c>
      <c r="U54" s="46" t="s">
        <v>245</v>
      </c>
      <c r="V54" s="46">
        <v>2017</v>
      </c>
      <c r="W54" s="47"/>
    </row>
    <row r="55" spans="1:23" s="48" customFormat="1" ht="12.2" customHeight="1">
      <c r="A55" s="43" t="s">
        <v>70</v>
      </c>
      <c r="B55" s="44">
        <v>180</v>
      </c>
      <c r="C55" s="49">
        <v>0.14000000000000001</v>
      </c>
      <c r="D55" s="49">
        <v>0.14000000000000001</v>
      </c>
      <c r="E55" s="49">
        <v>25.09</v>
      </c>
      <c r="F55" s="49">
        <v>103.14</v>
      </c>
      <c r="G55" s="50">
        <v>0.01</v>
      </c>
      <c r="H55" s="50">
        <v>1.44</v>
      </c>
      <c r="I55" s="50">
        <v>0</v>
      </c>
      <c r="J55" s="50">
        <v>0.23</v>
      </c>
      <c r="K55" s="50">
        <v>0</v>
      </c>
      <c r="L55" s="50">
        <v>0.01</v>
      </c>
      <c r="M55" s="50">
        <v>11.84</v>
      </c>
      <c r="N55" s="50">
        <v>3.99</v>
      </c>
      <c r="O55" s="50">
        <v>3.56</v>
      </c>
      <c r="P55" s="50">
        <v>0.71</v>
      </c>
      <c r="Q55" s="50">
        <v>101.19</v>
      </c>
      <c r="R55" s="50">
        <v>0.72</v>
      </c>
      <c r="S55" s="50">
        <v>0</v>
      </c>
      <c r="T55" s="50">
        <v>0</v>
      </c>
      <c r="U55" s="46" t="s">
        <v>71</v>
      </c>
      <c r="V55" s="46">
        <v>2017</v>
      </c>
      <c r="W55" s="47"/>
    </row>
    <row r="56" spans="1:23" s="48" customFormat="1" ht="12.2" customHeight="1">
      <c r="A56" s="43" t="s">
        <v>51</v>
      </c>
      <c r="B56" s="44">
        <v>30</v>
      </c>
      <c r="C56" s="45">
        <v>2.2999999999999998</v>
      </c>
      <c r="D56" s="45">
        <v>0.19</v>
      </c>
      <c r="E56" s="45">
        <v>15.05</v>
      </c>
      <c r="F56" s="45">
        <v>71.05</v>
      </c>
      <c r="G56" s="45">
        <v>0.05</v>
      </c>
      <c r="H56" s="45">
        <v>0</v>
      </c>
      <c r="I56" s="45">
        <v>0</v>
      </c>
      <c r="J56" s="45">
        <v>0.59</v>
      </c>
      <c r="K56" s="45">
        <v>0</v>
      </c>
      <c r="L56" s="45">
        <v>0.02</v>
      </c>
      <c r="M56" s="45">
        <v>6.9</v>
      </c>
      <c r="N56" s="45">
        <v>9.9</v>
      </c>
      <c r="O56" s="45">
        <v>25.2</v>
      </c>
      <c r="P56" s="45">
        <v>0.6</v>
      </c>
      <c r="Q56" s="45">
        <v>38.700000000000003</v>
      </c>
      <c r="R56" s="45">
        <v>0</v>
      </c>
      <c r="S56" s="45">
        <v>0</v>
      </c>
      <c r="T56" s="45">
        <v>0</v>
      </c>
      <c r="U56" s="46" t="s">
        <v>223</v>
      </c>
      <c r="V56" s="46" t="s">
        <v>38</v>
      </c>
      <c r="W56" s="47"/>
    </row>
    <row r="57" spans="1:23" s="48" customFormat="1" ht="21.6" customHeight="1">
      <c r="A57" s="51" t="s">
        <v>39</v>
      </c>
      <c r="B57" s="52">
        <f>SUM(B52:B56)</f>
        <v>525</v>
      </c>
      <c r="C57" s="53">
        <f t="shared" ref="C57:T57" si="4">SUM(C52:C56)</f>
        <v>16.162625000000002</v>
      </c>
      <c r="D57" s="53">
        <f t="shared" si="4"/>
        <v>16.329000000000001</v>
      </c>
      <c r="E57" s="53">
        <f t="shared" si="4"/>
        <v>75.170625000000001</v>
      </c>
      <c r="F57" s="53">
        <f t="shared" si="4"/>
        <v>484.76499999999999</v>
      </c>
      <c r="G57" s="53">
        <f t="shared" si="4"/>
        <v>0.29825000000000002</v>
      </c>
      <c r="H57" s="53">
        <f t="shared" si="4"/>
        <v>13.729375000000001</v>
      </c>
      <c r="I57" s="53">
        <f t="shared" si="4"/>
        <v>19.455000000000002</v>
      </c>
      <c r="J57" s="53">
        <f t="shared" si="4"/>
        <v>4.45</v>
      </c>
      <c r="K57" s="53">
        <f t="shared" si="4"/>
        <v>0.08</v>
      </c>
      <c r="L57" s="53">
        <f t="shared" si="4"/>
        <v>0.21662499999999998</v>
      </c>
      <c r="M57" s="53">
        <f t="shared" si="4"/>
        <v>122.71812500000001</v>
      </c>
      <c r="N57" s="53">
        <f t="shared" si="4"/>
        <v>60.317499999999995</v>
      </c>
      <c r="O57" s="53">
        <f t="shared" si="4"/>
        <v>243.84875</v>
      </c>
      <c r="P57" s="53">
        <f t="shared" si="4"/>
        <v>2.9662500000000001</v>
      </c>
      <c r="Q57" s="53">
        <f t="shared" si="4"/>
        <v>1005.3356249999999</v>
      </c>
      <c r="R57" s="53">
        <f t="shared" si="4"/>
        <v>103.5</v>
      </c>
      <c r="S57" s="53">
        <f t="shared" si="4"/>
        <v>0.43000000000000005</v>
      </c>
      <c r="T57" s="53">
        <f t="shared" si="4"/>
        <v>0.01</v>
      </c>
      <c r="U57" s="54"/>
      <c r="V57" s="54"/>
      <c r="W57" s="47"/>
    </row>
    <row r="58" spans="1:23" s="7" customFormat="1" ht="28.35" customHeight="1">
      <c r="A58" s="104" t="s">
        <v>267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</row>
    <row r="59" spans="1:23" s="7" customFormat="1" ht="13.35" customHeight="1">
      <c r="A59" s="95" t="s">
        <v>1</v>
      </c>
      <c r="B59" s="95" t="s">
        <v>2</v>
      </c>
      <c r="C59" s="103" t="s">
        <v>3</v>
      </c>
      <c r="D59" s="103"/>
      <c r="E59" s="103"/>
      <c r="F59" s="103" t="s">
        <v>4</v>
      </c>
      <c r="G59" s="103" t="s">
        <v>5</v>
      </c>
      <c r="H59" s="103"/>
      <c r="I59" s="103"/>
      <c r="J59" s="103"/>
      <c r="K59" s="103"/>
      <c r="L59" s="103"/>
      <c r="M59" s="103" t="s">
        <v>6</v>
      </c>
      <c r="N59" s="103"/>
      <c r="O59" s="103"/>
      <c r="P59" s="103"/>
      <c r="Q59" s="103"/>
      <c r="R59" s="103"/>
      <c r="S59" s="103"/>
      <c r="T59" s="103"/>
      <c r="U59" s="95" t="s">
        <v>7</v>
      </c>
      <c r="V59" s="95" t="s">
        <v>8</v>
      </c>
    </row>
    <row r="60" spans="1:23" s="7" customFormat="1" ht="26.65" customHeight="1">
      <c r="A60" s="95"/>
      <c r="B60" s="95"/>
      <c r="C60" s="67" t="s">
        <v>9</v>
      </c>
      <c r="D60" s="67" t="s">
        <v>10</v>
      </c>
      <c r="E60" s="67" t="s">
        <v>11</v>
      </c>
      <c r="F60" s="103"/>
      <c r="G60" s="67" t="s">
        <v>12</v>
      </c>
      <c r="H60" s="67" t="s">
        <v>13</v>
      </c>
      <c r="I60" s="67" t="s">
        <v>14</v>
      </c>
      <c r="J60" s="67" t="s">
        <v>15</v>
      </c>
      <c r="K60" s="67" t="s">
        <v>16</v>
      </c>
      <c r="L60" s="67" t="s">
        <v>17</v>
      </c>
      <c r="M60" s="67" t="s">
        <v>18</v>
      </c>
      <c r="N60" s="67" t="s">
        <v>19</v>
      </c>
      <c r="O60" s="67" t="s">
        <v>20</v>
      </c>
      <c r="P60" s="67" t="s">
        <v>21</v>
      </c>
      <c r="Q60" s="67" t="s">
        <v>22</v>
      </c>
      <c r="R60" s="67" t="s">
        <v>23</v>
      </c>
      <c r="S60" s="67" t="s">
        <v>24</v>
      </c>
      <c r="T60" s="67" t="s">
        <v>25</v>
      </c>
      <c r="U60" s="95"/>
      <c r="V60" s="95"/>
    </row>
    <row r="61" spans="1:23" s="7" customFormat="1" ht="14.65" customHeight="1">
      <c r="A61" s="107" t="s">
        <v>26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</row>
    <row r="62" spans="1:23" s="48" customFormat="1" ht="12.2" customHeight="1">
      <c r="A62" s="43" t="s">
        <v>246</v>
      </c>
      <c r="B62" s="44">
        <v>205</v>
      </c>
      <c r="C62" s="45">
        <v>11.11</v>
      </c>
      <c r="D62" s="45">
        <v>8.35</v>
      </c>
      <c r="E62" s="45">
        <v>40.270000000000003</v>
      </c>
      <c r="F62" s="45">
        <v>206.52</v>
      </c>
      <c r="G62" s="45">
        <f>0.2*155/135</f>
        <v>0.22962962962962963</v>
      </c>
      <c r="H62" s="45">
        <f>1.3*155/135</f>
        <v>1.4925925925925927</v>
      </c>
      <c r="I62" s="45">
        <f>1.36*155/135</f>
        <v>1.5614814814814815</v>
      </c>
      <c r="J62" s="45">
        <v>0.13</v>
      </c>
      <c r="K62" s="45">
        <v>1.8</v>
      </c>
      <c r="L62" s="45">
        <f>0.18*155/135</f>
        <v>0.20666666666666667</v>
      </c>
      <c r="M62" s="45">
        <f>142.94*155/135</f>
        <v>164.1162962962963</v>
      </c>
      <c r="N62" s="45">
        <f>59.7*160/135</f>
        <v>70.75555555555556</v>
      </c>
      <c r="O62" s="45">
        <f>208.4*155/135</f>
        <v>239.27407407407406</v>
      </c>
      <c r="P62" s="45">
        <f>1.36*155/135</f>
        <v>1.5614814814814815</v>
      </c>
      <c r="Q62" s="45">
        <f>267.27*155/135</f>
        <v>306.86555555555555</v>
      </c>
      <c r="R62" s="45">
        <v>10.5</v>
      </c>
      <c r="S62" s="45">
        <v>0</v>
      </c>
      <c r="T62" s="45">
        <v>0</v>
      </c>
      <c r="U62" s="46" t="s">
        <v>117</v>
      </c>
      <c r="V62" s="46" t="s">
        <v>29</v>
      </c>
      <c r="W62" s="47"/>
    </row>
    <row r="63" spans="1:23" s="48" customFormat="1" ht="12.2" customHeight="1">
      <c r="A63" s="43" t="s">
        <v>119</v>
      </c>
      <c r="B63" s="44">
        <v>75</v>
      </c>
      <c r="C63" s="45">
        <f>3.2</f>
        <v>3.2</v>
      </c>
      <c r="D63" s="45">
        <v>3.95</v>
      </c>
      <c r="E63" s="45">
        <v>29.3</v>
      </c>
      <c r="F63" s="45">
        <v>185</v>
      </c>
      <c r="G63" s="45">
        <v>0.05</v>
      </c>
      <c r="H63" s="45">
        <v>0.15</v>
      </c>
      <c r="I63" s="45">
        <v>20</v>
      </c>
      <c r="J63" s="45">
        <v>1</v>
      </c>
      <c r="K63" s="45">
        <v>0.15</v>
      </c>
      <c r="L63" s="45">
        <v>0.02</v>
      </c>
      <c r="M63" s="45">
        <v>13.4</v>
      </c>
      <c r="N63" s="45">
        <v>7.7</v>
      </c>
      <c r="O63" s="45">
        <v>30.2</v>
      </c>
      <c r="P63" s="45">
        <v>0.84</v>
      </c>
      <c r="Q63" s="45">
        <v>77</v>
      </c>
      <c r="R63" s="45">
        <v>0</v>
      </c>
      <c r="S63" s="45">
        <v>0.01</v>
      </c>
      <c r="T63" s="45">
        <v>0</v>
      </c>
      <c r="U63" s="46" t="s">
        <v>72</v>
      </c>
      <c r="V63" s="46">
        <v>2017</v>
      </c>
      <c r="W63" s="47"/>
    </row>
    <row r="64" spans="1:23" s="48" customFormat="1" ht="12.2" customHeight="1">
      <c r="A64" s="43" t="s">
        <v>63</v>
      </c>
      <c r="B64" s="44">
        <v>200</v>
      </c>
      <c r="C64" s="45">
        <v>3.17</v>
      </c>
      <c r="D64" s="45">
        <v>2.7</v>
      </c>
      <c r="E64" s="45">
        <v>15.94</v>
      </c>
      <c r="F64" s="45">
        <v>100.06</v>
      </c>
      <c r="G64" s="45">
        <v>0.03</v>
      </c>
      <c r="H64" s="45">
        <v>0.47</v>
      </c>
      <c r="I64" s="45">
        <v>0.01</v>
      </c>
      <c r="J64" s="45">
        <v>0</v>
      </c>
      <c r="K64" s="45">
        <v>0</v>
      </c>
      <c r="L64" s="45">
        <v>0.1</v>
      </c>
      <c r="M64" s="45">
        <v>100.26</v>
      </c>
      <c r="N64" s="45">
        <v>17.13</v>
      </c>
      <c r="O64" s="45">
        <v>79.099999999999994</v>
      </c>
      <c r="P64" s="45">
        <v>0.36</v>
      </c>
      <c r="Q64" s="45">
        <v>152.65</v>
      </c>
      <c r="R64" s="45">
        <v>8.1</v>
      </c>
      <c r="S64" s="45">
        <v>0</v>
      </c>
      <c r="T64" s="45">
        <v>0</v>
      </c>
      <c r="U64" s="46" t="s">
        <v>64</v>
      </c>
      <c r="V64" s="46" t="s">
        <v>29</v>
      </c>
      <c r="W64" s="47"/>
    </row>
    <row r="65" spans="1:23" s="48" customFormat="1" ht="12.2" customHeight="1">
      <c r="A65" s="43" t="s">
        <v>37</v>
      </c>
      <c r="B65" s="44">
        <v>20</v>
      </c>
      <c r="C65" s="49">
        <v>1.1200000000000001</v>
      </c>
      <c r="D65" s="49">
        <v>0.22</v>
      </c>
      <c r="E65" s="49">
        <v>9.8800000000000008</v>
      </c>
      <c r="F65" s="49">
        <v>45.98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46" t="s">
        <v>223</v>
      </c>
      <c r="V65" s="46" t="s">
        <v>38</v>
      </c>
      <c r="W65" s="47"/>
    </row>
    <row r="66" spans="1:23" s="48" customFormat="1" ht="12.2" customHeight="1">
      <c r="A66" s="51" t="s">
        <v>39</v>
      </c>
      <c r="B66" s="52">
        <f t="shared" ref="B66:T66" si="5">SUM(B62:B65)</f>
        <v>500</v>
      </c>
      <c r="C66" s="53">
        <f t="shared" si="5"/>
        <v>18.599999999999998</v>
      </c>
      <c r="D66" s="53">
        <f t="shared" si="5"/>
        <v>15.22</v>
      </c>
      <c r="E66" s="53">
        <f t="shared" si="5"/>
        <v>95.39</v>
      </c>
      <c r="F66" s="53">
        <f t="shared" si="5"/>
        <v>537.55999999999995</v>
      </c>
      <c r="G66" s="53">
        <f t="shared" si="5"/>
        <v>0.30962962962962959</v>
      </c>
      <c r="H66" s="53">
        <f t="shared" si="5"/>
        <v>2.1125925925925926</v>
      </c>
      <c r="I66" s="53">
        <f t="shared" si="5"/>
        <v>21.571481481481484</v>
      </c>
      <c r="J66" s="53">
        <f t="shared" si="5"/>
        <v>1.1299999999999999</v>
      </c>
      <c r="K66" s="53">
        <f t="shared" si="5"/>
        <v>1.95</v>
      </c>
      <c r="L66" s="53">
        <f t="shared" si="5"/>
        <v>0.32666666666666666</v>
      </c>
      <c r="M66" s="53">
        <f t="shared" si="5"/>
        <v>277.77629629629632</v>
      </c>
      <c r="N66" s="53">
        <f t="shared" si="5"/>
        <v>95.585555555555558</v>
      </c>
      <c r="O66" s="53">
        <f t="shared" si="5"/>
        <v>348.57407407407402</v>
      </c>
      <c r="P66" s="53">
        <f t="shared" si="5"/>
        <v>2.7614814814814812</v>
      </c>
      <c r="Q66" s="53">
        <f t="shared" si="5"/>
        <v>536.51555555555558</v>
      </c>
      <c r="R66" s="53">
        <f t="shared" si="5"/>
        <v>18.600000000000001</v>
      </c>
      <c r="S66" s="53">
        <f t="shared" si="5"/>
        <v>0.01</v>
      </c>
      <c r="T66" s="53">
        <f t="shared" si="5"/>
        <v>0</v>
      </c>
      <c r="U66" s="54"/>
      <c r="V66" s="54"/>
      <c r="W66" s="47"/>
    </row>
    <row r="67" spans="1:23" s="7" customFormat="1" ht="28.35" customHeight="1">
      <c r="A67" s="104" t="s">
        <v>268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</row>
    <row r="68" spans="1:23" s="7" customFormat="1" ht="13.35" customHeight="1">
      <c r="A68" s="95" t="s">
        <v>1</v>
      </c>
      <c r="B68" s="95" t="s">
        <v>2</v>
      </c>
      <c r="C68" s="103" t="s">
        <v>3</v>
      </c>
      <c r="D68" s="103"/>
      <c r="E68" s="103"/>
      <c r="F68" s="103" t="s">
        <v>4</v>
      </c>
      <c r="G68" s="103" t="s">
        <v>5</v>
      </c>
      <c r="H68" s="103"/>
      <c r="I68" s="103"/>
      <c r="J68" s="103"/>
      <c r="K68" s="103"/>
      <c r="L68" s="103"/>
      <c r="M68" s="103" t="s">
        <v>6</v>
      </c>
      <c r="N68" s="103"/>
      <c r="O68" s="103"/>
      <c r="P68" s="103"/>
      <c r="Q68" s="103"/>
      <c r="R68" s="103"/>
      <c r="S68" s="103"/>
      <c r="T68" s="103"/>
      <c r="U68" s="95" t="s">
        <v>7</v>
      </c>
      <c r="V68" s="95" t="s">
        <v>8</v>
      </c>
    </row>
    <row r="69" spans="1:23" s="7" customFormat="1" ht="26.65" customHeight="1">
      <c r="A69" s="95"/>
      <c r="B69" s="95"/>
      <c r="C69" s="67" t="s">
        <v>9</v>
      </c>
      <c r="D69" s="67" t="s">
        <v>10</v>
      </c>
      <c r="E69" s="67" t="s">
        <v>11</v>
      </c>
      <c r="F69" s="103"/>
      <c r="G69" s="67" t="s">
        <v>12</v>
      </c>
      <c r="H69" s="67" t="s">
        <v>13</v>
      </c>
      <c r="I69" s="67" t="s">
        <v>14</v>
      </c>
      <c r="J69" s="67" t="s">
        <v>15</v>
      </c>
      <c r="K69" s="67" t="s">
        <v>16</v>
      </c>
      <c r="L69" s="67" t="s">
        <v>17</v>
      </c>
      <c r="M69" s="67" t="s">
        <v>18</v>
      </c>
      <c r="N69" s="67" t="s">
        <v>19</v>
      </c>
      <c r="O69" s="67" t="s">
        <v>20</v>
      </c>
      <c r="P69" s="67" t="s">
        <v>21</v>
      </c>
      <c r="Q69" s="67" t="s">
        <v>22</v>
      </c>
      <c r="R69" s="67" t="s">
        <v>23</v>
      </c>
      <c r="S69" s="67" t="s">
        <v>24</v>
      </c>
      <c r="T69" s="67" t="s">
        <v>25</v>
      </c>
      <c r="U69" s="95"/>
      <c r="V69" s="95"/>
    </row>
    <row r="70" spans="1:23" s="7" customFormat="1" ht="14.65" customHeight="1">
      <c r="A70" s="107" t="s">
        <v>26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</row>
    <row r="71" spans="1:23" s="48" customFormat="1" ht="12.2" customHeight="1">
      <c r="A71" s="43" t="s">
        <v>299</v>
      </c>
      <c r="B71" s="44">
        <v>60</v>
      </c>
      <c r="C71" s="45">
        <v>0.8</v>
      </c>
      <c r="D71" s="45">
        <v>0.1</v>
      </c>
      <c r="E71" s="45">
        <v>5.0999999999999996</v>
      </c>
      <c r="F71" s="45">
        <v>15</v>
      </c>
      <c r="G71" s="45">
        <v>0.04</v>
      </c>
      <c r="H71" s="45">
        <v>3</v>
      </c>
      <c r="I71" s="45">
        <v>1.49</v>
      </c>
      <c r="J71" s="45">
        <v>0.38</v>
      </c>
      <c r="K71" s="45">
        <v>0</v>
      </c>
      <c r="L71" s="45">
        <v>0.04</v>
      </c>
      <c r="M71" s="45">
        <v>30.6</v>
      </c>
      <c r="N71" s="45">
        <v>22.8</v>
      </c>
      <c r="O71" s="45">
        <v>33</v>
      </c>
      <c r="P71" s="45">
        <v>0.6</v>
      </c>
      <c r="Q71" s="45">
        <v>120</v>
      </c>
      <c r="R71" s="45">
        <v>3</v>
      </c>
      <c r="S71" s="45">
        <v>0.03</v>
      </c>
      <c r="T71" s="45">
        <v>0</v>
      </c>
      <c r="U71" s="46" t="s">
        <v>213</v>
      </c>
      <c r="V71" s="46" t="s">
        <v>53</v>
      </c>
      <c r="W71" s="47"/>
    </row>
    <row r="72" spans="1:23" s="48" customFormat="1" ht="12.2" customHeight="1">
      <c r="A72" s="43" t="s">
        <v>137</v>
      </c>
      <c r="B72" s="44">
        <v>150</v>
      </c>
      <c r="C72" s="45">
        <v>3.6</v>
      </c>
      <c r="D72" s="45">
        <v>4.4000000000000004</v>
      </c>
      <c r="E72" s="45">
        <v>20.7</v>
      </c>
      <c r="F72" s="45">
        <v>156</v>
      </c>
      <c r="G72" s="45">
        <v>0.12</v>
      </c>
      <c r="H72" s="45">
        <v>9.68</v>
      </c>
      <c r="I72" s="45">
        <v>0.59</v>
      </c>
      <c r="J72" s="45">
        <v>1.45</v>
      </c>
      <c r="K72" s="45">
        <v>1.22</v>
      </c>
      <c r="L72" s="45">
        <v>0.26</v>
      </c>
      <c r="M72" s="45">
        <v>57.38</v>
      </c>
      <c r="N72" s="45">
        <v>34.51</v>
      </c>
      <c r="O72" s="45">
        <v>154.36000000000001</v>
      </c>
      <c r="P72" s="45">
        <v>2.3199999999999998</v>
      </c>
      <c r="Q72" s="45">
        <v>657.46</v>
      </c>
      <c r="R72" s="45">
        <v>16.010000000000002</v>
      </c>
      <c r="S72" s="45">
        <v>7.0000000000000007E-2</v>
      </c>
      <c r="T72" s="45">
        <v>0.01</v>
      </c>
      <c r="U72" s="46" t="s">
        <v>208</v>
      </c>
      <c r="V72" s="46" t="s">
        <v>53</v>
      </c>
      <c r="W72" s="47"/>
    </row>
    <row r="73" spans="1:23" s="48" customFormat="1" ht="12.2" customHeight="1">
      <c r="A73" s="43" t="s">
        <v>258</v>
      </c>
      <c r="B73" s="44">
        <v>90</v>
      </c>
      <c r="C73" s="45">
        <f>4.55*90/55</f>
        <v>7.4454545454545453</v>
      </c>
      <c r="D73" s="45">
        <f>6.7*90/55</f>
        <v>10.963636363636363</v>
      </c>
      <c r="E73" s="45">
        <f>9.73*90/55</f>
        <v>15.921818181818182</v>
      </c>
      <c r="F73" s="45">
        <f>124*90/55</f>
        <v>202.90909090909091</v>
      </c>
      <c r="G73" s="45">
        <v>0.09</v>
      </c>
      <c r="H73" s="45">
        <v>0.49</v>
      </c>
      <c r="I73" s="45">
        <v>0.05</v>
      </c>
      <c r="J73" s="45">
        <v>2.97</v>
      </c>
      <c r="K73" s="45">
        <v>0</v>
      </c>
      <c r="L73" s="45">
        <v>0.11</v>
      </c>
      <c r="M73" s="45">
        <v>24.76</v>
      </c>
      <c r="N73" s="45">
        <v>29.11</v>
      </c>
      <c r="O73" s="45">
        <v>158.86000000000001</v>
      </c>
      <c r="P73" s="45">
        <v>2.31</v>
      </c>
      <c r="Q73" s="45">
        <v>198.96</v>
      </c>
      <c r="R73" s="45">
        <v>4.08</v>
      </c>
      <c r="S73" s="45">
        <v>0.08</v>
      </c>
      <c r="T73" s="45">
        <v>0.01</v>
      </c>
      <c r="U73" s="46">
        <v>294</v>
      </c>
      <c r="V73" s="46" t="s">
        <v>29</v>
      </c>
      <c r="W73" s="47"/>
    </row>
    <row r="74" spans="1:23" s="48" customFormat="1" ht="12.2" customHeight="1">
      <c r="A74" s="43" t="s">
        <v>285</v>
      </c>
      <c r="B74" s="44">
        <v>180</v>
      </c>
      <c r="C74" s="49">
        <v>4.68</v>
      </c>
      <c r="D74" s="49">
        <v>4.05</v>
      </c>
      <c r="E74" s="49">
        <v>6.48</v>
      </c>
      <c r="F74" s="49">
        <v>85.86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46" t="s">
        <v>223</v>
      </c>
      <c r="V74" s="46" t="s">
        <v>29</v>
      </c>
      <c r="W74" s="47"/>
    </row>
    <row r="75" spans="1:23" s="48" customFormat="1" ht="12.2" customHeight="1">
      <c r="A75" s="43" t="s">
        <v>51</v>
      </c>
      <c r="B75" s="44">
        <v>20</v>
      </c>
      <c r="C75" s="49">
        <v>1.53</v>
      </c>
      <c r="D75" s="49">
        <v>0.12</v>
      </c>
      <c r="E75" s="49">
        <v>10.039999999999999</v>
      </c>
      <c r="F75" s="49">
        <v>47.36</v>
      </c>
      <c r="G75" s="50">
        <v>0.03</v>
      </c>
      <c r="H75" s="50">
        <v>0</v>
      </c>
      <c r="I75" s="50">
        <v>0</v>
      </c>
      <c r="J75" s="50">
        <v>0.39</v>
      </c>
      <c r="K75" s="50">
        <v>0</v>
      </c>
      <c r="L75" s="50">
        <v>0.01</v>
      </c>
      <c r="M75" s="50">
        <v>4.5999999999999996</v>
      </c>
      <c r="N75" s="50">
        <v>6.6</v>
      </c>
      <c r="O75" s="50">
        <v>16.8</v>
      </c>
      <c r="P75" s="50">
        <v>0.4</v>
      </c>
      <c r="Q75" s="50">
        <v>25.8</v>
      </c>
      <c r="R75" s="50">
        <v>0</v>
      </c>
      <c r="S75" s="50">
        <v>0</v>
      </c>
      <c r="T75" s="50">
        <v>0</v>
      </c>
      <c r="U75" s="46" t="s">
        <v>223</v>
      </c>
      <c r="V75" s="46" t="s">
        <v>38</v>
      </c>
      <c r="W75" s="47"/>
    </row>
    <row r="76" spans="1:23" s="48" customFormat="1" ht="12.2" customHeight="1">
      <c r="A76" s="43" t="s">
        <v>37</v>
      </c>
      <c r="B76" s="44">
        <v>20</v>
      </c>
      <c r="C76" s="49">
        <v>1.1200000000000001</v>
      </c>
      <c r="D76" s="49">
        <v>0.22</v>
      </c>
      <c r="E76" s="49">
        <v>9.8800000000000008</v>
      </c>
      <c r="F76" s="49">
        <v>45.98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46" t="s">
        <v>223</v>
      </c>
      <c r="V76" s="46" t="s">
        <v>38</v>
      </c>
      <c r="W76" s="47"/>
    </row>
    <row r="77" spans="1:23" s="48" customFormat="1" ht="21.6" customHeight="1">
      <c r="A77" s="51" t="s">
        <v>39</v>
      </c>
      <c r="B77" s="52">
        <f>SUM(B71:B76)</f>
        <v>520</v>
      </c>
      <c r="C77" s="53">
        <f t="shared" ref="C77:T77" si="6">SUM(C71:C76)</f>
        <v>19.175454545454546</v>
      </c>
      <c r="D77" s="53">
        <f t="shared" si="6"/>
        <v>19.853636363636362</v>
      </c>
      <c r="E77" s="53">
        <f t="shared" si="6"/>
        <v>68.121818181818185</v>
      </c>
      <c r="F77" s="53">
        <f t="shared" si="6"/>
        <v>553.10909090909092</v>
      </c>
      <c r="G77" s="53">
        <f t="shared" si="6"/>
        <v>0.28000000000000003</v>
      </c>
      <c r="H77" s="53">
        <f t="shared" si="6"/>
        <v>13.17</v>
      </c>
      <c r="I77" s="53">
        <f t="shared" si="6"/>
        <v>2.13</v>
      </c>
      <c r="J77" s="53">
        <f t="shared" si="6"/>
        <v>5.19</v>
      </c>
      <c r="K77" s="53">
        <f t="shared" si="6"/>
        <v>1.22</v>
      </c>
      <c r="L77" s="53">
        <f t="shared" si="6"/>
        <v>0.42</v>
      </c>
      <c r="M77" s="53">
        <f t="shared" si="6"/>
        <v>117.34</v>
      </c>
      <c r="N77" s="53">
        <f t="shared" si="6"/>
        <v>93.02</v>
      </c>
      <c r="O77" s="53">
        <f t="shared" si="6"/>
        <v>363.02000000000004</v>
      </c>
      <c r="P77" s="53">
        <f t="shared" si="6"/>
        <v>5.6300000000000008</v>
      </c>
      <c r="Q77" s="53">
        <f t="shared" si="6"/>
        <v>1002.22</v>
      </c>
      <c r="R77" s="53">
        <f t="shared" si="6"/>
        <v>23.090000000000003</v>
      </c>
      <c r="S77" s="53">
        <f t="shared" si="6"/>
        <v>0.18</v>
      </c>
      <c r="T77" s="53">
        <f t="shared" si="6"/>
        <v>0.02</v>
      </c>
      <c r="U77" s="54"/>
      <c r="V77" s="54"/>
      <c r="W77" s="47"/>
    </row>
    <row r="78" spans="1:23" s="7" customFormat="1" ht="28.35" customHeight="1">
      <c r="A78" s="104" t="s">
        <v>269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</row>
    <row r="79" spans="1:23" s="7" customFormat="1" ht="13.35" customHeight="1">
      <c r="A79" s="95" t="s">
        <v>1</v>
      </c>
      <c r="B79" s="95" t="s">
        <v>2</v>
      </c>
      <c r="C79" s="103" t="s">
        <v>3</v>
      </c>
      <c r="D79" s="103"/>
      <c r="E79" s="103"/>
      <c r="F79" s="103" t="s">
        <v>4</v>
      </c>
      <c r="G79" s="103" t="s">
        <v>5</v>
      </c>
      <c r="H79" s="103"/>
      <c r="I79" s="103"/>
      <c r="J79" s="103"/>
      <c r="K79" s="103"/>
      <c r="L79" s="103"/>
      <c r="M79" s="103" t="s">
        <v>6</v>
      </c>
      <c r="N79" s="103"/>
      <c r="O79" s="103"/>
      <c r="P79" s="103"/>
      <c r="Q79" s="103"/>
      <c r="R79" s="103"/>
      <c r="S79" s="103"/>
      <c r="T79" s="103"/>
      <c r="U79" s="95" t="s">
        <v>7</v>
      </c>
      <c r="V79" s="95" t="s">
        <v>8</v>
      </c>
    </row>
    <row r="80" spans="1:23" s="7" customFormat="1" ht="26.65" customHeight="1">
      <c r="A80" s="95"/>
      <c r="B80" s="95"/>
      <c r="C80" s="67" t="s">
        <v>9</v>
      </c>
      <c r="D80" s="67" t="s">
        <v>10</v>
      </c>
      <c r="E80" s="67" t="s">
        <v>11</v>
      </c>
      <c r="F80" s="103"/>
      <c r="G80" s="67" t="s">
        <v>12</v>
      </c>
      <c r="H80" s="67" t="s">
        <v>13</v>
      </c>
      <c r="I80" s="67" t="s">
        <v>14</v>
      </c>
      <c r="J80" s="67" t="s">
        <v>15</v>
      </c>
      <c r="K80" s="67" t="s">
        <v>16</v>
      </c>
      <c r="L80" s="67" t="s">
        <v>17</v>
      </c>
      <c r="M80" s="67" t="s">
        <v>18</v>
      </c>
      <c r="N80" s="67" t="s">
        <v>19</v>
      </c>
      <c r="O80" s="67" t="s">
        <v>20</v>
      </c>
      <c r="P80" s="67" t="s">
        <v>21</v>
      </c>
      <c r="Q80" s="67" t="s">
        <v>22</v>
      </c>
      <c r="R80" s="67" t="s">
        <v>23</v>
      </c>
      <c r="S80" s="67" t="s">
        <v>24</v>
      </c>
      <c r="T80" s="67" t="s">
        <v>25</v>
      </c>
      <c r="U80" s="95"/>
      <c r="V80" s="95"/>
    </row>
    <row r="81" spans="1:23" s="7" customFormat="1" ht="14.65" customHeight="1">
      <c r="A81" s="107" t="s">
        <v>26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</row>
    <row r="82" spans="1:23" s="48" customFormat="1" ht="12.2" customHeight="1">
      <c r="A82" s="43" t="s">
        <v>247</v>
      </c>
      <c r="B82" s="44">
        <v>60</v>
      </c>
      <c r="C82" s="49">
        <v>1.21</v>
      </c>
      <c r="D82" s="49">
        <v>0.06</v>
      </c>
      <c r="E82" s="49">
        <v>12.33</v>
      </c>
      <c r="F82" s="49">
        <v>54.77</v>
      </c>
      <c r="G82" s="50">
        <v>0.02</v>
      </c>
      <c r="H82" s="50">
        <v>1.75</v>
      </c>
      <c r="I82" s="50">
        <v>0.73</v>
      </c>
      <c r="J82" s="50">
        <v>2.8</v>
      </c>
      <c r="K82" s="50">
        <v>0</v>
      </c>
      <c r="L82" s="50">
        <v>0.03</v>
      </c>
      <c r="M82" s="50">
        <v>22.16</v>
      </c>
      <c r="N82" s="50">
        <v>15.33</v>
      </c>
      <c r="O82" s="50">
        <v>25.55</v>
      </c>
      <c r="P82" s="50">
        <v>0.5</v>
      </c>
      <c r="Q82" s="50">
        <v>120.42</v>
      </c>
      <c r="R82" s="50">
        <v>2.41</v>
      </c>
      <c r="S82" s="50">
        <v>0.02</v>
      </c>
      <c r="T82" s="50">
        <v>0</v>
      </c>
      <c r="U82" s="46">
        <v>75</v>
      </c>
      <c r="V82" s="46">
        <v>2017</v>
      </c>
      <c r="W82" s="47"/>
    </row>
    <row r="83" spans="1:23" s="48" customFormat="1" ht="12.2" customHeight="1">
      <c r="A83" s="43" t="s">
        <v>156</v>
      </c>
      <c r="B83" s="44">
        <v>200</v>
      </c>
      <c r="C83" s="49">
        <v>14.1</v>
      </c>
      <c r="D83" s="49">
        <v>16</v>
      </c>
      <c r="E83" s="49">
        <v>21.1</v>
      </c>
      <c r="F83" s="49">
        <v>279.10000000000002</v>
      </c>
      <c r="G83" s="50">
        <v>0.1</v>
      </c>
      <c r="H83" s="50">
        <v>1.87</v>
      </c>
      <c r="I83" s="50">
        <v>0.08</v>
      </c>
      <c r="J83" s="50">
        <v>1.04</v>
      </c>
      <c r="K83" s="50">
        <v>0.06</v>
      </c>
      <c r="L83" s="50">
        <v>0.15</v>
      </c>
      <c r="M83" s="50">
        <v>184.75</v>
      </c>
      <c r="N83" s="50">
        <v>25.72</v>
      </c>
      <c r="O83" s="50">
        <v>178.18</v>
      </c>
      <c r="P83" s="50">
        <v>1.45</v>
      </c>
      <c r="Q83" s="50">
        <v>242.02</v>
      </c>
      <c r="R83" s="50">
        <v>8.6199999999999992</v>
      </c>
      <c r="S83" s="50">
        <v>0.05</v>
      </c>
      <c r="T83" s="50">
        <v>0.02</v>
      </c>
      <c r="U83" s="46" t="s">
        <v>206</v>
      </c>
      <c r="V83" s="46" t="s">
        <v>53</v>
      </c>
      <c r="W83" s="47"/>
    </row>
    <row r="84" spans="1:23" s="48" customFormat="1" ht="12.2" customHeight="1">
      <c r="A84" s="43" t="s">
        <v>78</v>
      </c>
      <c r="B84" s="44">
        <v>200</v>
      </c>
      <c r="C84" s="45">
        <f>3.31*0.2</f>
        <v>0.66200000000000003</v>
      </c>
      <c r="D84" s="45">
        <f>0.46*0.2</f>
        <v>9.2000000000000012E-2</v>
      </c>
      <c r="E84" s="45">
        <f>160.07*0.2</f>
        <v>32.014000000000003</v>
      </c>
      <c r="F84" s="45">
        <f>664*0.2</f>
        <v>132.80000000000001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8.39</v>
      </c>
      <c r="N84" s="45">
        <v>1.8</v>
      </c>
      <c r="O84" s="45">
        <v>0</v>
      </c>
      <c r="P84" s="45">
        <v>0</v>
      </c>
      <c r="Q84" s="45">
        <v>1.08</v>
      </c>
      <c r="R84" s="45">
        <v>0</v>
      </c>
      <c r="S84" s="45">
        <v>0</v>
      </c>
      <c r="T84" s="45">
        <v>0</v>
      </c>
      <c r="U84" s="46" t="s">
        <v>79</v>
      </c>
      <c r="V84" s="46" t="s">
        <v>29</v>
      </c>
      <c r="W84" s="47"/>
    </row>
    <row r="85" spans="1:23" s="48" customFormat="1" ht="12.2" customHeight="1">
      <c r="A85" s="43" t="s">
        <v>51</v>
      </c>
      <c r="B85" s="44">
        <v>20</v>
      </c>
      <c r="C85" s="49">
        <v>1.53</v>
      </c>
      <c r="D85" s="49">
        <v>0.12</v>
      </c>
      <c r="E85" s="49">
        <v>10.039999999999999</v>
      </c>
      <c r="F85" s="49">
        <v>47.36</v>
      </c>
      <c r="G85" s="50">
        <v>0.03</v>
      </c>
      <c r="H85" s="50">
        <v>0</v>
      </c>
      <c r="I85" s="50">
        <v>0</v>
      </c>
      <c r="J85" s="50">
        <v>0.39</v>
      </c>
      <c r="K85" s="50">
        <v>0</v>
      </c>
      <c r="L85" s="50">
        <v>0.01</v>
      </c>
      <c r="M85" s="50">
        <v>4.5999999999999996</v>
      </c>
      <c r="N85" s="50">
        <v>6.6</v>
      </c>
      <c r="O85" s="50">
        <v>16.8</v>
      </c>
      <c r="P85" s="50">
        <v>0.4</v>
      </c>
      <c r="Q85" s="50">
        <v>25.8</v>
      </c>
      <c r="R85" s="50">
        <v>0</v>
      </c>
      <c r="S85" s="50">
        <v>0</v>
      </c>
      <c r="T85" s="50">
        <v>0</v>
      </c>
      <c r="U85" s="46" t="s">
        <v>223</v>
      </c>
      <c r="V85" s="46" t="s">
        <v>38</v>
      </c>
      <c r="W85" s="47"/>
    </row>
    <row r="86" spans="1:23" s="48" customFormat="1" ht="12.2" customHeight="1">
      <c r="A86" s="43" t="s">
        <v>37</v>
      </c>
      <c r="B86" s="44">
        <v>20</v>
      </c>
      <c r="C86" s="49">
        <v>1.1200000000000001</v>
      </c>
      <c r="D86" s="49">
        <v>0.22</v>
      </c>
      <c r="E86" s="49">
        <v>9.8800000000000008</v>
      </c>
      <c r="F86" s="49">
        <v>45.98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46" t="s">
        <v>223</v>
      </c>
      <c r="V86" s="46" t="s">
        <v>38</v>
      </c>
      <c r="W86" s="47"/>
    </row>
    <row r="87" spans="1:23" s="48" customFormat="1" ht="12.2" customHeight="1">
      <c r="A87" s="51" t="s">
        <v>39</v>
      </c>
      <c r="B87" s="52">
        <f>SUM(B82:B86)</f>
        <v>500</v>
      </c>
      <c r="C87" s="53">
        <f t="shared" ref="C87:T87" si="7">SUM(C82:C86)</f>
        <v>18.622</v>
      </c>
      <c r="D87" s="53">
        <f t="shared" si="7"/>
        <v>16.491999999999997</v>
      </c>
      <c r="E87" s="53">
        <f t="shared" si="7"/>
        <v>85.364000000000004</v>
      </c>
      <c r="F87" s="53">
        <f t="shared" si="7"/>
        <v>560.01</v>
      </c>
      <c r="G87" s="53">
        <f t="shared" si="7"/>
        <v>0.15000000000000002</v>
      </c>
      <c r="H87" s="53">
        <f t="shared" si="7"/>
        <v>3.62</v>
      </c>
      <c r="I87" s="53">
        <f t="shared" si="7"/>
        <v>0.80999999999999994</v>
      </c>
      <c r="J87" s="53">
        <f t="shared" si="7"/>
        <v>4.2299999999999995</v>
      </c>
      <c r="K87" s="53">
        <f t="shared" si="7"/>
        <v>0.06</v>
      </c>
      <c r="L87" s="53">
        <f t="shared" si="7"/>
        <v>0.19</v>
      </c>
      <c r="M87" s="53">
        <f t="shared" si="7"/>
        <v>219.9</v>
      </c>
      <c r="N87" s="53">
        <f t="shared" si="7"/>
        <v>49.449999999999996</v>
      </c>
      <c r="O87" s="53">
        <f t="shared" si="7"/>
        <v>220.53000000000003</v>
      </c>
      <c r="P87" s="53">
        <f t="shared" si="7"/>
        <v>2.35</v>
      </c>
      <c r="Q87" s="53">
        <f t="shared" si="7"/>
        <v>389.32</v>
      </c>
      <c r="R87" s="53">
        <f t="shared" si="7"/>
        <v>11.03</v>
      </c>
      <c r="S87" s="53">
        <f t="shared" si="7"/>
        <v>7.0000000000000007E-2</v>
      </c>
      <c r="T87" s="53">
        <f t="shared" si="7"/>
        <v>0.02</v>
      </c>
      <c r="U87" s="54"/>
      <c r="V87" s="54"/>
      <c r="W87" s="47"/>
    </row>
    <row r="88" spans="1:23" s="7" customFormat="1" ht="28.35" customHeight="1">
      <c r="A88" s="104" t="s">
        <v>270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</row>
    <row r="89" spans="1:23" s="7" customFormat="1" ht="13.35" customHeight="1">
      <c r="A89" s="95" t="s">
        <v>1</v>
      </c>
      <c r="B89" s="95" t="s">
        <v>2</v>
      </c>
      <c r="C89" s="103" t="s">
        <v>3</v>
      </c>
      <c r="D89" s="103"/>
      <c r="E89" s="103"/>
      <c r="F89" s="103" t="s">
        <v>4</v>
      </c>
      <c r="G89" s="103" t="s">
        <v>5</v>
      </c>
      <c r="H89" s="103"/>
      <c r="I89" s="103"/>
      <c r="J89" s="103"/>
      <c r="K89" s="103"/>
      <c r="L89" s="103"/>
      <c r="M89" s="103" t="s">
        <v>6</v>
      </c>
      <c r="N89" s="103"/>
      <c r="O89" s="103"/>
      <c r="P89" s="103"/>
      <c r="Q89" s="103"/>
      <c r="R89" s="103"/>
      <c r="S89" s="103"/>
      <c r="T89" s="103"/>
      <c r="U89" s="95" t="s">
        <v>7</v>
      </c>
      <c r="V89" s="95" t="s">
        <v>8</v>
      </c>
    </row>
    <row r="90" spans="1:23" s="7" customFormat="1" ht="26.65" customHeight="1">
      <c r="A90" s="95"/>
      <c r="B90" s="95"/>
      <c r="C90" s="67" t="s">
        <v>9</v>
      </c>
      <c r="D90" s="67" t="s">
        <v>10</v>
      </c>
      <c r="E90" s="67" t="s">
        <v>11</v>
      </c>
      <c r="F90" s="103"/>
      <c r="G90" s="67" t="s">
        <v>12</v>
      </c>
      <c r="H90" s="67" t="s">
        <v>13</v>
      </c>
      <c r="I90" s="67" t="s">
        <v>14</v>
      </c>
      <c r="J90" s="67" t="s">
        <v>15</v>
      </c>
      <c r="K90" s="67" t="s">
        <v>16</v>
      </c>
      <c r="L90" s="67" t="s">
        <v>17</v>
      </c>
      <c r="M90" s="67" t="s">
        <v>18</v>
      </c>
      <c r="N90" s="67" t="s">
        <v>19</v>
      </c>
      <c r="O90" s="67" t="s">
        <v>20</v>
      </c>
      <c r="P90" s="67" t="s">
        <v>21</v>
      </c>
      <c r="Q90" s="67" t="s">
        <v>22</v>
      </c>
      <c r="R90" s="67" t="s">
        <v>23</v>
      </c>
      <c r="S90" s="67" t="s">
        <v>24</v>
      </c>
      <c r="T90" s="67" t="s">
        <v>25</v>
      </c>
      <c r="U90" s="95"/>
      <c r="V90" s="95"/>
    </row>
    <row r="91" spans="1:23" s="7" customFormat="1" ht="14.65" customHeight="1">
      <c r="A91" s="107" t="s">
        <v>26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</row>
    <row r="92" spans="1:23" s="7" customFormat="1" ht="14.65" customHeight="1">
      <c r="A92" s="107" t="s">
        <v>210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</row>
    <row r="93" spans="1:23" s="48" customFormat="1" ht="12.2" customHeight="1">
      <c r="A93" s="43" t="s">
        <v>174</v>
      </c>
      <c r="B93" s="44">
        <v>110</v>
      </c>
      <c r="C93" s="49">
        <v>0.5</v>
      </c>
      <c r="D93" s="49">
        <v>0.4</v>
      </c>
      <c r="E93" s="49">
        <v>26.7</v>
      </c>
      <c r="F93" s="49">
        <v>114.5</v>
      </c>
      <c r="G93" s="50">
        <v>0.03</v>
      </c>
      <c r="H93" s="50">
        <v>3.52</v>
      </c>
      <c r="I93" s="50">
        <v>0</v>
      </c>
      <c r="J93" s="50">
        <v>0.55000000000000004</v>
      </c>
      <c r="K93" s="50">
        <v>0</v>
      </c>
      <c r="L93" s="50">
        <v>0.02</v>
      </c>
      <c r="M93" s="50">
        <v>17.170000000000002</v>
      </c>
      <c r="N93" s="50">
        <v>8.6</v>
      </c>
      <c r="O93" s="50">
        <v>15.68</v>
      </c>
      <c r="P93" s="50">
        <v>1.9</v>
      </c>
      <c r="Q93" s="50">
        <v>294.74</v>
      </c>
      <c r="R93" s="50">
        <v>1.76</v>
      </c>
      <c r="S93" s="50">
        <v>0.01</v>
      </c>
      <c r="T93" s="50">
        <v>0</v>
      </c>
      <c r="U93" s="46" t="s">
        <v>231</v>
      </c>
      <c r="V93" s="46" t="s">
        <v>53</v>
      </c>
      <c r="W93" s="47"/>
    </row>
    <row r="94" spans="1:23" s="47" customFormat="1" ht="12.2" customHeight="1">
      <c r="A94" s="43" t="s">
        <v>300</v>
      </c>
      <c r="B94" s="44">
        <v>150</v>
      </c>
      <c r="C94" s="45">
        <f>14.2*150/175</f>
        <v>12.171428571428571</v>
      </c>
      <c r="D94" s="45">
        <f>16.9*150/175</f>
        <v>14.485714285714286</v>
      </c>
      <c r="E94" s="45">
        <f>16.58*150/175</f>
        <v>14.211428571428568</v>
      </c>
      <c r="F94" s="45">
        <f>295*150/175</f>
        <v>252.85714285714286</v>
      </c>
      <c r="G94" s="45">
        <v>0.31</v>
      </c>
      <c r="H94" s="45">
        <v>7.73</v>
      </c>
      <c r="I94" s="45">
        <v>0.01</v>
      </c>
      <c r="J94" s="45">
        <v>2.2400000000000002</v>
      </c>
      <c r="K94" s="45">
        <v>0</v>
      </c>
      <c r="L94" s="45">
        <v>0.12</v>
      </c>
      <c r="M94" s="45">
        <v>23.67</v>
      </c>
      <c r="N94" s="45">
        <v>34.450000000000003</v>
      </c>
      <c r="O94" s="45">
        <v>143.11000000000001</v>
      </c>
      <c r="P94" s="45">
        <v>1.93</v>
      </c>
      <c r="Q94" s="45">
        <v>729.18</v>
      </c>
      <c r="R94" s="45">
        <v>9.01</v>
      </c>
      <c r="S94" s="45">
        <v>7.0000000000000007E-2</v>
      </c>
      <c r="T94" s="45">
        <v>0</v>
      </c>
      <c r="U94" s="46" t="s">
        <v>176</v>
      </c>
      <c r="V94" s="46">
        <v>2017</v>
      </c>
    </row>
    <row r="95" spans="1:23" s="48" customFormat="1" ht="12.2" customHeight="1">
      <c r="A95" s="43" t="s">
        <v>177</v>
      </c>
      <c r="B95" s="44">
        <v>200</v>
      </c>
      <c r="C95" s="45">
        <v>2.94</v>
      </c>
      <c r="D95" s="45">
        <f>17.72*0.2</f>
        <v>3.544</v>
      </c>
      <c r="E95" s="45">
        <f>87.89*0.2</f>
        <v>17.577999999999999</v>
      </c>
      <c r="F95" s="45">
        <f>593*0.2</f>
        <v>118.60000000000001</v>
      </c>
      <c r="G95" s="45">
        <v>0.03</v>
      </c>
      <c r="H95" s="45">
        <v>0.47</v>
      </c>
      <c r="I95" s="45">
        <v>0.01</v>
      </c>
      <c r="J95" s="45">
        <v>0</v>
      </c>
      <c r="K95" s="45">
        <v>0</v>
      </c>
      <c r="L95" s="45">
        <v>0.1</v>
      </c>
      <c r="M95" s="45">
        <v>100.28</v>
      </c>
      <c r="N95" s="45">
        <v>24.74</v>
      </c>
      <c r="O95" s="45">
        <v>86.02</v>
      </c>
      <c r="P95" s="45">
        <v>0.78</v>
      </c>
      <c r="Q95" s="45">
        <v>186.56</v>
      </c>
      <c r="R95" s="45">
        <v>8.1</v>
      </c>
      <c r="S95" s="45">
        <v>0</v>
      </c>
      <c r="T95" s="45">
        <v>0</v>
      </c>
      <c r="U95" s="46" t="s">
        <v>86</v>
      </c>
      <c r="V95" s="46" t="s">
        <v>29</v>
      </c>
      <c r="W95" s="47"/>
    </row>
    <row r="96" spans="1:23" s="48" customFormat="1" ht="12.2" customHeight="1">
      <c r="A96" s="43" t="s">
        <v>51</v>
      </c>
      <c r="B96" s="44">
        <v>40</v>
      </c>
      <c r="C96" s="49">
        <v>3.05</v>
      </c>
      <c r="D96" s="49">
        <v>0.25</v>
      </c>
      <c r="E96" s="49">
        <v>20.07</v>
      </c>
      <c r="F96" s="49">
        <v>94.73</v>
      </c>
      <c r="G96" s="50">
        <v>0.06</v>
      </c>
      <c r="H96" s="50">
        <v>0</v>
      </c>
      <c r="I96" s="50">
        <v>0</v>
      </c>
      <c r="J96" s="50">
        <v>0.78</v>
      </c>
      <c r="K96" s="50">
        <v>0</v>
      </c>
      <c r="L96" s="50">
        <v>0.02</v>
      </c>
      <c r="M96" s="50">
        <v>9.1999999999999993</v>
      </c>
      <c r="N96" s="50">
        <v>13.2</v>
      </c>
      <c r="O96" s="50">
        <v>33.6</v>
      </c>
      <c r="P96" s="50">
        <v>0.8</v>
      </c>
      <c r="Q96" s="50">
        <v>51.6</v>
      </c>
      <c r="R96" s="50">
        <v>0</v>
      </c>
      <c r="S96" s="50">
        <v>0.01</v>
      </c>
      <c r="T96" s="50">
        <v>0</v>
      </c>
      <c r="U96" s="46" t="s">
        <v>223</v>
      </c>
      <c r="V96" s="46" t="s">
        <v>38</v>
      </c>
      <c r="W96" s="47"/>
    </row>
    <row r="97" spans="1:23" s="48" customFormat="1" ht="21.6" customHeight="1">
      <c r="A97" s="51" t="s">
        <v>39</v>
      </c>
      <c r="B97" s="52">
        <f>SUM(B93:B96)</f>
        <v>500</v>
      </c>
      <c r="C97" s="53">
        <f t="shared" ref="C97:T97" si="8">SUM(C93:C96)</f>
        <v>18.661428571428569</v>
      </c>
      <c r="D97" s="53">
        <f t="shared" si="8"/>
        <v>18.679714285714287</v>
      </c>
      <c r="E97" s="53">
        <f t="shared" si="8"/>
        <v>78.559428571428555</v>
      </c>
      <c r="F97" s="53">
        <f t="shared" si="8"/>
        <v>580.68714285714293</v>
      </c>
      <c r="G97" s="53">
        <f t="shared" si="8"/>
        <v>0.43</v>
      </c>
      <c r="H97" s="53">
        <f t="shared" si="8"/>
        <v>11.72</v>
      </c>
      <c r="I97" s="53">
        <f t="shared" si="8"/>
        <v>0.02</v>
      </c>
      <c r="J97" s="53">
        <f t="shared" si="8"/>
        <v>3.5700000000000003</v>
      </c>
      <c r="K97" s="53">
        <f t="shared" si="8"/>
        <v>0</v>
      </c>
      <c r="L97" s="53">
        <f t="shared" si="8"/>
        <v>0.26</v>
      </c>
      <c r="M97" s="53">
        <f t="shared" si="8"/>
        <v>150.32</v>
      </c>
      <c r="N97" s="53">
        <f t="shared" si="8"/>
        <v>80.990000000000009</v>
      </c>
      <c r="O97" s="53">
        <f t="shared" si="8"/>
        <v>278.41000000000003</v>
      </c>
      <c r="P97" s="53">
        <f t="shared" si="8"/>
        <v>5.41</v>
      </c>
      <c r="Q97" s="53">
        <f t="shared" si="8"/>
        <v>1262.08</v>
      </c>
      <c r="R97" s="53">
        <f t="shared" si="8"/>
        <v>18.869999999999997</v>
      </c>
      <c r="S97" s="53">
        <f t="shared" si="8"/>
        <v>0.09</v>
      </c>
      <c r="T97" s="53">
        <f t="shared" si="8"/>
        <v>0</v>
      </c>
      <c r="U97" s="54"/>
      <c r="V97" s="54"/>
      <c r="W97" s="47"/>
    </row>
    <row r="98" spans="1:23" s="7" customFormat="1" ht="28.35" customHeight="1">
      <c r="A98" s="104" t="s">
        <v>271</v>
      </c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</row>
    <row r="99" spans="1:23" s="7" customFormat="1" ht="13.35" customHeight="1">
      <c r="A99" s="95" t="s">
        <v>1</v>
      </c>
      <c r="B99" s="95" t="s">
        <v>2</v>
      </c>
      <c r="C99" s="103" t="s">
        <v>3</v>
      </c>
      <c r="D99" s="103"/>
      <c r="E99" s="103"/>
      <c r="F99" s="103" t="s">
        <v>4</v>
      </c>
      <c r="G99" s="103" t="s">
        <v>5</v>
      </c>
      <c r="H99" s="103"/>
      <c r="I99" s="103"/>
      <c r="J99" s="103"/>
      <c r="K99" s="103"/>
      <c r="L99" s="103"/>
      <c r="M99" s="103" t="s">
        <v>6</v>
      </c>
      <c r="N99" s="103"/>
      <c r="O99" s="103"/>
      <c r="P99" s="103"/>
      <c r="Q99" s="103"/>
      <c r="R99" s="103"/>
      <c r="S99" s="103"/>
      <c r="T99" s="103"/>
      <c r="U99" s="95" t="s">
        <v>7</v>
      </c>
      <c r="V99" s="95" t="s">
        <v>8</v>
      </c>
    </row>
    <row r="100" spans="1:23" s="7" customFormat="1" ht="26.65" customHeight="1">
      <c r="A100" s="95"/>
      <c r="B100" s="95"/>
      <c r="C100" s="67" t="s">
        <v>9</v>
      </c>
      <c r="D100" s="67" t="s">
        <v>10</v>
      </c>
      <c r="E100" s="67" t="s">
        <v>11</v>
      </c>
      <c r="F100" s="103"/>
      <c r="G100" s="67" t="s">
        <v>12</v>
      </c>
      <c r="H100" s="67" t="s">
        <v>13</v>
      </c>
      <c r="I100" s="67" t="s">
        <v>14</v>
      </c>
      <c r="J100" s="67" t="s">
        <v>15</v>
      </c>
      <c r="K100" s="67" t="s">
        <v>16</v>
      </c>
      <c r="L100" s="67" t="s">
        <v>17</v>
      </c>
      <c r="M100" s="67" t="s">
        <v>18</v>
      </c>
      <c r="N100" s="67" t="s">
        <v>19</v>
      </c>
      <c r="O100" s="67" t="s">
        <v>20</v>
      </c>
      <c r="P100" s="67" t="s">
        <v>21</v>
      </c>
      <c r="Q100" s="67" t="s">
        <v>22</v>
      </c>
      <c r="R100" s="67" t="s">
        <v>23</v>
      </c>
      <c r="S100" s="67" t="s">
        <v>24</v>
      </c>
      <c r="T100" s="67" t="s">
        <v>25</v>
      </c>
      <c r="U100" s="95"/>
      <c r="V100" s="95"/>
    </row>
    <row r="101" spans="1:23" s="7" customFormat="1" ht="14.65" customHeight="1">
      <c r="A101" s="107" t="s">
        <v>26</v>
      </c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</row>
    <row r="102" spans="1:23" s="48" customFormat="1" ht="12.2" customHeight="1">
      <c r="A102" s="43" t="s">
        <v>299</v>
      </c>
      <c r="B102" s="44">
        <v>60</v>
      </c>
      <c r="C102" s="45">
        <v>0.8</v>
      </c>
      <c r="D102" s="45">
        <v>0.1</v>
      </c>
      <c r="E102" s="45">
        <v>5.0999999999999996</v>
      </c>
      <c r="F102" s="45">
        <v>15</v>
      </c>
      <c r="G102" s="45">
        <v>0.04</v>
      </c>
      <c r="H102" s="45">
        <v>3</v>
      </c>
      <c r="I102" s="45">
        <v>1.49</v>
      </c>
      <c r="J102" s="45">
        <v>0.38</v>
      </c>
      <c r="K102" s="45">
        <v>0</v>
      </c>
      <c r="L102" s="45">
        <v>0.04</v>
      </c>
      <c r="M102" s="45">
        <v>30.6</v>
      </c>
      <c r="N102" s="45">
        <v>22.8</v>
      </c>
      <c r="O102" s="45">
        <v>33</v>
      </c>
      <c r="P102" s="45">
        <v>0.6</v>
      </c>
      <c r="Q102" s="45">
        <v>120</v>
      </c>
      <c r="R102" s="45">
        <v>3</v>
      </c>
      <c r="S102" s="45">
        <v>0.03</v>
      </c>
      <c r="T102" s="45">
        <v>0</v>
      </c>
      <c r="U102" s="46" t="s">
        <v>213</v>
      </c>
      <c r="V102" s="46" t="s">
        <v>53</v>
      </c>
      <c r="W102" s="47"/>
    </row>
    <row r="103" spans="1:23" s="48" customFormat="1" ht="12.2" customHeight="1">
      <c r="A103" s="43" t="s">
        <v>189</v>
      </c>
      <c r="B103" s="44">
        <v>150</v>
      </c>
      <c r="C103" s="45">
        <f>20.65*0.15</f>
        <v>3.0974999999999997</v>
      </c>
      <c r="D103" s="45">
        <v>7.86</v>
      </c>
      <c r="E103" s="45">
        <f>94.27*0.15</f>
        <v>14.140499999999999</v>
      </c>
      <c r="F103" s="45">
        <f>851*0.15</f>
        <v>127.64999999999999</v>
      </c>
      <c r="G103" s="45">
        <v>0.05</v>
      </c>
      <c r="H103" s="45">
        <v>32.18</v>
      </c>
      <c r="I103" s="45">
        <v>0.11</v>
      </c>
      <c r="J103" s="45">
        <v>0.25</v>
      </c>
      <c r="K103" s="45">
        <v>0.08</v>
      </c>
      <c r="L103" s="45">
        <v>7.0000000000000007E-2</v>
      </c>
      <c r="M103" s="45">
        <v>84.98</v>
      </c>
      <c r="N103" s="45">
        <v>30.86</v>
      </c>
      <c r="O103" s="45">
        <v>61.45</v>
      </c>
      <c r="P103" s="45">
        <v>1.85</v>
      </c>
      <c r="Q103" s="45">
        <v>398.08</v>
      </c>
      <c r="R103" s="45">
        <v>5.51</v>
      </c>
      <c r="S103" s="45">
        <v>0.02</v>
      </c>
      <c r="T103" s="45">
        <v>0</v>
      </c>
      <c r="U103" s="46" t="s">
        <v>190</v>
      </c>
      <c r="V103" s="46" t="s">
        <v>29</v>
      </c>
      <c r="W103" s="47"/>
    </row>
    <row r="104" spans="1:23" s="48" customFormat="1" ht="12.2" customHeight="1">
      <c r="A104" s="43" t="s">
        <v>191</v>
      </c>
      <c r="B104" s="44">
        <v>90</v>
      </c>
      <c r="C104" s="45">
        <v>11.7</v>
      </c>
      <c r="D104" s="45">
        <v>10.9</v>
      </c>
      <c r="E104" s="45">
        <v>15.8</v>
      </c>
      <c r="F104" s="45">
        <v>192</v>
      </c>
      <c r="G104" s="45">
        <v>0.08</v>
      </c>
      <c r="H104" s="45">
        <v>0.82</v>
      </c>
      <c r="I104" s="45">
        <v>0.41</v>
      </c>
      <c r="J104" s="45">
        <v>0.69</v>
      </c>
      <c r="K104" s="45">
        <v>0.25</v>
      </c>
      <c r="L104" s="45">
        <v>0.12</v>
      </c>
      <c r="M104" s="45">
        <v>47.84</v>
      </c>
      <c r="N104" s="45">
        <v>41.49</v>
      </c>
      <c r="O104" s="45">
        <v>173.06</v>
      </c>
      <c r="P104" s="45">
        <v>1.01</v>
      </c>
      <c r="Q104" s="45">
        <v>341.35</v>
      </c>
      <c r="R104" s="45">
        <v>95.55</v>
      </c>
      <c r="S104" s="45">
        <v>0.4</v>
      </c>
      <c r="T104" s="45">
        <v>0.01</v>
      </c>
      <c r="U104" s="46" t="s">
        <v>192</v>
      </c>
      <c r="V104" s="46" t="s">
        <v>32</v>
      </c>
      <c r="W104" s="47"/>
    </row>
    <row r="105" spans="1:23" s="48" customFormat="1" ht="12.2" customHeight="1">
      <c r="A105" s="43" t="s">
        <v>99</v>
      </c>
      <c r="B105" s="44">
        <v>200</v>
      </c>
      <c r="C105" s="49">
        <v>1</v>
      </c>
      <c r="D105" s="49">
        <v>0</v>
      </c>
      <c r="E105" s="49">
        <v>20.2</v>
      </c>
      <c r="F105" s="49">
        <v>84.8</v>
      </c>
      <c r="G105" s="50">
        <v>0.03</v>
      </c>
      <c r="H105" s="50">
        <v>1.6</v>
      </c>
      <c r="I105" s="50">
        <v>0</v>
      </c>
      <c r="J105" s="50">
        <v>0</v>
      </c>
      <c r="K105" s="50">
        <v>0</v>
      </c>
      <c r="L105" s="50">
        <v>0.02</v>
      </c>
      <c r="M105" s="50">
        <v>36</v>
      </c>
      <c r="N105" s="50">
        <v>16.2</v>
      </c>
      <c r="O105" s="50">
        <v>21.6</v>
      </c>
      <c r="P105" s="50">
        <v>0.72</v>
      </c>
      <c r="Q105" s="50">
        <v>300</v>
      </c>
      <c r="R105" s="50">
        <v>12</v>
      </c>
      <c r="S105" s="50">
        <v>0</v>
      </c>
      <c r="T105" s="50">
        <v>0</v>
      </c>
      <c r="U105" s="46" t="s">
        <v>100</v>
      </c>
      <c r="V105" s="46">
        <v>2017</v>
      </c>
      <c r="W105" s="47"/>
    </row>
    <row r="106" spans="1:23" s="48" customFormat="1" ht="12.2" customHeight="1">
      <c r="A106" s="43" t="s">
        <v>37</v>
      </c>
      <c r="B106" s="44">
        <v>20</v>
      </c>
      <c r="C106" s="49">
        <v>1.1200000000000001</v>
      </c>
      <c r="D106" s="49">
        <v>0.22</v>
      </c>
      <c r="E106" s="49">
        <v>9.8800000000000008</v>
      </c>
      <c r="F106" s="49">
        <v>45.98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0</v>
      </c>
      <c r="S106" s="50">
        <v>0</v>
      </c>
      <c r="T106" s="50">
        <v>0</v>
      </c>
      <c r="U106" s="46" t="s">
        <v>223</v>
      </c>
      <c r="V106" s="46" t="s">
        <v>38</v>
      </c>
      <c r="W106" s="47"/>
    </row>
    <row r="107" spans="1:23" s="48" customFormat="1" ht="21.6" customHeight="1">
      <c r="A107" s="51" t="s">
        <v>39</v>
      </c>
      <c r="B107" s="52">
        <f>SUM(B102:B106)</f>
        <v>520</v>
      </c>
      <c r="C107" s="53">
        <f t="shared" ref="C107:T107" si="9">SUM(C102:C106)</f>
        <v>17.717500000000001</v>
      </c>
      <c r="D107" s="53">
        <f t="shared" si="9"/>
        <v>19.079999999999998</v>
      </c>
      <c r="E107" s="53">
        <f t="shared" si="9"/>
        <v>65.120499999999993</v>
      </c>
      <c r="F107" s="53">
        <f t="shared" si="9"/>
        <v>465.43</v>
      </c>
      <c r="G107" s="53">
        <f t="shared" si="9"/>
        <v>0.19999999999999998</v>
      </c>
      <c r="H107" s="53">
        <f t="shared" si="9"/>
        <v>37.6</v>
      </c>
      <c r="I107" s="53">
        <f t="shared" si="9"/>
        <v>2.0100000000000002</v>
      </c>
      <c r="J107" s="53">
        <f t="shared" si="9"/>
        <v>1.3199999999999998</v>
      </c>
      <c r="K107" s="53">
        <f t="shared" si="9"/>
        <v>0.33</v>
      </c>
      <c r="L107" s="53">
        <f t="shared" si="9"/>
        <v>0.25</v>
      </c>
      <c r="M107" s="53">
        <f t="shared" si="9"/>
        <v>199.42000000000002</v>
      </c>
      <c r="N107" s="53">
        <f t="shared" si="9"/>
        <v>111.35000000000001</v>
      </c>
      <c r="O107" s="53">
        <f t="shared" si="9"/>
        <v>289.11</v>
      </c>
      <c r="P107" s="53">
        <f t="shared" si="9"/>
        <v>4.18</v>
      </c>
      <c r="Q107" s="53">
        <f t="shared" si="9"/>
        <v>1159.4299999999998</v>
      </c>
      <c r="R107" s="53">
        <f t="shared" si="9"/>
        <v>116.06</v>
      </c>
      <c r="S107" s="53">
        <f t="shared" si="9"/>
        <v>0.45</v>
      </c>
      <c r="T107" s="53">
        <f t="shared" si="9"/>
        <v>0.01</v>
      </c>
      <c r="U107" s="54"/>
      <c r="V107" s="54"/>
      <c r="W107" s="47"/>
    </row>
    <row r="110" spans="1:23">
      <c r="A110" s="96" t="s">
        <v>282</v>
      </c>
      <c r="B110" s="96" t="s">
        <v>215</v>
      </c>
      <c r="C110" s="97" t="s">
        <v>3</v>
      </c>
      <c r="D110" s="97"/>
      <c r="E110" s="97"/>
      <c r="F110" s="97" t="s">
        <v>4</v>
      </c>
    </row>
    <row r="111" spans="1:23" ht="28.5">
      <c r="A111" s="105"/>
      <c r="B111" s="105"/>
      <c r="C111" s="10" t="s">
        <v>9</v>
      </c>
      <c r="D111" s="10" t="s">
        <v>10</v>
      </c>
      <c r="E111" s="10" t="s">
        <v>11</v>
      </c>
      <c r="F111" s="106"/>
    </row>
    <row r="112" spans="1:23" s="21" customFormat="1">
      <c r="A112" s="23" t="s">
        <v>216</v>
      </c>
      <c r="B112" s="24">
        <f>B107+B97+B87+B77+B66+B57+B46+B36+B26+B14</f>
        <v>5140</v>
      </c>
      <c r="C112" s="24">
        <f>C107+C97+C87+C77+C66+C57+C46+C36+C26+C14</f>
        <v>180.49955594297009</v>
      </c>
      <c r="D112" s="24">
        <f>D107+D97+D87+D77+D66+D57+D46+D36+D26+D14</f>
        <v>183.84933450028234</v>
      </c>
      <c r="E112" s="24">
        <f>E107+E97+E87+E77+E66+E57+E46+E36+E26+E14</f>
        <v>769.28422268492363</v>
      </c>
      <c r="F112" s="24">
        <f>F107+F97+F87+F77+F66+F57+F46+F36+F26+F14</f>
        <v>5360.9433455674753</v>
      </c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7"/>
      <c r="V112" s="27"/>
    </row>
    <row r="113" spans="1:22" s="21" customFormat="1">
      <c r="A113" s="23" t="s">
        <v>217</v>
      </c>
      <c r="B113" s="24">
        <f>B112/10</f>
        <v>514</v>
      </c>
      <c r="C113" s="25">
        <f t="shared" ref="C113:F113" si="10">C112/10</f>
        <v>18.04995559429701</v>
      </c>
      <c r="D113" s="25">
        <f t="shared" si="10"/>
        <v>18.384933450028235</v>
      </c>
      <c r="E113" s="25">
        <f t="shared" si="10"/>
        <v>76.928422268492369</v>
      </c>
      <c r="F113" s="25">
        <f t="shared" si="10"/>
        <v>536.09433455674753</v>
      </c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7"/>
      <c r="V113" s="27"/>
    </row>
  </sheetData>
  <mergeCells count="108">
    <mergeCell ref="A18:V18"/>
    <mergeCell ref="A16:A17"/>
    <mergeCell ref="B16:B17"/>
    <mergeCell ref="C16:E16"/>
    <mergeCell ref="F16:F17"/>
    <mergeCell ref="G16:L16"/>
    <mergeCell ref="A1:C1"/>
    <mergeCell ref="A3:V3"/>
    <mergeCell ref="A5:V5"/>
    <mergeCell ref="A15:V15"/>
    <mergeCell ref="K1:V2"/>
    <mergeCell ref="A4:V4"/>
    <mergeCell ref="M16:T16"/>
    <mergeCell ref="U16:U17"/>
    <mergeCell ref="V16:V17"/>
    <mergeCell ref="A6:A7"/>
    <mergeCell ref="B6:B7"/>
    <mergeCell ref="C6:E6"/>
    <mergeCell ref="F6:F7"/>
    <mergeCell ref="G6:L6"/>
    <mergeCell ref="M6:T6"/>
    <mergeCell ref="U6:U7"/>
    <mergeCell ref="V6:V7"/>
    <mergeCell ref="A30:V30"/>
    <mergeCell ref="A37:V37"/>
    <mergeCell ref="A27:V27"/>
    <mergeCell ref="A28:A29"/>
    <mergeCell ref="B28:B29"/>
    <mergeCell ref="C28:E28"/>
    <mergeCell ref="F28:F29"/>
    <mergeCell ref="G28:L28"/>
    <mergeCell ref="M28:T28"/>
    <mergeCell ref="U28:U29"/>
    <mergeCell ref="V28:V29"/>
    <mergeCell ref="M38:T38"/>
    <mergeCell ref="U38:U39"/>
    <mergeCell ref="V38:V39"/>
    <mergeCell ref="A40:V40"/>
    <mergeCell ref="A47:V47"/>
    <mergeCell ref="A38:A39"/>
    <mergeCell ref="B38:B39"/>
    <mergeCell ref="C38:E38"/>
    <mergeCell ref="F38:F39"/>
    <mergeCell ref="G38:L38"/>
    <mergeCell ref="M48:T48"/>
    <mergeCell ref="U48:U49"/>
    <mergeCell ref="V48:V49"/>
    <mergeCell ref="A50:V50"/>
    <mergeCell ref="A48:A49"/>
    <mergeCell ref="B48:B49"/>
    <mergeCell ref="C48:E48"/>
    <mergeCell ref="F48:F49"/>
    <mergeCell ref="G48:L48"/>
    <mergeCell ref="M59:T59"/>
    <mergeCell ref="U59:U60"/>
    <mergeCell ref="V59:V60"/>
    <mergeCell ref="A61:V61"/>
    <mergeCell ref="A67:V67"/>
    <mergeCell ref="A59:A60"/>
    <mergeCell ref="B59:B60"/>
    <mergeCell ref="C59:E59"/>
    <mergeCell ref="F59:F60"/>
    <mergeCell ref="G59:L59"/>
    <mergeCell ref="M68:T68"/>
    <mergeCell ref="U68:U69"/>
    <mergeCell ref="V68:V69"/>
    <mergeCell ref="A70:V70"/>
    <mergeCell ref="A78:V78"/>
    <mergeCell ref="A68:A69"/>
    <mergeCell ref="B68:B69"/>
    <mergeCell ref="C68:E68"/>
    <mergeCell ref="F68:F69"/>
    <mergeCell ref="G68:L68"/>
    <mergeCell ref="G89:L89"/>
    <mergeCell ref="M79:T79"/>
    <mergeCell ref="U79:U80"/>
    <mergeCell ref="V79:V80"/>
    <mergeCell ref="A81:V81"/>
    <mergeCell ref="A88:V88"/>
    <mergeCell ref="A79:A80"/>
    <mergeCell ref="B79:B80"/>
    <mergeCell ref="C79:E79"/>
    <mergeCell ref="F79:F80"/>
    <mergeCell ref="G79:L79"/>
    <mergeCell ref="A58:V58"/>
    <mergeCell ref="A110:A111"/>
    <mergeCell ref="B110:B111"/>
    <mergeCell ref="C110:E110"/>
    <mergeCell ref="F110:F111"/>
    <mergeCell ref="A99:A100"/>
    <mergeCell ref="B99:B100"/>
    <mergeCell ref="C99:E99"/>
    <mergeCell ref="F99:F100"/>
    <mergeCell ref="A98:V98"/>
    <mergeCell ref="M99:T99"/>
    <mergeCell ref="U99:U100"/>
    <mergeCell ref="V99:V100"/>
    <mergeCell ref="A101:V101"/>
    <mergeCell ref="G99:L99"/>
    <mergeCell ref="M89:T89"/>
    <mergeCell ref="U89:U90"/>
    <mergeCell ref="V89:V90"/>
    <mergeCell ref="A91:V91"/>
    <mergeCell ref="A92:V92"/>
    <mergeCell ref="A89:A90"/>
    <mergeCell ref="B89:B90"/>
    <mergeCell ref="C89:E89"/>
    <mergeCell ref="F89:F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32"/>
  <sheetViews>
    <sheetView workbookViewId="0">
      <selection activeCell="E24" sqref="E24"/>
    </sheetView>
  </sheetViews>
  <sheetFormatPr defaultRowHeight="10.5"/>
  <cols>
    <col min="1" max="1" width="50" customWidth="1"/>
    <col min="2" max="2" width="12.6640625" customWidth="1"/>
    <col min="3" max="3" width="13.1640625" style="38" customWidth="1"/>
    <col min="4" max="4" width="12.1640625" style="38" customWidth="1"/>
    <col min="5" max="5" width="11.83203125" style="38" customWidth="1"/>
    <col min="6" max="6" width="12.5" style="38" customWidth="1"/>
    <col min="7" max="16" width="9.33203125" style="38" bestFit="1" customWidth="1"/>
    <col min="17" max="17" width="11.33203125" style="38" bestFit="1" customWidth="1"/>
    <col min="18" max="20" width="9.33203125" style="38" bestFit="1" customWidth="1"/>
  </cols>
  <sheetData>
    <row r="1" spans="1:23" s="8" customFormat="1" ht="82.5" customHeight="1">
      <c r="A1" s="87" t="s">
        <v>280</v>
      </c>
      <c r="B1" s="87"/>
      <c r="C1" s="87"/>
      <c r="D1" s="29"/>
      <c r="E1" s="29"/>
      <c r="F1" s="29"/>
      <c r="G1" s="29"/>
      <c r="H1" s="29"/>
      <c r="I1" s="29"/>
      <c r="J1" s="29"/>
      <c r="K1" s="88" t="s">
        <v>281</v>
      </c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3" s="8" customFormat="1" ht="22.9" customHeight="1">
      <c r="A2" s="78"/>
      <c r="C2" s="29"/>
      <c r="D2" s="29"/>
      <c r="E2" s="29"/>
      <c r="F2" s="29"/>
      <c r="G2" s="29"/>
      <c r="H2" s="29"/>
      <c r="I2" s="29"/>
      <c r="J2" s="2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3" s="1" customFormat="1" ht="13.5" customHeight="1">
      <c r="A3" s="90" t="s">
        <v>279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12"/>
    </row>
    <row r="4" spans="1:23" s="32" customFormat="1" ht="13.5" customHeight="1">
      <c r="A4" s="109" t="s">
        <v>239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31"/>
    </row>
    <row r="5" spans="1:23" s="3" customFormat="1" ht="28.35" customHeight="1">
      <c r="A5" s="108" t="s">
        <v>276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3" s="48" customFormat="1" ht="13.35" customHeight="1">
      <c r="A6" s="117" t="s">
        <v>1</v>
      </c>
      <c r="B6" s="111" t="s">
        <v>2</v>
      </c>
      <c r="C6" s="113" t="s">
        <v>3</v>
      </c>
      <c r="D6" s="114"/>
      <c r="E6" s="115"/>
      <c r="F6" s="116" t="s">
        <v>4</v>
      </c>
      <c r="G6" s="77" t="s">
        <v>5</v>
      </c>
      <c r="H6" s="113" t="s">
        <v>6</v>
      </c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5"/>
      <c r="U6" s="111" t="s">
        <v>7</v>
      </c>
      <c r="V6" s="111" t="s">
        <v>8</v>
      </c>
    </row>
    <row r="7" spans="1:23" s="48" customFormat="1" ht="26.65" customHeight="1">
      <c r="A7" s="118"/>
      <c r="B7" s="112"/>
      <c r="C7" s="61" t="s">
        <v>9</v>
      </c>
      <c r="D7" s="61" t="s">
        <v>10</v>
      </c>
      <c r="E7" s="61" t="s">
        <v>11</v>
      </c>
      <c r="F7" s="112"/>
      <c r="G7" s="61" t="s">
        <v>12</v>
      </c>
      <c r="H7" s="61" t="s">
        <v>13</v>
      </c>
      <c r="I7" s="61" t="s">
        <v>14</v>
      </c>
      <c r="J7" s="61" t="s">
        <v>15</v>
      </c>
      <c r="K7" s="61" t="s">
        <v>16</v>
      </c>
      <c r="L7" s="61" t="s">
        <v>17</v>
      </c>
      <c r="M7" s="61" t="s">
        <v>18</v>
      </c>
      <c r="N7" s="61" t="s">
        <v>19</v>
      </c>
      <c r="O7" s="61" t="s">
        <v>20</v>
      </c>
      <c r="P7" s="61" t="s">
        <v>21</v>
      </c>
      <c r="Q7" s="61" t="s">
        <v>22</v>
      </c>
      <c r="R7" s="61" t="s">
        <v>23</v>
      </c>
      <c r="S7" s="61" t="s">
        <v>24</v>
      </c>
      <c r="T7" s="61" t="s">
        <v>25</v>
      </c>
      <c r="U7" s="112"/>
      <c r="V7" s="112"/>
    </row>
    <row r="8" spans="1:23" s="48" customFormat="1" ht="14.65" customHeight="1">
      <c r="A8" s="98" t="s">
        <v>40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47"/>
    </row>
    <row r="9" spans="1:23" s="48" customFormat="1" ht="12.2" customHeight="1">
      <c r="A9" s="43" t="s">
        <v>41</v>
      </c>
      <c r="B9" s="44">
        <v>60</v>
      </c>
      <c r="C9" s="45">
        <v>1.5</v>
      </c>
      <c r="D9" s="45">
        <v>7.3</v>
      </c>
      <c r="E9" s="45">
        <v>4.5999999999999996</v>
      </c>
      <c r="F9" s="45">
        <v>71.400000000000006</v>
      </c>
      <c r="G9" s="45">
        <v>0.01</v>
      </c>
      <c r="H9" s="45">
        <v>4.2</v>
      </c>
      <c r="I9" s="45">
        <v>0.11</v>
      </c>
      <c r="J9" s="45">
        <v>0</v>
      </c>
      <c r="K9" s="45">
        <v>0</v>
      </c>
      <c r="L9" s="45">
        <v>0.03</v>
      </c>
      <c r="M9" s="45">
        <v>24.6</v>
      </c>
      <c r="N9" s="45">
        <v>9</v>
      </c>
      <c r="O9" s="45">
        <v>22.2</v>
      </c>
      <c r="P9" s="45">
        <v>0.42</v>
      </c>
      <c r="Q9" s="45">
        <v>189</v>
      </c>
      <c r="R9" s="45">
        <v>0</v>
      </c>
      <c r="S9" s="45">
        <v>0</v>
      </c>
      <c r="T9" s="45">
        <v>0</v>
      </c>
      <c r="U9" s="58" t="s">
        <v>223</v>
      </c>
      <c r="V9" s="58" t="s">
        <v>42</v>
      </c>
      <c r="W9" s="47"/>
    </row>
    <row r="10" spans="1:23" s="48" customFormat="1" ht="12.2" customHeight="1">
      <c r="A10" s="43" t="s">
        <v>43</v>
      </c>
      <c r="B10" s="44">
        <v>200</v>
      </c>
      <c r="C10" s="45">
        <f>10.75*0.2</f>
        <v>2.15</v>
      </c>
      <c r="D10" s="45">
        <f>11.35*0.2</f>
        <v>2.27</v>
      </c>
      <c r="E10" s="45">
        <f>69.82*0.2</f>
        <v>13.963999999999999</v>
      </c>
      <c r="F10" s="45">
        <f>473*0.2</f>
        <v>94.600000000000009</v>
      </c>
      <c r="G10" s="45">
        <f>0.45*0.2</f>
        <v>9.0000000000000011E-2</v>
      </c>
      <c r="H10" s="45">
        <v>6.17</v>
      </c>
      <c r="I10" s="45">
        <v>0.17</v>
      </c>
      <c r="J10" s="45">
        <v>0.99</v>
      </c>
      <c r="K10" s="45">
        <v>0</v>
      </c>
      <c r="L10" s="45">
        <f>0.25*0.2</f>
        <v>0.05</v>
      </c>
      <c r="M10" s="45">
        <f>116.8*0.2</f>
        <v>23.36</v>
      </c>
      <c r="N10" s="45">
        <f>185*0.15</f>
        <v>27.75</v>
      </c>
      <c r="O10" s="45">
        <f>270.3*0.2</f>
        <v>54.06</v>
      </c>
      <c r="P10" s="45">
        <f>4.5*0.2</f>
        <v>0.9</v>
      </c>
      <c r="Q10" s="45">
        <f>1925.7*0.2</f>
        <v>385.14000000000004</v>
      </c>
      <c r="R10" s="45">
        <v>3.96</v>
      </c>
      <c r="S10" s="45">
        <v>0.03</v>
      </c>
      <c r="T10" s="45">
        <v>0</v>
      </c>
      <c r="U10" s="58" t="s">
        <v>44</v>
      </c>
      <c r="V10" s="58" t="s">
        <v>29</v>
      </c>
      <c r="W10" s="47"/>
    </row>
    <row r="11" spans="1:23" s="48" customFormat="1" ht="12.2" customHeight="1">
      <c r="A11" s="43" t="s">
        <v>45</v>
      </c>
      <c r="B11" s="44">
        <v>150</v>
      </c>
      <c r="C11" s="45">
        <f>20.43*0.15</f>
        <v>3.0644999999999998</v>
      </c>
      <c r="D11" s="45">
        <f>32.01*0.15</f>
        <v>4.8014999999999999</v>
      </c>
      <c r="E11" s="45">
        <f>136*0.15</f>
        <v>20.399999999999999</v>
      </c>
      <c r="F11" s="45">
        <f>915*0.15</f>
        <v>137.25</v>
      </c>
      <c r="G11" s="45">
        <f>0.93*0.15</f>
        <v>0.13950000000000001</v>
      </c>
      <c r="H11" s="45">
        <v>8.33</v>
      </c>
      <c r="I11" s="45">
        <v>0.03</v>
      </c>
      <c r="J11" s="45">
        <v>0.22</v>
      </c>
      <c r="K11" s="45">
        <v>0.08</v>
      </c>
      <c r="L11" s="45">
        <f>0.74*0.15</f>
        <v>0.111</v>
      </c>
      <c r="M11" s="45">
        <f>246.5*0.15</f>
        <v>36.975000000000001</v>
      </c>
      <c r="N11" s="45">
        <v>25.06</v>
      </c>
      <c r="O11" s="45">
        <f>577.3*0.15</f>
        <v>86.594999999999985</v>
      </c>
      <c r="P11" s="45">
        <v>1</v>
      </c>
      <c r="Q11" s="45">
        <f>4323*0.15</f>
        <v>648.44999999999993</v>
      </c>
      <c r="R11" s="45">
        <v>7.26</v>
      </c>
      <c r="S11" s="45">
        <v>0.03</v>
      </c>
      <c r="T11" s="45">
        <v>0</v>
      </c>
      <c r="U11" s="46" t="s">
        <v>46</v>
      </c>
      <c r="V11" s="46" t="s">
        <v>29</v>
      </c>
      <c r="W11" s="47"/>
    </row>
    <row r="12" spans="1:23" s="48" customFormat="1" ht="12.2" customHeight="1">
      <c r="A12" s="43" t="s">
        <v>47</v>
      </c>
      <c r="B12" s="44">
        <v>115</v>
      </c>
      <c r="C12" s="45">
        <v>9.4700000000000006</v>
      </c>
      <c r="D12" s="45">
        <v>8.11</v>
      </c>
      <c r="E12" s="45">
        <v>13.48</v>
      </c>
      <c r="F12" s="45">
        <v>165.31</v>
      </c>
      <c r="G12" s="45">
        <f>0.046*115/80</f>
        <v>6.6125000000000003E-2</v>
      </c>
      <c r="H12" s="45">
        <v>0.21</v>
      </c>
      <c r="I12" s="45">
        <v>0.02</v>
      </c>
      <c r="J12" s="45">
        <v>4.29</v>
      </c>
      <c r="K12" s="45">
        <v>0.02</v>
      </c>
      <c r="L12" s="45">
        <f>0.08*115/80</f>
        <v>0.11500000000000002</v>
      </c>
      <c r="M12" s="45">
        <f>44.13*115/80</f>
        <v>63.436875000000008</v>
      </c>
      <c r="N12" s="45">
        <f>22.33*115/80</f>
        <v>32.099374999999995</v>
      </c>
      <c r="O12" s="45">
        <f>99.55*115/80</f>
        <v>143.10312500000001</v>
      </c>
      <c r="P12" s="45">
        <f>0.79*115/80</f>
        <v>1.1356250000000001</v>
      </c>
      <c r="Q12" s="45">
        <f>164.91*115/80</f>
        <v>237.05812499999996</v>
      </c>
      <c r="R12" s="45">
        <v>95.87</v>
      </c>
      <c r="S12" s="45">
        <v>0.4</v>
      </c>
      <c r="T12" s="45">
        <v>0.01</v>
      </c>
      <c r="U12" s="58" t="s">
        <v>48</v>
      </c>
      <c r="V12" s="58" t="s">
        <v>29</v>
      </c>
      <c r="W12" s="47"/>
    </row>
    <row r="13" spans="1:23" s="48" customFormat="1" ht="12.2" customHeight="1">
      <c r="A13" s="43" t="s">
        <v>49</v>
      </c>
      <c r="B13" s="44">
        <v>200</v>
      </c>
      <c r="C13" s="49">
        <f>1.16*0.2</f>
        <v>0.23199999999999998</v>
      </c>
      <c r="D13" s="49">
        <f>0.06*0.2</f>
        <v>1.2E-2</v>
      </c>
      <c r="E13" s="49">
        <f>164.1*0.2</f>
        <v>32.82</v>
      </c>
      <c r="F13" s="49">
        <f>756*0.2</f>
        <v>151.20000000000002</v>
      </c>
      <c r="G13" s="50">
        <v>0</v>
      </c>
      <c r="H13" s="50">
        <v>0.1</v>
      </c>
      <c r="I13" s="50">
        <v>0</v>
      </c>
      <c r="J13" s="50">
        <v>0</v>
      </c>
      <c r="K13" s="50">
        <v>0</v>
      </c>
      <c r="L13" s="50">
        <v>0</v>
      </c>
      <c r="M13" s="50">
        <v>24.05</v>
      </c>
      <c r="N13" s="50">
        <v>5.26</v>
      </c>
      <c r="O13" s="50">
        <v>13.86</v>
      </c>
      <c r="P13" s="50">
        <v>0.65</v>
      </c>
      <c r="Q13" s="50">
        <v>72.17</v>
      </c>
      <c r="R13" s="50">
        <v>0</v>
      </c>
      <c r="S13" s="50">
        <v>0</v>
      </c>
      <c r="T13" s="50">
        <v>0</v>
      </c>
      <c r="U13" s="46" t="s">
        <v>50</v>
      </c>
      <c r="V13" s="46" t="s">
        <v>29</v>
      </c>
      <c r="W13" s="47"/>
    </row>
    <row r="14" spans="1:23" s="48" customFormat="1" ht="12.2" customHeight="1">
      <c r="A14" s="43" t="s">
        <v>51</v>
      </c>
      <c r="B14" s="44">
        <v>40</v>
      </c>
      <c r="C14" s="49">
        <v>3.05</v>
      </c>
      <c r="D14" s="49">
        <v>0.25</v>
      </c>
      <c r="E14" s="49">
        <v>20.07</v>
      </c>
      <c r="F14" s="49">
        <v>94.73</v>
      </c>
      <c r="G14" s="50">
        <v>0.06</v>
      </c>
      <c r="H14" s="50">
        <v>0</v>
      </c>
      <c r="I14" s="50">
        <v>0</v>
      </c>
      <c r="J14" s="50">
        <v>0.78</v>
      </c>
      <c r="K14" s="50">
        <v>0</v>
      </c>
      <c r="L14" s="50">
        <v>0.02</v>
      </c>
      <c r="M14" s="50">
        <v>9.1999999999999993</v>
      </c>
      <c r="N14" s="50">
        <v>13.2</v>
      </c>
      <c r="O14" s="50">
        <v>33.6</v>
      </c>
      <c r="P14" s="50">
        <v>0.8</v>
      </c>
      <c r="Q14" s="50">
        <v>51.6</v>
      </c>
      <c r="R14" s="50">
        <v>0</v>
      </c>
      <c r="S14" s="50">
        <v>0.01</v>
      </c>
      <c r="T14" s="50">
        <v>0</v>
      </c>
      <c r="U14" s="46" t="s">
        <v>223</v>
      </c>
      <c r="V14" s="46" t="s">
        <v>38</v>
      </c>
      <c r="W14" s="47"/>
    </row>
    <row r="15" spans="1:23" s="48" customFormat="1" ht="12.2" customHeight="1">
      <c r="A15" s="43" t="s">
        <v>37</v>
      </c>
      <c r="B15" s="44">
        <v>40</v>
      </c>
      <c r="C15" s="49">
        <v>2.65</v>
      </c>
      <c r="D15" s="49">
        <v>0.35</v>
      </c>
      <c r="E15" s="49">
        <v>16.96</v>
      </c>
      <c r="F15" s="49">
        <v>81.58</v>
      </c>
      <c r="G15" s="50">
        <v>7.0000000000000007E-2</v>
      </c>
      <c r="H15" s="50">
        <v>0</v>
      </c>
      <c r="I15" s="50">
        <v>0</v>
      </c>
      <c r="J15" s="50">
        <v>0.88</v>
      </c>
      <c r="K15" s="50">
        <v>0</v>
      </c>
      <c r="L15" s="50">
        <v>0.03</v>
      </c>
      <c r="M15" s="50">
        <v>7.2</v>
      </c>
      <c r="N15" s="50">
        <v>7.6</v>
      </c>
      <c r="O15" s="50">
        <v>34.799999999999997</v>
      </c>
      <c r="P15" s="50">
        <v>1.6</v>
      </c>
      <c r="Q15" s="50">
        <v>54.4</v>
      </c>
      <c r="R15" s="50">
        <v>2.2400000000000002</v>
      </c>
      <c r="S15" s="50">
        <v>0</v>
      </c>
      <c r="T15" s="50">
        <v>0</v>
      </c>
      <c r="U15" s="46" t="s">
        <v>223</v>
      </c>
      <c r="V15" s="46" t="s">
        <v>38</v>
      </c>
      <c r="W15" s="47"/>
    </row>
    <row r="16" spans="1:23" s="48" customFormat="1" ht="21.6" customHeight="1">
      <c r="A16" s="59" t="s">
        <v>39</v>
      </c>
      <c r="B16" s="60">
        <f t="shared" ref="B16:U16" si="0">SUM(B9:B15)</f>
        <v>805</v>
      </c>
      <c r="C16" s="61">
        <f t="shared" si="0"/>
        <v>22.116499999999998</v>
      </c>
      <c r="D16" s="61">
        <f t="shared" si="0"/>
        <v>23.093500000000002</v>
      </c>
      <c r="E16" s="61">
        <f t="shared" si="0"/>
        <v>122.29400000000001</v>
      </c>
      <c r="F16" s="61">
        <f t="shared" si="0"/>
        <v>796.07</v>
      </c>
      <c r="G16" s="61">
        <f t="shared" si="0"/>
        <v>0.43562500000000004</v>
      </c>
      <c r="H16" s="61">
        <f t="shared" si="0"/>
        <v>19.010000000000005</v>
      </c>
      <c r="I16" s="61">
        <f t="shared" si="0"/>
        <v>0.33000000000000007</v>
      </c>
      <c r="J16" s="61">
        <f t="shared" si="0"/>
        <v>7.16</v>
      </c>
      <c r="K16" s="61">
        <f t="shared" si="0"/>
        <v>0.1</v>
      </c>
      <c r="L16" s="61">
        <f t="shared" si="0"/>
        <v>0.35600000000000009</v>
      </c>
      <c r="M16" s="61">
        <f t="shared" si="0"/>
        <v>188.82187500000001</v>
      </c>
      <c r="N16" s="61">
        <f t="shared" si="0"/>
        <v>119.969375</v>
      </c>
      <c r="O16" s="61">
        <f t="shared" si="0"/>
        <v>388.21812500000004</v>
      </c>
      <c r="P16" s="61">
        <f t="shared" si="0"/>
        <v>6.5056250000000002</v>
      </c>
      <c r="Q16" s="61">
        <f t="shared" si="0"/>
        <v>1637.8181250000002</v>
      </c>
      <c r="R16" s="61">
        <f t="shared" si="0"/>
        <v>109.33</v>
      </c>
      <c r="S16" s="61">
        <f t="shared" si="0"/>
        <v>0.47000000000000003</v>
      </c>
      <c r="T16" s="61">
        <f t="shared" si="0"/>
        <v>0.01</v>
      </c>
      <c r="U16" s="60">
        <f t="shared" si="0"/>
        <v>0</v>
      </c>
      <c r="V16" s="62"/>
    </row>
    <row r="17" spans="1:23" s="7" customFormat="1" ht="28.35" customHeight="1">
      <c r="A17" s="104" t="s">
        <v>263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</row>
    <row r="18" spans="1:23" s="48" customFormat="1" ht="13.35" customHeight="1">
      <c r="A18" s="117" t="s">
        <v>1</v>
      </c>
      <c r="B18" s="111" t="s">
        <v>2</v>
      </c>
      <c r="C18" s="113" t="s">
        <v>3</v>
      </c>
      <c r="D18" s="114"/>
      <c r="E18" s="115"/>
      <c r="F18" s="116" t="s">
        <v>4</v>
      </c>
      <c r="G18" s="77" t="s">
        <v>5</v>
      </c>
      <c r="H18" s="113" t="s">
        <v>6</v>
      </c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U18" s="111" t="s">
        <v>7</v>
      </c>
      <c r="V18" s="111" t="s">
        <v>8</v>
      </c>
    </row>
    <row r="19" spans="1:23" s="48" customFormat="1" ht="26.65" customHeight="1">
      <c r="A19" s="118"/>
      <c r="B19" s="112"/>
      <c r="C19" s="61" t="s">
        <v>9</v>
      </c>
      <c r="D19" s="61" t="s">
        <v>10</v>
      </c>
      <c r="E19" s="61" t="s">
        <v>11</v>
      </c>
      <c r="F19" s="112"/>
      <c r="G19" s="61" t="s">
        <v>12</v>
      </c>
      <c r="H19" s="61" t="s">
        <v>13</v>
      </c>
      <c r="I19" s="61" t="s">
        <v>14</v>
      </c>
      <c r="J19" s="61" t="s">
        <v>15</v>
      </c>
      <c r="K19" s="61" t="s">
        <v>16</v>
      </c>
      <c r="L19" s="61" t="s">
        <v>17</v>
      </c>
      <c r="M19" s="61" t="s">
        <v>18</v>
      </c>
      <c r="N19" s="61" t="s">
        <v>19</v>
      </c>
      <c r="O19" s="61" t="s">
        <v>20</v>
      </c>
      <c r="P19" s="61" t="s">
        <v>21</v>
      </c>
      <c r="Q19" s="61" t="s">
        <v>22</v>
      </c>
      <c r="R19" s="61" t="s">
        <v>23</v>
      </c>
      <c r="S19" s="61" t="s">
        <v>24</v>
      </c>
      <c r="T19" s="61" t="s">
        <v>25</v>
      </c>
      <c r="U19" s="112"/>
      <c r="V19" s="112"/>
    </row>
    <row r="20" spans="1:23" s="48" customFormat="1" ht="14.65" customHeight="1">
      <c r="A20" s="98" t="s">
        <v>40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5"/>
      <c r="W20" s="47"/>
    </row>
    <row r="21" spans="1:23" s="48" customFormat="1" ht="12.2" customHeight="1">
      <c r="A21" s="43" t="s">
        <v>65</v>
      </c>
      <c r="B21" s="44">
        <v>60</v>
      </c>
      <c r="C21" s="45">
        <v>0.9</v>
      </c>
      <c r="D21" s="45">
        <v>4.7</v>
      </c>
      <c r="E21" s="45">
        <v>11.4</v>
      </c>
      <c r="F21" s="45">
        <v>74.5</v>
      </c>
      <c r="G21" s="45">
        <v>0.02</v>
      </c>
      <c r="H21" s="45">
        <v>2</v>
      </c>
      <c r="I21" s="45">
        <v>0</v>
      </c>
      <c r="J21" s="45">
        <v>1.58</v>
      </c>
      <c r="K21" s="45">
        <v>0</v>
      </c>
      <c r="L21" s="45">
        <v>0.02</v>
      </c>
      <c r="M21" s="45">
        <v>22.41</v>
      </c>
      <c r="N21" s="45">
        <v>12.92</v>
      </c>
      <c r="O21" s="45">
        <v>28.71</v>
      </c>
      <c r="P21" s="45">
        <v>0.85</v>
      </c>
      <c r="Q21" s="45">
        <v>210.4</v>
      </c>
      <c r="R21" s="45">
        <v>3.5</v>
      </c>
      <c r="S21" s="45">
        <v>0.01</v>
      </c>
      <c r="T21" s="45">
        <v>0</v>
      </c>
      <c r="U21" s="46" t="s">
        <v>203</v>
      </c>
      <c r="V21" s="46">
        <v>2022</v>
      </c>
      <c r="W21" s="47"/>
    </row>
    <row r="22" spans="1:23" s="48" customFormat="1" ht="12.2" customHeight="1">
      <c r="A22" s="43" t="s">
        <v>66</v>
      </c>
      <c r="B22" s="44">
        <v>200</v>
      </c>
      <c r="C22" s="45">
        <f>7.02*0.2</f>
        <v>1.4039999999999999</v>
      </c>
      <c r="D22" s="45">
        <f>19.54*0.2</f>
        <v>3.9079999999999999</v>
      </c>
      <c r="E22" s="45">
        <f>23.6*0.2</f>
        <v>4.7200000000000006</v>
      </c>
      <c r="F22" s="45">
        <f>320*0.2</f>
        <v>64</v>
      </c>
      <c r="G22" s="45">
        <f>0.15*0.2</f>
        <v>0.03</v>
      </c>
      <c r="H22" s="45">
        <v>10.95</v>
      </c>
      <c r="I22" s="45">
        <v>0.15</v>
      </c>
      <c r="J22" s="45">
        <v>1.78</v>
      </c>
      <c r="K22" s="45">
        <v>0</v>
      </c>
      <c r="L22" s="45">
        <v>0.03</v>
      </c>
      <c r="M22" s="45">
        <f>202.9*0.2</f>
        <v>40.580000000000005</v>
      </c>
      <c r="N22" s="45">
        <f>75*0.2</f>
        <v>15</v>
      </c>
      <c r="O22" s="45">
        <f>155.4*0.2</f>
        <v>31.080000000000002</v>
      </c>
      <c r="P22" s="45">
        <f>2.7*0.2</f>
        <v>0.54</v>
      </c>
      <c r="Q22" s="45">
        <f>1082.2*0.2</f>
        <v>216.44000000000003</v>
      </c>
      <c r="R22" s="45">
        <v>2.33</v>
      </c>
      <c r="S22" s="45">
        <v>0.01</v>
      </c>
      <c r="T22" s="45">
        <v>0</v>
      </c>
      <c r="U22" s="46" t="s">
        <v>67</v>
      </c>
      <c r="V22" s="46" t="s">
        <v>29</v>
      </c>
      <c r="W22" s="47"/>
    </row>
    <row r="23" spans="1:23" s="48" customFormat="1" ht="12.2" customHeight="1">
      <c r="A23" s="43" t="s">
        <v>253</v>
      </c>
      <c r="B23" s="44">
        <v>150</v>
      </c>
      <c r="C23" s="45">
        <v>13.91</v>
      </c>
      <c r="D23" s="45">
        <v>8.0500000000000007</v>
      </c>
      <c r="E23" s="45">
        <v>27.34</v>
      </c>
      <c r="F23" s="45">
        <v>237</v>
      </c>
      <c r="G23" s="45">
        <v>0.11</v>
      </c>
      <c r="H23" s="45">
        <v>1.79</v>
      </c>
      <c r="I23" s="45">
        <v>0.21</v>
      </c>
      <c r="J23" s="45">
        <v>3.34</v>
      </c>
      <c r="K23" s="45">
        <v>0</v>
      </c>
      <c r="L23" s="45">
        <v>0.11</v>
      </c>
      <c r="M23" s="45">
        <v>27.07</v>
      </c>
      <c r="N23" s="45">
        <v>45</v>
      </c>
      <c r="O23" s="45">
        <v>142</v>
      </c>
      <c r="P23" s="45">
        <v>1.4</v>
      </c>
      <c r="Q23" s="45">
        <v>230.3</v>
      </c>
      <c r="R23" s="45">
        <v>5.43</v>
      </c>
      <c r="S23" s="45">
        <v>0.1</v>
      </c>
      <c r="T23" s="45">
        <v>0.02</v>
      </c>
      <c r="U23" s="46" t="s">
        <v>68</v>
      </c>
      <c r="V23" s="46" t="s">
        <v>29</v>
      </c>
      <c r="W23" s="47"/>
    </row>
    <row r="24" spans="1:23" s="48" customFormat="1" ht="12.2" customHeight="1">
      <c r="A24" s="43" t="s">
        <v>305</v>
      </c>
      <c r="B24" s="44">
        <v>180</v>
      </c>
      <c r="C24" s="49">
        <v>5.22</v>
      </c>
      <c r="D24" s="49">
        <v>4.5</v>
      </c>
      <c r="E24" s="49">
        <v>7.2</v>
      </c>
      <c r="F24" s="49">
        <v>95.4</v>
      </c>
      <c r="G24" s="50">
        <v>7.0000000000000007E-2</v>
      </c>
      <c r="H24" s="50">
        <v>1.26</v>
      </c>
      <c r="I24" s="50">
        <v>0.05</v>
      </c>
      <c r="J24" s="50">
        <v>0.13</v>
      </c>
      <c r="K24" s="50">
        <v>0</v>
      </c>
      <c r="L24" s="50">
        <v>0.31</v>
      </c>
      <c r="M24" s="50">
        <v>216</v>
      </c>
      <c r="N24" s="50">
        <v>25.2</v>
      </c>
      <c r="O24" s="50">
        <v>171</v>
      </c>
      <c r="P24" s="50">
        <v>0.18</v>
      </c>
      <c r="Q24" s="50">
        <v>262.8</v>
      </c>
      <c r="R24" s="50">
        <v>16.2</v>
      </c>
      <c r="S24" s="50">
        <v>0.04</v>
      </c>
      <c r="T24" s="50">
        <v>0</v>
      </c>
      <c r="U24" s="46" t="s">
        <v>223</v>
      </c>
      <c r="V24" s="46">
        <v>2017</v>
      </c>
      <c r="W24" s="47"/>
    </row>
    <row r="25" spans="1:23" s="48" customFormat="1" ht="12.2" customHeight="1">
      <c r="A25" s="43" t="s">
        <v>290</v>
      </c>
      <c r="B25" s="44">
        <v>150</v>
      </c>
      <c r="C25" s="45">
        <v>1.4</v>
      </c>
      <c r="D25" s="45">
        <v>0.3</v>
      </c>
      <c r="E25" s="45">
        <v>12.2</v>
      </c>
      <c r="F25" s="45">
        <v>64.5</v>
      </c>
      <c r="G25" s="45">
        <v>0.06</v>
      </c>
      <c r="H25" s="45">
        <v>90</v>
      </c>
      <c r="I25" s="45">
        <v>0.02</v>
      </c>
      <c r="J25" s="45">
        <v>0.33</v>
      </c>
      <c r="K25" s="45">
        <v>0</v>
      </c>
      <c r="L25" s="45">
        <v>0.05</v>
      </c>
      <c r="M25" s="45">
        <v>51</v>
      </c>
      <c r="N25" s="45">
        <v>19.5</v>
      </c>
      <c r="O25" s="45">
        <v>34.5</v>
      </c>
      <c r="P25" s="45">
        <v>0.45</v>
      </c>
      <c r="Q25" s="45">
        <v>295.5</v>
      </c>
      <c r="R25" s="45">
        <v>3</v>
      </c>
      <c r="S25" s="45">
        <v>0.03</v>
      </c>
      <c r="T25" s="45">
        <v>0</v>
      </c>
      <c r="U25" s="58" t="s">
        <v>251</v>
      </c>
      <c r="V25" s="46" t="s">
        <v>29</v>
      </c>
      <c r="W25" s="47"/>
    </row>
    <row r="26" spans="1:23" s="48" customFormat="1" ht="12.2" customHeight="1">
      <c r="A26" s="43" t="s">
        <v>51</v>
      </c>
      <c r="B26" s="44">
        <v>30</v>
      </c>
      <c r="C26" s="45">
        <v>2.2999999999999998</v>
      </c>
      <c r="D26" s="45">
        <v>0.19</v>
      </c>
      <c r="E26" s="45">
        <v>15.05</v>
      </c>
      <c r="F26" s="45">
        <v>71.05</v>
      </c>
      <c r="G26" s="45">
        <v>0.05</v>
      </c>
      <c r="H26" s="45">
        <v>0</v>
      </c>
      <c r="I26" s="45">
        <v>0</v>
      </c>
      <c r="J26" s="45">
        <v>0.59</v>
      </c>
      <c r="K26" s="45">
        <v>0</v>
      </c>
      <c r="L26" s="45">
        <v>0.02</v>
      </c>
      <c r="M26" s="45">
        <v>6.9</v>
      </c>
      <c r="N26" s="45">
        <v>9.9</v>
      </c>
      <c r="O26" s="45">
        <v>25.2</v>
      </c>
      <c r="P26" s="45">
        <v>0.6</v>
      </c>
      <c r="Q26" s="45">
        <v>38.700000000000003</v>
      </c>
      <c r="R26" s="45">
        <v>0</v>
      </c>
      <c r="S26" s="45">
        <v>0</v>
      </c>
      <c r="T26" s="45">
        <v>0</v>
      </c>
      <c r="U26" s="46" t="s">
        <v>223</v>
      </c>
      <c r="V26" s="46" t="s">
        <v>38</v>
      </c>
      <c r="W26" s="47"/>
    </row>
    <row r="27" spans="1:23" s="48" customFormat="1" ht="12.2" customHeight="1">
      <c r="A27" s="43" t="s">
        <v>37</v>
      </c>
      <c r="B27" s="44">
        <v>30</v>
      </c>
      <c r="C27" s="49">
        <v>1.99</v>
      </c>
      <c r="D27" s="49">
        <v>0.26</v>
      </c>
      <c r="E27" s="49">
        <v>12.72</v>
      </c>
      <c r="F27" s="49">
        <v>61.19</v>
      </c>
      <c r="G27" s="50">
        <v>0.05</v>
      </c>
      <c r="H27" s="50">
        <v>0</v>
      </c>
      <c r="I27" s="50">
        <v>0</v>
      </c>
      <c r="J27" s="50">
        <v>0.66</v>
      </c>
      <c r="K27" s="50">
        <v>0</v>
      </c>
      <c r="L27" s="50">
        <v>0.02</v>
      </c>
      <c r="M27" s="50">
        <v>5.4</v>
      </c>
      <c r="N27" s="50">
        <v>5.7</v>
      </c>
      <c r="O27" s="50">
        <v>26.1</v>
      </c>
      <c r="P27" s="50">
        <v>1.2</v>
      </c>
      <c r="Q27" s="50">
        <v>40.799999999999997</v>
      </c>
      <c r="R27" s="50">
        <v>1.68</v>
      </c>
      <c r="S27" s="50">
        <v>0</v>
      </c>
      <c r="T27" s="50">
        <v>0</v>
      </c>
      <c r="U27" s="46" t="s">
        <v>223</v>
      </c>
      <c r="V27" s="46" t="s">
        <v>38</v>
      </c>
      <c r="W27" s="47"/>
    </row>
    <row r="28" spans="1:23" s="48" customFormat="1" ht="21.6" customHeight="1">
      <c r="A28" s="51" t="s">
        <v>39</v>
      </c>
      <c r="B28" s="52">
        <f t="shared" ref="B28:T28" si="1">SUM(B21:B27)</f>
        <v>800</v>
      </c>
      <c r="C28" s="53">
        <f t="shared" si="1"/>
        <v>27.123999999999995</v>
      </c>
      <c r="D28" s="53">
        <f t="shared" si="1"/>
        <v>21.908000000000005</v>
      </c>
      <c r="E28" s="53">
        <f t="shared" si="1"/>
        <v>90.63</v>
      </c>
      <c r="F28" s="53">
        <f t="shared" si="1"/>
        <v>667.63999999999987</v>
      </c>
      <c r="G28" s="53">
        <f t="shared" si="1"/>
        <v>0.39</v>
      </c>
      <c r="H28" s="53">
        <f t="shared" si="1"/>
        <v>106</v>
      </c>
      <c r="I28" s="53">
        <f t="shared" si="1"/>
        <v>0.43</v>
      </c>
      <c r="J28" s="53">
        <f t="shared" si="1"/>
        <v>8.41</v>
      </c>
      <c r="K28" s="53">
        <f t="shared" si="1"/>
        <v>0</v>
      </c>
      <c r="L28" s="53">
        <f t="shared" si="1"/>
        <v>0.56000000000000005</v>
      </c>
      <c r="M28" s="53">
        <f t="shared" si="1"/>
        <v>369.35999999999996</v>
      </c>
      <c r="N28" s="53">
        <f t="shared" si="1"/>
        <v>133.22</v>
      </c>
      <c r="O28" s="53">
        <f t="shared" si="1"/>
        <v>458.59000000000003</v>
      </c>
      <c r="P28" s="53">
        <f t="shared" si="1"/>
        <v>5.2200000000000006</v>
      </c>
      <c r="Q28" s="53">
        <f t="shared" si="1"/>
        <v>1294.94</v>
      </c>
      <c r="R28" s="53">
        <f t="shared" si="1"/>
        <v>32.14</v>
      </c>
      <c r="S28" s="53">
        <f t="shared" si="1"/>
        <v>0.19</v>
      </c>
      <c r="T28" s="53">
        <f t="shared" si="1"/>
        <v>0.02</v>
      </c>
      <c r="U28" s="54"/>
      <c r="V28" s="54"/>
      <c r="W28" s="47"/>
    </row>
    <row r="29" spans="1:23" s="7" customFormat="1" ht="28.35" customHeight="1">
      <c r="A29" s="104" t="s">
        <v>264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</row>
    <row r="30" spans="1:23" s="48" customFormat="1" ht="13.35" customHeight="1">
      <c r="A30" s="117" t="s">
        <v>1</v>
      </c>
      <c r="B30" s="111" t="s">
        <v>2</v>
      </c>
      <c r="C30" s="113" t="s">
        <v>3</v>
      </c>
      <c r="D30" s="114"/>
      <c r="E30" s="115"/>
      <c r="F30" s="116" t="s">
        <v>4</v>
      </c>
      <c r="G30" s="77" t="s">
        <v>5</v>
      </c>
      <c r="H30" s="113" t="s">
        <v>6</v>
      </c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5"/>
      <c r="U30" s="111" t="s">
        <v>7</v>
      </c>
      <c r="V30" s="111" t="s">
        <v>8</v>
      </c>
    </row>
    <row r="31" spans="1:23" s="48" customFormat="1" ht="26.65" customHeight="1">
      <c r="A31" s="118"/>
      <c r="B31" s="112"/>
      <c r="C31" s="61" t="s">
        <v>9</v>
      </c>
      <c r="D31" s="61" t="s">
        <v>10</v>
      </c>
      <c r="E31" s="61" t="s">
        <v>11</v>
      </c>
      <c r="F31" s="112"/>
      <c r="G31" s="61" t="s">
        <v>12</v>
      </c>
      <c r="H31" s="61" t="s">
        <v>13</v>
      </c>
      <c r="I31" s="61" t="s">
        <v>14</v>
      </c>
      <c r="J31" s="61" t="s">
        <v>15</v>
      </c>
      <c r="K31" s="61" t="s">
        <v>16</v>
      </c>
      <c r="L31" s="61" t="s">
        <v>17</v>
      </c>
      <c r="M31" s="61" t="s">
        <v>18</v>
      </c>
      <c r="N31" s="61" t="s">
        <v>19</v>
      </c>
      <c r="O31" s="61" t="s">
        <v>20</v>
      </c>
      <c r="P31" s="61" t="s">
        <v>21</v>
      </c>
      <c r="Q31" s="61" t="s">
        <v>22</v>
      </c>
      <c r="R31" s="61" t="s">
        <v>23</v>
      </c>
      <c r="S31" s="61" t="s">
        <v>24</v>
      </c>
      <c r="T31" s="61" t="s">
        <v>25</v>
      </c>
      <c r="U31" s="112"/>
      <c r="V31" s="112"/>
    </row>
    <row r="32" spans="1:23" s="48" customFormat="1" ht="14.65" customHeight="1">
      <c r="A32" s="98" t="s">
        <v>40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5"/>
      <c r="W32" s="47"/>
    </row>
    <row r="33" spans="1:23" s="48" customFormat="1" ht="12.2" customHeight="1">
      <c r="A33" s="43" t="s">
        <v>304</v>
      </c>
      <c r="B33" s="44">
        <v>60</v>
      </c>
      <c r="C33" s="45">
        <v>0.67</v>
      </c>
      <c r="D33" s="45">
        <v>0.12</v>
      </c>
      <c r="E33" s="45">
        <v>2.2799999999999998</v>
      </c>
      <c r="F33" s="45">
        <v>13.2</v>
      </c>
      <c r="G33" s="45">
        <v>0.02</v>
      </c>
      <c r="H33" s="45">
        <v>2.4500000000000002</v>
      </c>
      <c r="I33" s="45">
        <v>0</v>
      </c>
      <c r="J33" s="45">
        <v>0</v>
      </c>
      <c r="K33" s="45">
        <v>0</v>
      </c>
      <c r="L33" s="45">
        <v>0.01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6">
        <v>71</v>
      </c>
      <c r="V33" s="46" t="s">
        <v>29</v>
      </c>
      <c r="W33" s="47"/>
    </row>
    <row r="34" spans="1:23" s="48" customFormat="1" ht="12.2" customHeight="1">
      <c r="A34" s="43" t="s">
        <v>81</v>
      </c>
      <c r="B34" s="44">
        <v>200</v>
      </c>
      <c r="C34" s="45">
        <f>5.93*0.2</f>
        <v>1.1859999999999999</v>
      </c>
      <c r="D34" s="45">
        <f>19.67*0.2</f>
        <v>3.9340000000000006</v>
      </c>
      <c r="E34" s="45">
        <f>44.36*0.2</f>
        <v>8.8719999999999999</v>
      </c>
      <c r="F34" s="45">
        <f>305*0.2</f>
        <v>61</v>
      </c>
      <c r="G34" s="45">
        <v>0.04</v>
      </c>
      <c r="H34" s="45">
        <v>6.27</v>
      </c>
      <c r="I34" s="45">
        <v>0.16</v>
      </c>
      <c r="J34" s="45">
        <v>1.74</v>
      </c>
      <c r="K34" s="45">
        <v>0</v>
      </c>
      <c r="L34" s="45">
        <v>0.03</v>
      </c>
      <c r="M34" s="45">
        <v>34.979999999999997</v>
      </c>
      <c r="N34" s="45">
        <v>14.83</v>
      </c>
      <c r="O34" s="45">
        <v>39.78</v>
      </c>
      <c r="P34" s="45">
        <v>0.65</v>
      </c>
      <c r="Q34" s="45">
        <v>196.91</v>
      </c>
      <c r="R34" s="45">
        <v>2.66</v>
      </c>
      <c r="S34" s="45">
        <v>0.02</v>
      </c>
      <c r="T34" s="45">
        <v>0</v>
      </c>
      <c r="U34" s="46" t="s">
        <v>82</v>
      </c>
      <c r="V34" s="46">
        <v>2017</v>
      </c>
      <c r="W34" s="47"/>
    </row>
    <row r="35" spans="1:23" s="48" customFormat="1" ht="12.2" customHeight="1">
      <c r="A35" s="43" t="s">
        <v>83</v>
      </c>
      <c r="B35" s="44">
        <v>150</v>
      </c>
      <c r="C35" s="45">
        <f>2.77*150/105</f>
        <v>3.9571428571428573</v>
      </c>
      <c r="D35" s="45">
        <f>6.99*150/105</f>
        <v>9.9857142857142858</v>
      </c>
      <c r="E35" s="45">
        <f>11.6*150/105</f>
        <v>16.571428571428573</v>
      </c>
      <c r="F35" s="45">
        <f>142*150/105</f>
        <v>202.85714285714286</v>
      </c>
      <c r="G35" s="45">
        <f>0.06*150/105</f>
        <v>8.5714285714285715E-2</v>
      </c>
      <c r="H35" s="45">
        <f>12.51*150/105</f>
        <v>17.87142857142857</v>
      </c>
      <c r="I35" s="45">
        <f>46*150/105</f>
        <v>65.714285714285708</v>
      </c>
      <c r="J35" s="45">
        <v>2.74</v>
      </c>
      <c r="K35" s="45">
        <v>0</v>
      </c>
      <c r="L35" s="45">
        <f>0.06*150/105</f>
        <v>8.5714285714285715E-2</v>
      </c>
      <c r="M35" s="45">
        <f>37.16*150/105</f>
        <v>53.085714285714275</v>
      </c>
      <c r="N35" s="45">
        <f>16.26*150/105</f>
        <v>23.228571428571431</v>
      </c>
      <c r="O35" s="45">
        <f>45*150/105</f>
        <v>64.285714285714292</v>
      </c>
      <c r="P35" s="45">
        <f>0.6*150/105</f>
        <v>0.8571428571428571</v>
      </c>
      <c r="Q35" s="45">
        <f>264.66*150/105</f>
        <v>378.08571428571435</v>
      </c>
      <c r="R35" s="45">
        <v>5.42</v>
      </c>
      <c r="S35" s="45">
        <v>0.03</v>
      </c>
      <c r="T35" s="45">
        <v>0</v>
      </c>
      <c r="U35" s="46" t="s">
        <v>84</v>
      </c>
      <c r="V35" s="46" t="s">
        <v>29</v>
      </c>
      <c r="W35" s="47"/>
    </row>
    <row r="36" spans="1:23" s="48" customFormat="1" ht="12.2" customHeight="1">
      <c r="A36" s="43" t="s">
        <v>249</v>
      </c>
      <c r="B36" s="44">
        <v>90</v>
      </c>
      <c r="C36" s="45">
        <f>6.94*90/55</f>
        <v>11.356363636363637</v>
      </c>
      <c r="D36" s="45">
        <f>7.51*90/55</f>
        <v>12.289090909090909</v>
      </c>
      <c r="E36" s="45">
        <f>7.41*90/55</f>
        <v>12.125454545454545</v>
      </c>
      <c r="F36" s="45">
        <f>122*90/55</f>
        <v>199.63636363636363</v>
      </c>
      <c r="G36" s="45">
        <v>0.06</v>
      </c>
      <c r="H36" s="45">
        <v>0.61</v>
      </c>
      <c r="I36" s="45">
        <v>22.2</v>
      </c>
      <c r="J36" s="45">
        <v>2.2999999999999998</v>
      </c>
      <c r="K36" s="45">
        <v>0.08</v>
      </c>
      <c r="L36" s="45">
        <f>0.08*120/80</f>
        <v>0.12</v>
      </c>
      <c r="M36" s="45">
        <f>44.13*120/80</f>
        <v>66.195000000000007</v>
      </c>
      <c r="N36" s="45">
        <f>22.33*120/80</f>
        <v>33.494999999999997</v>
      </c>
      <c r="O36" s="45">
        <f>99.55*120/80</f>
        <v>149.32499999999999</v>
      </c>
      <c r="P36" s="45">
        <f>0.79*120/80</f>
        <v>1.1850000000000001</v>
      </c>
      <c r="Q36" s="45">
        <v>387.71</v>
      </c>
      <c r="R36" s="45">
        <v>97.58</v>
      </c>
      <c r="S36" s="45">
        <v>0.4</v>
      </c>
      <c r="T36" s="45">
        <v>0.01</v>
      </c>
      <c r="U36" s="46" t="s">
        <v>48</v>
      </c>
      <c r="V36" s="46" t="s">
        <v>29</v>
      </c>
      <c r="W36" s="47"/>
    </row>
    <row r="37" spans="1:23" s="48" customFormat="1" ht="12.2" customHeight="1">
      <c r="A37" s="43" t="s">
        <v>291</v>
      </c>
      <c r="B37" s="44">
        <v>200</v>
      </c>
      <c r="C37" s="45">
        <v>0.6</v>
      </c>
      <c r="D37" s="45">
        <v>0.4</v>
      </c>
      <c r="E37" s="45">
        <v>32.6</v>
      </c>
      <c r="F37" s="45">
        <f>682*0.2</f>
        <v>136.4</v>
      </c>
      <c r="G37" s="45">
        <f>0.11*0.18</f>
        <v>1.9799999999999998E-2</v>
      </c>
      <c r="H37" s="45">
        <f>20*0.2</f>
        <v>4</v>
      </c>
      <c r="I37" s="45">
        <v>0</v>
      </c>
      <c r="J37" s="45">
        <v>0</v>
      </c>
      <c r="K37" s="45">
        <v>0</v>
      </c>
      <c r="L37" s="45">
        <v>0.02</v>
      </c>
      <c r="M37" s="45">
        <f>70*0.18</f>
        <v>12.6</v>
      </c>
      <c r="N37" s="45">
        <f>40*0.18</f>
        <v>7.1999999999999993</v>
      </c>
      <c r="O37" s="45">
        <f>70*0.18</f>
        <v>12.6</v>
      </c>
      <c r="P37" s="45">
        <f>14*0.18</f>
        <v>2.52</v>
      </c>
      <c r="Q37" s="45">
        <f>1200*0.18</f>
        <v>216</v>
      </c>
      <c r="R37" s="45">
        <v>1.8</v>
      </c>
      <c r="S37" s="45">
        <v>0</v>
      </c>
      <c r="T37" s="45">
        <v>0</v>
      </c>
      <c r="U37" s="46" t="s">
        <v>100</v>
      </c>
      <c r="V37" s="46">
        <v>2017</v>
      </c>
      <c r="W37" s="47"/>
    </row>
    <row r="38" spans="1:23" s="48" customFormat="1" ht="12.2" customHeight="1">
      <c r="A38" s="43" t="s">
        <v>288</v>
      </c>
      <c r="B38" s="44">
        <v>100</v>
      </c>
      <c r="C38" s="49">
        <v>0.4</v>
      </c>
      <c r="D38" s="49">
        <v>0.4</v>
      </c>
      <c r="E38" s="49">
        <v>9.8000000000000007</v>
      </c>
      <c r="F38" s="49">
        <v>47</v>
      </c>
      <c r="G38" s="50">
        <v>0.03</v>
      </c>
      <c r="H38" s="50">
        <v>10</v>
      </c>
      <c r="I38" s="50">
        <v>0.01</v>
      </c>
      <c r="J38" s="50">
        <v>0.63</v>
      </c>
      <c r="K38" s="50">
        <v>0</v>
      </c>
      <c r="L38" s="50">
        <v>0.02</v>
      </c>
      <c r="M38" s="50">
        <v>16</v>
      </c>
      <c r="N38" s="50">
        <v>8</v>
      </c>
      <c r="O38" s="50">
        <v>11</v>
      </c>
      <c r="P38" s="50">
        <v>2.2000000000000002</v>
      </c>
      <c r="Q38" s="50">
        <v>278</v>
      </c>
      <c r="R38" s="50">
        <v>2</v>
      </c>
      <c r="S38" s="50">
        <v>0.01</v>
      </c>
      <c r="T38" s="50">
        <v>0</v>
      </c>
      <c r="U38" s="46" t="s">
        <v>36</v>
      </c>
      <c r="V38" s="46" t="s">
        <v>29</v>
      </c>
      <c r="W38" s="47"/>
    </row>
    <row r="39" spans="1:23" s="48" customFormat="1" ht="12.2" customHeight="1">
      <c r="A39" s="43" t="s">
        <v>51</v>
      </c>
      <c r="B39" s="44">
        <v>40</v>
      </c>
      <c r="C39" s="49">
        <v>3.05</v>
      </c>
      <c r="D39" s="49">
        <v>0.25</v>
      </c>
      <c r="E39" s="49">
        <v>20.07</v>
      </c>
      <c r="F39" s="49">
        <v>94.73</v>
      </c>
      <c r="G39" s="50">
        <v>0.06</v>
      </c>
      <c r="H39" s="50">
        <v>0</v>
      </c>
      <c r="I39" s="50">
        <v>0</v>
      </c>
      <c r="J39" s="50">
        <v>0.78</v>
      </c>
      <c r="K39" s="50">
        <v>0</v>
      </c>
      <c r="L39" s="50">
        <v>0.02</v>
      </c>
      <c r="M39" s="50">
        <v>9.1999999999999993</v>
      </c>
      <c r="N39" s="50">
        <v>13.2</v>
      </c>
      <c r="O39" s="50">
        <v>33.6</v>
      </c>
      <c r="P39" s="50">
        <v>0.8</v>
      </c>
      <c r="Q39" s="50">
        <v>51.6</v>
      </c>
      <c r="R39" s="50">
        <v>0</v>
      </c>
      <c r="S39" s="50">
        <v>0.01</v>
      </c>
      <c r="T39" s="50">
        <v>0</v>
      </c>
      <c r="U39" s="46" t="s">
        <v>223</v>
      </c>
      <c r="V39" s="46" t="s">
        <v>38</v>
      </c>
      <c r="W39" s="47"/>
    </row>
    <row r="40" spans="1:23" s="48" customFormat="1" ht="21.6" customHeight="1">
      <c r="A40" s="51" t="s">
        <v>39</v>
      </c>
      <c r="B40" s="52">
        <f>SUM(B33:B39)</f>
        <v>840</v>
      </c>
      <c r="C40" s="53">
        <f t="shared" ref="C40:T40" si="2">SUM(C33:C39)</f>
        <v>21.219506493506497</v>
      </c>
      <c r="D40" s="53">
        <f t="shared" si="2"/>
        <v>27.378805194805192</v>
      </c>
      <c r="E40" s="53">
        <f t="shared" si="2"/>
        <v>102.31888311688311</v>
      </c>
      <c r="F40" s="53">
        <f t="shared" si="2"/>
        <v>754.82350649350656</v>
      </c>
      <c r="G40" s="53">
        <f t="shared" si="2"/>
        <v>0.31551428571428569</v>
      </c>
      <c r="H40" s="53">
        <f t="shared" si="2"/>
        <v>41.201428571428565</v>
      </c>
      <c r="I40" s="53">
        <f t="shared" si="2"/>
        <v>88.084285714285713</v>
      </c>
      <c r="J40" s="53">
        <f t="shared" si="2"/>
        <v>8.19</v>
      </c>
      <c r="K40" s="53">
        <f t="shared" si="2"/>
        <v>0.08</v>
      </c>
      <c r="L40" s="53">
        <f t="shared" si="2"/>
        <v>0.30571428571428577</v>
      </c>
      <c r="M40" s="53">
        <f t="shared" si="2"/>
        <v>192.06071428571428</v>
      </c>
      <c r="N40" s="53">
        <f t="shared" si="2"/>
        <v>99.953571428571436</v>
      </c>
      <c r="O40" s="53">
        <f t="shared" si="2"/>
        <v>310.59071428571434</v>
      </c>
      <c r="P40" s="53">
        <f t="shared" si="2"/>
        <v>8.2121428571428581</v>
      </c>
      <c r="Q40" s="53">
        <f t="shared" si="2"/>
        <v>1508.3057142857142</v>
      </c>
      <c r="R40" s="53">
        <f t="shared" si="2"/>
        <v>109.46</v>
      </c>
      <c r="S40" s="53">
        <f t="shared" si="2"/>
        <v>0.47000000000000003</v>
      </c>
      <c r="T40" s="53">
        <f t="shared" si="2"/>
        <v>0.01</v>
      </c>
      <c r="U40" s="54"/>
      <c r="V40" s="54"/>
      <c r="W40" s="47"/>
    </row>
    <row r="41" spans="1:23" s="7" customFormat="1" ht="28.35" customHeight="1">
      <c r="A41" s="119" t="s">
        <v>265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</row>
    <row r="42" spans="1:23" s="48" customFormat="1" ht="13.35" customHeight="1">
      <c r="A42" s="117" t="s">
        <v>1</v>
      </c>
      <c r="B42" s="111" t="s">
        <v>2</v>
      </c>
      <c r="C42" s="113" t="s">
        <v>3</v>
      </c>
      <c r="D42" s="114"/>
      <c r="E42" s="115"/>
      <c r="F42" s="116" t="s">
        <v>4</v>
      </c>
      <c r="G42" s="77" t="s">
        <v>5</v>
      </c>
      <c r="H42" s="113" t="s">
        <v>6</v>
      </c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5"/>
      <c r="U42" s="111" t="s">
        <v>7</v>
      </c>
      <c r="V42" s="111" t="s">
        <v>8</v>
      </c>
    </row>
    <row r="43" spans="1:23" s="48" customFormat="1" ht="26.65" customHeight="1">
      <c r="A43" s="118"/>
      <c r="B43" s="112"/>
      <c r="C43" s="61" t="s">
        <v>9</v>
      </c>
      <c r="D43" s="61" t="s">
        <v>10</v>
      </c>
      <c r="E43" s="61" t="s">
        <v>11</v>
      </c>
      <c r="F43" s="112"/>
      <c r="G43" s="61" t="s">
        <v>12</v>
      </c>
      <c r="H43" s="61" t="s">
        <v>13</v>
      </c>
      <c r="I43" s="61" t="s">
        <v>14</v>
      </c>
      <c r="J43" s="61" t="s">
        <v>15</v>
      </c>
      <c r="K43" s="61" t="s">
        <v>16</v>
      </c>
      <c r="L43" s="61" t="s">
        <v>17</v>
      </c>
      <c r="M43" s="61" t="s">
        <v>18</v>
      </c>
      <c r="N43" s="61" t="s">
        <v>19</v>
      </c>
      <c r="O43" s="61" t="s">
        <v>20</v>
      </c>
      <c r="P43" s="61" t="s">
        <v>21</v>
      </c>
      <c r="Q43" s="61" t="s">
        <v>22</v>
      </c>
      <c r="R43" s="61" t="s">
        <v>23</v>
      </c>
      <c r="S43" s="61" t="s">
        <v>24</v>
      </c>
      <c r="T43" s="61" t="s">
        <v>25</v>
      </c>
      <c r="U43" s="112"/>
      <c r="V43" s="112"/>
    </row>
    <row r="44" spans="1:23" s="48" customFormat="1" ht="14.65" customHeight="1">
      <c r="A44" s="98" t="s">
        <v>40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5"/>
      <c r="W44" s="47"/>
    </row>
    <row r="45" spans="1:23" s="48" customFormat="1" ht="12.2" customHeight="1">
      <c r="A45" s="63" t="s">
        <v>295</v>
      </c>
      <c r="B45" s="64">
        <v>60</v>
      </c>
      <c r="C45" s="49">
        <v>0.4</v>
      </c>
      <c r="D45" s="49">
        <v>0.1</v>
      </c>
      <c r="E45" s="49">
        <v>1</v>
      </c>
      <c r="F45" s="49">
        <v>6</v>
      </c>
      <c r="G45" s="50">
        <v>0.02</v>
      </c>
      <c r="H45" s="50">
        <v>2.4500000000000002</v>
      </c>
      <c r="I45" s="50">
        <v>0</v>
      </c>
      <c r="J45" s="50">
        <v>0</v>
      </c>
      <c r="K45" s="50">
        <v>0</v>
      </c>
      <c r="L45" s="50">
        <v>0.01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46" t="s">
        <v>59</v>
      </c>
      <c r="V45" s="46" t="s">
        <v>29</v>
      </c>
      <c r="W45" s="47"/>
    </row>
    <row r="46" spans="1:23" s="48" customFormat="1" ht="12.2" customHeight="1">
      <c r="A46" s="63" t="s">
        <v>97</v>
      </c>
      <c r="B46" s="64">
        <v>200</v>
      </c>
      <c r="C46" s="49">
        <v>3</v>
      </c>
      <c r="D46" s="49">
        <v>4.7</v>
      </c>
      <c r="E46" s="49">
        <v>12.9</v>
      </c>
      <c r="F46" s="49">
        <v>107.3</v>
      </c>
      <c r="G46" s="50">
        <v>0.06</v>
      </c>
      <c r="H46" s="50">
        <v>5.52</v>
      </c>
      <c r="I46" s="50">
        <v>0.19</v>
      </c>
      <c r="J46" s="50">
        <v>1.84</v>
      </c>
      <c r="K46" s="50">
        <v>0</v>
      </c>
      <c r="L46" s="50">
        <v>0.04</v>
      </c>
      <c r="M46" s="50">
        <v>49.24</v>
      </c>
      <c r="N46" s="50">
        <v>26.69</v>
      </c>
      <c r="O46" s="50">
        <v>72.25</v>
      </c>
      <c r="P46" s="50">
        <v>1.3</v>
      </c>
      <c r="Q46" s="50">
        <v>364.3</v>
      </c>
      <c r="R46" s="50">
        <v>3.94</v>
      </c>
      <c r="S46" s="50">
        <v>0.02</v>
      </c>
      <c r="T46" s="50">
        <v>0</v>
      </c>
      <c r="U46" s="46" t="s">
        <v>98</v>
      </c>
      <c r="V46" s="46" t="s">
        <v>29</v>
      </c>
      <c r="W46" s="47"/>
    </row>
    <row r="47" spans="1:23" s="68" customFormat="1" ht="12.2" customHeight="1">
      <c r="A47" s="63" t="s">
        <v>175</v>
      </c>
      <c r="B47" s="64">
        <v>170</v>
      </c>
      <c r="C47" s="49">
        <f>12.3*170/175</f>
        <v>11.948571428571428</v>
      </c>
      <c r="D47" s="49">
        <f>23.5*170/175</f>
        <v>22.828571428571429</v>
      </c>
      <c r="E47" s="49">
        <f>16.58*170/175</f>
        <v>16.106285714285715</v>
      </c>
      <c r="F47" s="49">
        <f>323*170/175</f>
        <v>313.77142857142854</v>
      </c>
      <c r="G47" s="45">
        <v>0.36</v>
      </c>
      <c r="H47" s="45">
        <v>7.2</v>
      </c>
      <c r="I47" s="45">
        <v>0.03</v>
      </c>
      <c r="J47" s="45">
        <v>1.42</v>
      </c>
      <c r="K47" s="45">
        <v>0.05</v>
      </c>
      <c r="L47" s="45">
        <v>0.13</v>
      </c>
      <c r="M47" s="45">
        <v>25.93</v>
      </c>
      <c r="N47" s="45">
        <v>36.19</v>
      </c>
      <c r="O47" s="45">
        <v>160.52000000000001</v>
      </c>
      <c r="P47" s="45">
        <v>2.1</v>
      </c>
      <c r="Q47" s="45">
        <v>733.2</v>
      </c>
      <c r="R47" s="45">
        <v>9.64</v>
      </c>
      <c r="S47" s="45">
        <v>7.0000000000000007E-2</v>
      </c>
      <c r="T47" s="45">
        <v>0</v>
      </c>
      <c r="U47" s="58" t="s">
        <v>176</v>
      </c>
      <c r="V47" s="46">
        <v>2017</v>
      </c>
      <c r="W47" s="47"/>
    </row>
    <row r="48" spans="1:23" s="48" customFormat="1" ht="12.2" customHeight="1">
      <c r="A48" s="63" t="s">
        <v>85</v>
      </c>
      <c r="B48" s="64">
        <v>180</v>
      </c>
      <c r="C48" s="49">
        <v>2.65</v>
      </c>
      <c r="D48" s="49">
        <v>3.19</v>
      </c>
      <c r="E48" s="49">
        <v>15.82</v>
      </c>
      <c r="F48" s="49">
        <v>106.74</v>
      </c>
      <c r="G48" s="50">
        <v>0.03</v>
      </c>
      <c r="H48" s="50">
        <v>0.47</v>
      </c>
      <c r="I48" s="50">
        <v>0.01</v>
      </c>
      <c r="J48" s="50">
        <v>0</v>
      </c>
      <c r="K48" s="50">
        <v>0</v>
      </c>
      <c r="L48" s="50">
        <v>0.1</v>
      </c>
      <c r="M48" s="50">
        <v>100.28</v>
      </c>
      <c r="N48" s="50">
        <v>24.74</v>
      </c>
      <c r="O48" s="50">
        <v>86.02</v>
      </c>
      <c r="P48" s="50">
        <v>0.78</v>
      </c>
      <c r="Q48" s="50">
        <v>186.56</v>
      </c>
      <c r="R48" s="50">
        <v>8.1</v>
      </c>
      <c r="S48" s="50">
        <v>0</v>
      </c>
      <c r="T48" s="50">
        <v>0</v>
      </c>
      <c r="U48" s="46" t="s">
        <v>86</v>
      </c>
      <c r="V48" s="46" t="s">
        <v>29</v>
      </c>
      <c r="W48" s="47"/>
    </row>
    <row r="49" spans="1:23" s="48" customFormat="1" ht="12.2" customHeight="1">
      <c r="A49" s="63" t="s">
        <v>293</v>
      </c>
      <c r="B49" s="64">
        <v>30</v>
      </c>
      <c r="C49" s="49">
        <v>2.2999999999999998</v>
      </c>
      <c r="D49" s="49">
        <v>2.9</v>
      </c>
      <c r="E49" s="49">
        <v>26.3</v>
      </c>
      <c r="F49" s="49">
        <v>125.1</v>
      </c>
      <c r="G49" s="50">
        <v>0.02</v>
      </c>
      <c r="H49" s="50">
        <v>0</v>
      </c>
      <c r="I49" s="50">
        <v>0</v>
      </c>
      <c r="J49" s="50">
        <v>0</v>
      </c>
      <c r="K49" s="50">
        <v>0</v>
      </c>
      <c r="L49" s="50">
        <v>0.02</v>
      </c>
      <c r="M49" s="50">
        <v>8.6999999999999993</v>
      </c>
      <c r="N49" s="50">
        <v>6</v>
      </c>
      <c r="O49" s="50">
        <v>27</v>
      </c>
      <c r="P49" s="50">
        <v>0.63</v>
      </c>
      <c r="Q49" s="50">
        <v>33</v>
      </c>
      <c r="R49" s="50">
        <v>0</v>
      </c>
      <c r="S49" s="50">
        <v>0</v>
      </c>
      <c r="T49" s="50">
        <v>0</v>
      </c>
      <c r="U49" s="46" t="s">
        <v>223</v>
      </c>
      <c r="V49" s="46">
        <v>2017</v>
      </c>
      <c r="W49" s="47"/>
    </row>
    <row r="50" spans="1:23" s="48" customFormat="1" ht="12.2" customHeight="1">
      <c r="A50" s="43" t="s">
        <v>51</v>
      </c>
      <c r="B50" s="44">
        <v>40</v>
      </c>
      <c r="C50" s="49">
        <v>3.05</v>
      </c>
      <c r="D50" s="49">
        <v>0.25</v>
      </c>
      <c r="E50" s="49">
        <v>20.07</v>
      </c>
      <c r="F50" s="49">
        <v>94.73</v>
      </c>
      <c r="G50" s="50">
        <v>0.06</v>
      </c>
      <c r="H50" s="50">
        <v>0</v>
      </c>
      <c r="I50" s="50">
        <v>0</v>
      </c>
      <c r="J50" s="50">
        <v>0.78</v>
      </c>
      <c r="K50" s="50">
        <v>0</v>
      </c>
      <c r="L50" s="50">
        <v>0.02</v>
      </c>
      <c r="M50" s="50">
        <v>9.1999999999999993</v>
      </c>
      <c r="N50" s="50">
        <v>13.2</v>
      </c>
      <c r="O50" s="50">
        <v>33.6</v>
      </c>
      <c r="P50" s="50">
        <v>0.8</v>
      </c>
      <c r="Q50" s="50">
        <v>51.6</v>
      </c>
      <c r="R50" s="50">
        <v>0</v>
      </c>
      <c r="S50" s="50">
        <v>0.01</v>
      </c>
      <c r="T50" s="50">
        <v>0</v>
      </c>
      <c r="U50" s="46" t="s">
        <v>223</v>
      </c>
      <c r="V50" s="46" t="s">
        <v>38</v>
      </c>
      <c r="W50" s="47"/>
    </row>
    <row r="51" spans="1:23" s="48" customFormat="1" ht="12.2" customHeight="1">
      <c r="A51" s="43" t="s">
        <v>37</v>
      </c>
      <c r="B51" s="44">
        <v>20</v>
      </c>
      <c r="C51" s="49">
        <v>1.1200000000000001</v>
      </c>
      <c r="D51" s="49">
        <v>0.22</v>
      </c>
      <c r="E51" s="49">
        <v>9.8800000000000008</v>
      </c>
      <c r="F51" s="49">
        <v>45.98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46" t="s">
        <v>223</v>
      </c>
      <c r="V51" s="46" t="s">
        <v>38</v>
      </c>
      <c r="W51" s="47"/>
    </row>
    <row r="52" spans="1:23" s="48" customFormat="1" ht="21.6" customHeight="1">
      <c r="A52" s="51" t="s">
        <v>39</v>
      </c>
      <c r="B52" s="52">
        <f>SUM(B45:B51)</f>
        <v>700</v>
      </c>
      <c r="C52" s="53">
        <f t="shared" ref="C52:T52" si="3">SUM(C45:C51)</f>
        <v>24.46857142857143</v>
      </c>
      <c r="D52" s="53">
        <f t="shared" si="3"/>
        <v>34.188571428571429</v>
      </c>
      <c r="E52" s="53">
        <f t="shared" si="3"/>
        <v>102.07628571428572</v>
      </c>
      <c r="F52" s="53">
        <f t="shared" si="3"/>
        <v>799.62142857142862</v>
      </c>
      <c r="G52" s="53">
        <f t="shared" si="3"/>
        <v>0.55000000000000004</v>
      </c>
      <c r="H52" s="53">
        <f t="shared" si="3"/>
        <v>15.64</v>
      </c>
      <c r="I52" s="53">
        <f t="shared" si="3"/>
        <v>0.23</v>
      </c>
      <c r="J52" s="53">
        <f t="shared" si="3"/>
        <v>4.04</v>
      </c>
      <c r="K52" s="53">
        <f t="shared" si="3"/>
        <v>0.05</v>
      </c>
      <c r="L52" s="53">
        <f t="shared" si="3"/>
        <v>0.32000000000000006</v>
      </c>
      <c r="M52" s="53">
        <f t="shared" si="3"/>
        <v>193.34999999999997</v>
      </c>
      <c r="N52" s="53">
        <f t="shared" si="3"/>
        <v>106.82</v>
      </c>
      <c r="O52" s="53">
        <f t="shared" si="3"/>
        <v>379.39000000000004</v>
      </c>
      <c r="P52" s="53">
        <f t="shared" si="3"/>
        <v>5.61</v>
      </c>
      <c r="Q52" s="53">
        <f t="shared" si="3"/>
        <v>1368.6599999999999</v>
      </c>
      <c r="R52" s="53">
        <f t="shared" si="3"/>
        <v>21.68</v>
      </c>
      <c r="S52" s="53">
        <f t="shared" si="3"/>
        <v>0.1</v>
      </c>
      <c r="T52" s="53">
        <f t="shared" si="3"/>
        <v>0</v>
      </c>
      <c r="U52" s="54"/>
      <c r="V52" s="54"/>
      <c r="W52" s="47"/>
    </row>
    <row r="53" spans="1:23" s="7" customFormat="1" ht="28.35" customHeight="1">
      <c r="A53" s="104" t="s">
        <v>266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</row>
    <row r="54" spans="1:23" s="48" customFormat="1" ht="13.35" customHeight="1">
      <c r="A54" s="117" t="s">
        <v>1</v>
      </c>
      <c r="B54" s="111" t="s">
        <v>2</v>
      </c>
      <c r="C54" s="113" t="s">
        <v>3</v>
      </c>
      <c r="D54" s="114"/>
      <c r="E54" s="115"/>
      <c r="F54" s="116" t="s">
        <v>4</v>
      </c>
      <c r="G54" s="77" t="s">
        <v>5</v>
      </c>
      <c r="H54" s="113" t="s">
        <v>6</v>
      </c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5"/>
      <c r="U54" s="111" t="s">
        <v>7</v>
      </c>
      <c r="V54" s="111" t="s">
        <v>8</v>
      </c>
    </row>
    <row r="55" spans="1:23" s="48" customFormat="1" ht="26.65" customHeight="1">
      <c r="A55" s="118"/>
      <c r="B55" s="112"/>
      <c r="C55" s="61" t="s">
        <v>9</v>
      </c>
      <c r="D55" s="61" t="s">
        <v>10</v>
      </c>
      <c r="E55" s="61" t="s">
        <v>11</v>
      </c>
      <c r="F55" s="112"/>
      <c r="G55" s="61" t="s">
        <v>12</v>
      </c>
      <c r="H55" s="61" t="s">
        <v>13</v>
      </c>
      <c r="I55" s="61" t="s">
        <v>14</v>
      </c>
      <c r="J55" s="61" t="s">
        <v>15</v>
      </c>
      <c r="K55" s="61" t="s">
        <v>16</v>
      </c>
      <c r="L55" s="61" t="s">
        <v>17</v>
      </c>
      <c r="M55" s="61" t="s">
        <v>18</v>
      </c>
      <c r="N55" s="61" t="s">
        <v>19</v>
      </c>
      <c r="O55" s="61" t="s">
        <v>20</v>
      </c>
      <c r="P55" s="61" t="s">
        <v>21</v>
      </c>
      <c r="Q55" s="61" t="s">
        <v>22</v>
      </c>
      <c r="R55" s="61" t="s">
        <v>23</v>
      </c>
      <c r="S55" s="61" t="s">
        <v>24</v>
      </c>
      <c r="T55" s="61" t="s">
        <v>25</v>
      </c>
      <c r="U55" s="112"/>
      <c r="V55" s="112"/>
    </row>
    <row r="56" spans="1:23" s="48" customFormat="1" ht="14.65" customHeight="1">
      <c r="A56" s="98" t="s">
        <v>40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5"/>
      <c r="W56" s="47"/>
    </row>
    <row r="57" spans="1:23" s="48" customFormat="1" ht="12.2" customHeight="1">
      <c r="A57" s="43" t="s">
        <v>242</v>
      </c>
      <c r="B57" s="44">
        <v>60</v>
      </c>
      <c r="C57" s="45">
        <v>0.9</v>
      </c>
      <c r="D57" s="45">
        <v>3.06</v>
      </c>
      <c r="E57" s="45">
        <v>5.55</v>
      </c>
      <c r="F57" s="45">
        <v>53.88</v>
      </c>
      <c r="G57" s="45">
        <f>0.22*0.06</f>
        <v>1.32E-2</v>
      </c>
      <c r="H57" s="45">
        <f>198.1*0.06</f>
        <v>11.885999999999999</v>
      </c>
      <c r="I57" s="45">
        <v>0</v>
      </c>
      <c r="J57" s="45">
        <v>1.27</v>
      </c>
      <c r="K57" s="45">
        <v>0</v>
      </c>
      <c r="L57" s="45">
        <f>0.27*0.06</f>
        <v>1.6199999999999999E-2</v>
      </c>
      <c r="M57" s="45">
        <f>522.47*0.06</f>
        <v>31.348200000000002</v>
      </c>
      <c r="N57" s="45">
        <f>160.11*0.06</f>
        <v>9.6066000000000003</v>
      </c>
      <c r="O57" s="45">
        <f>339.52*0.06</f>
        <v>20.371199999999998</v>
      </c>
      <c r="P57" s="45">
        <f>6.67*0.06</f>
        <v>0.4002</v>
      </c>
      <c r="Q57" s="45">
        <f>2832*0.06</f>
        <v>169.92</v>
      </c>
      <c r="R57" s="45">
        <v>1.64</v>
      </c>
      <c r="S57" s="45">
        <v>0.01</v>
      </c>
      <c r="T57" s="45">
        <v>0</v>
      </c>
      <c r="U57" s="46" t="s">
        <v>107</v>
      </c>
      <c r="V57" s="46" t="s">
        <v>29</v>
      </c>
      <c r="W57" s="47"/>
    </row>
    <row r="58" spans="1:23" s="48" customFormat="1" ht="12.2" customHeight="1">
      <c r="A58" s="43" t="s">
        <v>108</v>
      </c>
      <c r="B58" s="44">
        <v>200</v>
      </c>
      <c r="C58" s="45">
        <v>7.7</v>
      </c>
      <c r="D58" s="45">
        <v>12.7</v>
      </c>
      <c r="E58" s="45">
        <v>6.1</v>
      </c>
      <c r="F58" s="45">
        <v>232.9</v>
      </c>
      <c r="G58" s="45">
        <v>0.26</v>
      </c>
      <c r="H58" s="45">
        <v>6.24</v>
      </c>
      <c r="I58" s="45">
        <v>0.15</v>
      </c>
      <c r="J58" s="45">
        <v>1.53</v>
      </c>
      <c r="K58" s="45">
        <v>0.09</v>
      </c>
      <c r="L58" s="45">
        <v>0.11</v>
      </c>
      <c r="M58" s="45">
        <v>36.21</v>
      </c>
      <c r="N58" s="45">
        <v>27.13</v>
      </c>
      <c r="O58" s="45">
        <v>123.38</v>
      </c>
      <c r="P58" s="45">
        <v>1.58</v>
      </c>
      <c r="Q58" s="45">
        <v>405.59</v>
      </c>
      <c r="R58" s="45">
        <v>7.31</v>
      </c>
      <c r="S58" s="45">
        <v>0.06</v>
      </c>
      <c r="T58" s="45">
        <v>0</v>
      </c>
      <c r="U58" s="46" t="s">
        <v>250</v>
      </c>
      <c r="V58" s="46" t="s">
        <v>29</v>
      </c>
      <c r="W58" s="47"/>
    </row>
    <row r="59" spans="1:23" s="48" customFormat="1" ht="12.2" customHeight="1">
      <c r="A59" s="43" t="s">
        <v>110</v>
      </c>
      <c r="B59" s="44">
        <v>150</v>
      </c>
      <c r="C59" s="45">
        <v>6.8</v>
      </c>
      <c r="D59" s="45">
        <v>6.8</v>
      </c>
      <c r="E59" s="45">
        <v>33.200000000000003</v>
      </c>
      <c r="F59" s="45">
        <v>216.9</v>
      </c>
      <c r="G59" s="45">
        <v>0.08</v>
      </c>
      <c r="H59" s="45">
        <v>0.17</v>
      </c>
      <c r="I59" s="45">
        <v>0.14000000000000001</v>
      </c>
      <c r="J59" s="45">
        <v>3.01</v>
      </c>
      <c r="K59" s="45">
        <v>0.92</v>
      </c>
      <c r="L59" s="45">
        <v>0.22</v>
      </c>
      <c r="M59" s="45">
        <v>127.6</v>
      </c>
      <c r="N59" s="45">
        <v>16.29</v>
      </c>
      <c r="O59" s="45">
        <v>155.37</v>
      </c>
      <c r="P59" s="45">
        <v>1.69</v>
      </c>
      <c r="Q59" s="45">
        <v>150.41</v>
      </c>
      <c r="R59" s="45">
        <v>11.03</v>
      </c>
      <c r="S59" s="45">
        <v>0.03</v>
      </c>
      <c r="T59" s="45">
        <v>0.02</v>
      </c>
      <c r="U59" s="46" t="s">
        <v>248</v>
      </c>
      <c r="V59" s="46">
        <v>2017</v>
      </c>
      <c r="W59" s="47"/>
    </row>
    <row r="60" spans="1:23" s="48" customFormat="1" ht="12.2" customHeight="1">
      <c r="A60" s="43" t="s">
        <v>294</v>
      </c>
      <c r="B60" s="44">
        <v>200</v>
      </c>
      <c r="C60" s="45">
        <v>1.4</v>
      </c>
      <c r="D60" s="45">
        <v>0.4</v>
      </c>
      <c r="E60" s="45">
        <v>22.8</v>
      </c>
      <c r="F60" s="45">
        <v>100.4</v>
      </c>
      <c r="G60" s="45">
        <f>0.11*0.18</f>
        <v>1.9799999999999998E-2</v>
      </c>
      <c r="H60" s="45">
        <f>74*0.18</f>
        <v>13.32</v>
      </c>
      <c r="I60" s="45">
        <f>0</f>
        <v>0</v>
      </c>
      <c r="J60" s="45">
        <v>0</v>
      </c>
      <c r="K60" s="45">
        <v>0</v>
      </c>
      <c r="L60" s="45">
        <f>0.22*0.18</f>
        <v>3.9599999999999996E-2</v>
      </c>
      <c r="M60" s="45">
        <f>170*0.18</f>
        <v>30.599999999999998</v>
      </c>
      <c r="N60" s="45">
        <f>60*0.18</f>
        <v>10.799999999999999</v>
      </c>
      <c r="O60" s="45">
        <f>180*0.18</f>
        <v>32.4</v>
      </c>
      <c r="P60" s="45">
        <f>3*0.18</f>
        <v>0.54</v>
      </c>
      <c r="Q60" s="45">
        <f>2500*0.18</f>
        <v>450</v>
      </c>
      <c r="R60" s="45">
        <v>0</v>
      </c>
      <c r="S60" s="45">
        <v>0</v>
      </c>
      <c r="T60" s="45">
        <v>0</v>
      </c>
      <c r="U60" s="46" t="s">
        <v>100</v>
      </c>
      <c r="V60" s="46" t="s">
        <v>29</v>
      </c>
      <c r="W60" s="47"/>
    </row>
    <row r="61" spans="1:23" s="48" customFormat="1" ht="12.2" customHeight="1">
      <c r="A61" s="43" t="s">
        <v>51</v>
      </c>
      <c r="B61" s="44">
        <v>30</v>
      </c>
      <c r="C61" s="45">
        <v>2.2999999999999998</v>
      </c>
      <c r="D61" s="45">
        <v>0.19</v>
      </c>
      <c r="E61" s="45">
        <v>15.05</v>
      </c>
      <c r="F61" s="45">
        <v>71.05</v>
      </c>
      <c r="G61" s="45">
        <v>0.05</v>
      </c>
      <c r="H61" s="45">
        <v>0</v>
      </c>
      <c r="I61" s="45">
        <v>0</v>
      </c>
      <c r="J61" s="45">
        <v>0.59</v>
      </c>
      <c r="K61" s="45">
        <v>0</v>
      </c>
      <c r="L61" s="45">
        <v>0.02</v>
      </c>
      <c r="M61" s="45">
        <v>6.9</v>
      </c>
      <c r="N61" s="45">
        <v>9.9</v>
      </c>
      <c r="O61" s="45">
        <v>25.2</v>
      </c>
      <c r="P61" s="45">
        <v>0.6</v>
      </c>
      <c r="Q61" s="45">
        <v>38.700000000000003</v>
      </c>
      <c r="R61" s="45">
        <v>0</v>
      </c>
      <c r="S61" s="45">
        <v>0</v>
      </c>
      <c r="T61" s="45">
        <v>0</v>
      </c>
      <c r="U61" s="46" t="s">
        <v>223</v>
      </c>
      <c r="V61" s="46" t="s">
        <v>38</v>
      </c>
      <c r="W61" s="47"/>
    </row>
    <row r="62" spans="1:23" s="48" customFormat="1" ht="12.2" customHeight="1">
      <c r="A62" s="43" t="s">
        <v>37</v>
      </c>
      <c r="B62" s="44">
        <v>20</v>
      </c>
      <c r="C62" s="49">
        <v>1.1200000000000001</v>
      </c>
      <c r="D62" s="49">
        <v>0.22</v>
      </c>
      <c r="E62" s="49">
        <v>9.8800000000000008</v>
      </c>
      <c r="F62" s="49">
        <v>45.98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46" t="s">
        <v>223</v>
      </c>
      <c r="V62" s="46" t="s">
        <v>38</v>
      </c>
      <c r="W62" s="47"/>
    </row>
    <row r="63" spans="1:23" s="48" customFormat="1" ht="12.2" customHeight="1">
      <c r="A63" s="43" t="s">
        <v>112</v>
      </c>
      <c r="B63" s="44">
        <v>200</v>
      </c>
      <c r="C63" s="45">
        <v>5.8</v>
      </c>
      <c r="D63" s="45">
        <v>5</v>
      </c>
      <c r="E63" s="45">
        <v>9.6</v>
      </c>
      <c r="F63" s="45">
        <v>107</v>
      </c>
      <c r="G63" s="45">
        <v>0.08</v>
      </c>
      <c r="H63" s="45">
        <v>2.6</v>
      </c>
      <c r="I63" s="45">
        <v>40</v>
      </c>
      <c r="J63" s="45">
        <v>0</v>
      </c>
      <c r="K63" s="45">
        <v>0</v>
      </c>
      <c r="L63" s="45">
        <v>0.03</v>
      </c>
      <c r="M63" s="45">
        <v>240</v>
      </c>
      <c r="N63" s="45">
        <v>28</v>
      </c>
      <c r="O63" s="45">
        <v>180</v>
      </c>
      <c r="P63" s="45">
        <v>0.2</v>
      </c>
      <c r="Q63" s="45">
        <v>292</v>
      </c>
      <c r="R63" s="45">
        <v>0</v>
      </c>
      <c r="S63" s="45">
        <v>0</v>
      </c>
      <c r="T63" s="45">
        <v>0</v>
      </c>
      <c r="U63" s="46" t="s">
        <v>223</v>
      </c>
      <c r="V63" s="46"/>
      <c r="W63" s="47"/>
    </row>
    <row r="64" spans="1:23" s="48" customFormat="1" ht="21.6" customHeight="1">
      <c r="A64" s="51" t="s">
        <v>39</v>
      </c>
      <c r="B64" s="52">
        <f>SUM(B57:B63)</f>
        <v>860</v>
      </c>
      <c r="C64" s="53">
        <f t="shared" ref="C64:T64" si="4">SUM(C57:C63)</f>
        <v>26.02</v>
      </c>
      <c r="D64" s="53">
        <f t="shared" si="4"/>
        <v>28.369999999999997</v>
      </c>
      <c r="E64" s="53">
        <f t="shared" si="4"/>
        <v>102.17999999999999</v>
      </c>
      <c r="F64" s="53">
        <f t="shared" si="4"/>
        <v>828.11</v>
      </c>
      <c r="G64" s="53">
        <f t="shared" si="4"/>
        <v>0.503</v>
      </c>
      <c r="H64" s="53">
        <f t="shared" si="4"/>
        <v>34.216000000000001</v>
      </c>
      <c r="I64" s="53">
        <f t="shared" si="4"/>
        <v>40.29</v>
      </c>
      <c r="J64" s="53">
        <f t="shared" si="4"/>
        <v>6.3999999999999995</v>
      </c>
      <c r="K64" s="53">
        <f t="shared" si="4"/>
        <v>1.01</v>
      </c>
      <c r="L64" s="53">
        <f t="shared" si="4"/>
        <v>0.43580000000000008</v>
      </c>
      <c r="M64" s="53">
        <f t="shared" si="4"/>
        <v>472.65819999999997</v>
      </c>
      <c r="N64" s="53">
        <f t="shared" si="4"/>
        <v>101.72659999999999</v>
      </c>
      <c r="O64" s="53">
        <f t="shared" si="4"/>
        <v>536.72119999999995</v>
      </c>
      <c r="P64" s="53">
        <f t="shared" si="4"/>
        <v>5.0102000000000002</v>
      </c>
      <c r="Q64" s="53">
        <f t="shared" si="4"/>
        <v>1506.6200000000001</v>
      </c>
      <c r="R64" s="53">
        <f t="shared" si="4"/>
        <v>19.979999999999997</v>
      </c>
      <c r="S64" s="53">
        <f t="shared" si="4"/>
        <v>9.9999999999999992E-2</v>
      </c>
      <c r="T64" s="53">
        <f t="shared" si="4"/>
        <v>0.02</v>
      </c>
      <c r="U64" s="54"/>
      <c r="V64" s="54"/>
      <c r="W64" s="47"/>
    </row>
    <row r="65" spans="1:23" s="7" customFormat="1" ht="28.35" customHeight="1">
      <c r="A65" s="104" t="s">
        <v>277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</row>
    <row r="66" spans="1:23" s="48" customFormat="1" ht="13.35" customHeight="1">
      <c r="A66" s="117" t="s">
        <v>1</v>
      </c>
      <c r="B66" s="111" t="s">
        <v>2</v>
      </c>
      <c r="C66" s="113" t="s">
        <v>3</v>
      </c>
      <c r="D66" s="114"/>
      <c r="E66" s="115"/>
      <c r="F66" s="116" t="s">
        <v>4</v>
      </c>
      <c r="G66" s="77" t="s">
        <v>5</v>
      </c>
      <c r="H66" s="113" t="s">
        <v>6</v>
      </c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5"/>
      <c r="U66" s="111" t="s">
        <v>7</v>
      </c>
      <c r="V66" s="111" t="s">
        <v>8</v>
      </c>
    </row>
    <row r="67" spans="1:23" s="48" customFormat="1" ht="26.65" customHeight="1">
      <c r="A67" s="118"/>
      <c r="B67" s="112"/>
      <c r="C67" s="61" t="s">
        <v>9</v>
      </c>
      <c r="D67" s="61" t="s">
        <v>10</v>
      </c>
      <c r="E67" s="61" t="s">
        <v>11</v>
      </c>
      <c r="F67" s="112"/>
      <c r="G67" s="61" t="s">
        <v>12</v>
      </c>
      <c r="H67" s="61" t="s">
        <v>13</v>
      </c>
      <c r="I67" s="61" t="s">
        <v>14</v>
      </c>
      <c r="J67" s="61" t="s">
        <v>15</v>
      </c>
      <c r="K67" s="61" t="s">
        <v>16</v>
      </c>
      <c r="L67" s="61" t="s">
        <v>17</v>
      </c>
      <c r="M67" s="61" t="s">
        <v>18</v>
      </c>
      <c r="N67" s="61" t="s">
        <v>19</v>
      </c>
      <c r="O67" s="61" t="s">
        <v>20</v>
      </c>
      <c r="P67" s="61" t="s">
        <v>21</v>
      </c>
      <c r="Q67" s="61" t="s">
        <v>22</v>
      </c>
      <c r="R67" s="61" t="s">
        <v>23</v>
      </c>
      <c r="S67" s="61" t="s">
        <v>24</v>
      </c>
      <c r="T67" s="61" t="s">
        <v>25</v>
      </c>
      <c r="U67" s="112"/>
      <c r="V67" s="112"/>
    </row>
    <row r="68" spans="1:23" s="48" customFormat="1" ht="14.65" customHeight="1">
      <c r="A68" s="98" t="s">
        <v>40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5"/>
      <c r="W68" s="47"/>
    </row>
    <row r="69" spans="1:23" s="48" customFormat="1" ht="12.2" customHeight="1">
      <c r="A69" s="43" t="s">
        <v>41</v>
      </c>
      <c r="B69" s="44">
        <v>60</v>
      </c>
      <c r="C69" s="45">
        <v>1.5</v>
      </c>
      <c r="D69" s="45">
        <v>7.3</v>
      </c>
      <c r="E69" s="45">
        <v>4.5999999999999996</v>
      </c>
      <c r="F69" s="45">
        <v>71.400000000000006</v>
      </c>
      <c r="G69" s="45">
        <v>0.01</v>
      </c>
      <c r="H69" s="45">
        <v>4.2</v>
      </c>
      <c r="I69" s="45">
        <v>0.11</v>
      </c>
      <c r="J69" s="45">
        <v>0</v>
      </c>
      <c r="K69" s="45">
        <v>0</v>
      </c>
      <c r="L69" s="45">
        <v>0.03</v>
      </c>
      <c r="M69" s="45">
        <v>24.6</v>
      </c>
      <c r="N69" s="45">
        <v>9</v>
      </c>
      <c r="O69" s="45">
        <v>22.2</v>
      </c>
      <c r="P69" s="45">
        <v>0.42</v>
      </c>
      <c r="Q69" s="45">
        <v>189</v>
      </c>
      <c r="R69" s="45">
        <v>0</v>
      </c>
      <c r="S69" s="45">
        <v>0</v>
      </c>
      <c r="T69" s="45">
        <v>0</v>
      </c>
      <c r="U69" s="46" t="s">
        <v>223</v>
      </c>
      <c r="V69" s="46" t="s">
        <v>42</v>
      </c>
      <c r="W69" s="47"/>
    </row>
    <row r="70" spans="1:23" s="48" customFormat="1" ht="12.2" customHeight="1">
      <c r="A70" s="43" t="s">
        <v>125</v>
      </c>
      <c r="B70" s="44">
        <v>200</v>
      </c>
      <c r="C70" s="45">
        <f>19.96*0.2</f>
        <v>3.9920000000000004</v>
      </c>
      <c r="D70" s="45">
        <f>21.08*0.2</f>
        <v>4.2160000000000002</v>
      </c>
      <c r="E70" s="45">
        <f>66.14*0.2</f>
        <v>13.228000000000002</v>
      </c>
      <c r="F70" s="45">
        <f>593*0.2</f>
        <v>118.60000000000001</v>
      </c>
      <c r="G70" s="45">
        <f>0.91*0.2</f>
        <v>0.18200000000000002</v>
      </c>
      <c r="H70" s="45">
        <f>29.3*0.2</f>
        <v>5.86</v>
      </c>
      <c r="I70" s="45">
        <v>0</v>
      </c>
      <c r="J70" s="45">
        <v>3.25</v>
      </c>
      <c r="K70" s="45">
        <v>0</v>
      </c>
      <c r="L70" s="45">
        <f>0.29*0.2</f>
        <v>5.7999999999999996E-2</v>
      </c>
      <c r="M70" s="45">
        <f>170.7*0.2</f>
        <v>34.14</v>
      </c>
      <c r="N70" s="45">
        <f>142.3*0.2</f>
        <v>28.460000000000004</v>
      </c>
      <c r="O70" s="45">
        <f>352.4*0.2</f>
        <v>70.48</v>
      </c>
      <c r="P70" s="45">
        <f>8.2*0.2</f>
        <v>1.64</v>
      </c>
      <c r="Q70" s="45">
        <f>1891.3*0.2</f>
        <v>378.26</v>
      </c>
      <c r="R70" s="45">
        <v>3.33</v>
      </c>
      <c r="S70" s="45">
        <v>0.02</v>
      </c>
      <c r="T70" s="45">
        <v>0</v>
      </c>
      <c r="U70" s="46" t="s">
        <v>126</v>
      </c>
      <c r="V70" s="46" t="s">
        <v>29</v>
      </c>
      <c r="W70" s="47"/>
    </row>
    <row r="71" spans="1:23" s="48" customFormat="1" ht="12.2" customHeight="1">
      <c r="A71" s="43" t="s">
        <v>127</v>
      </c>
      <c r="B71" s="44">
        <v>150</v>
      </c>
      <c r="C71" s="45">
        <f>17.76*0.15</f>
        <v>2.6640000000000001</v>
      </c>
      <c r="D71" s="45">
        <f>33.38*0.15</f>
        <v>5.0070000000000006</v>
      </c>
      <c r="E71" s="45">
        <f>83.13*0.15</f>
        <v>12.469499999999998</v>
      </c>
      <c r="F71" s="45">
        <f>884*0.15</f>
        <v>132.6</v>
      </c>
      <c r="G71" s="45">
        <f>0.26*0.15</f>
        <v>3.9E-2</v>
      </c>
      <c r="H71" s="45">
        <f>123.13*0.15</f>
        <v>18.4695</v>
      </c>
      <c r="I71" s="45">
        <f>320*0.15</f>
        <v>48</v>
      </c>
      <c r="J71" s="45">
        <v>0.6</v>
      </c>
      <c r="K71" s="45">
        <v>0.18</v>
      </c>
      <c r="L71" s="45">
        <f>0.41*0.15</f>
        <v>6.1499999999999992E-2</v>
      </c>
      <c r="M71" s="45">
        <f>530.1*0.15</f>
        <v>79.515000000000001</v>
      </c>
      <c r="N71" s="45">
        <f>171.4*0.15</f>
        <v>25.71</v>
      </c>
      <c r="O71" s="45">
        <f>344.7*0.15</f>
        <v>51.704999999999998</v>
      </c>
      <c r="P71" s="45">
        <f>10.11*0.15</f>
        <v>1.5165</v>
      </c>
      <c r="Q71" s="45">
        <f>3186*0.15</f>
        <v>477.9</v>
      </c>
      <c r="R71" s="45">
        <v>5.5</v>
      </c>
      <c r="S71" s="45">
        <v>0.02</v>
      </c>
      <c r="T71" s="45">
        <v>0</v>
      </c>
      <c r="U71" s="46" t="s">
        <v>128</v>
      </c>
      <c r="V71" s="46">
        <v>2017</v>
      </c>
      <c r="W71" s="47"/>
    </row>
    <row r="72" spans="1:23" s="48" customFormat="1" ht="12.2" customHeight="1">
      <c r="A72" s="43" t="s">
        <v>129</v>
      </c>
      <c r="B72" s="44">
        <v>130</v>
      </c>
      <c r="C72" s="45">
        <f>7.46*130/110</f>
        <v>8.8163636363636364</v>
      </c>
      <c r="D72" s="45">
        <f>6.29*130/110</f>
        <v>7.4336363636363645</v>
      </c>
      <c r="E72" s="45">
        <f>13.44*130/110</f>
        <v>15.883636363636365</v>
      </c>
      <c r="F72" s="45">
        <f>142*130/110</f>
        <v>167.81818181818181</v>
      </c>
      <c r="G72" s="45">
        <f>0.05*130/110</f>
        <v>5.909090909090909E-2</v>
      </c>
      <c r="H72" s="45">
        <f>0.41*130/110</f>
        <v>0.4845454545454545</v>
      </c>
      <c r="I72" s="45">
        <f>33*130/110</f>
        <v>39</v>
      </c>
      <c r="J72" s="45">
        <v>2.69</v>
      </c>
      <c r="K72" s="45">
        <v>0</v>
      </c>
      <c r="L72" s="45">
        <f>0.07*130/110</f>
        <v>8.2727272727272746E-2</v>
      </c>
      <c r="M72" s="45">
        <f>23.65*130/110</f>
        <v>27.95</v>
      </c>
      <c r="N72" s="45">
        <f>16.5*130/110</f>
        <v>19.5</v>
      </c>
      <c r="O72" s="45">
        <f>83.14*130/110</f>
        <v>98.256363636363645</v>
      </c>
      <c r="P72" s="45">
        <f>0.68*130/110</f>
        <v>0.8036363636363637</v>
      </c>
      <c r="Q72" s="45">
        <f>151.6*130/110</f>
        <v>179.16363636363636</v>
      </c>
      <c r="R72" s="45">
        <v>7.65</v>
      </c>
      <c r="S72" s="45">
        <v>7.0000000000000007E-2</v>
      </c>
      <c r="T72" s="45">
        <v>0</v>
      </c>
      <c r="U72" s="46" t="s">
        <v>130</v>
      </c>
      <c r="V72" s="46" t="s">
        <v>29</v>
      </c>
      <c r="W72" s="47"/>
    </row>
    <row r="73" spans="1:23" s="48" customFormat="1" ht="12.2" customHeight="1">
      <c r="A73" s="43" t="s">
        <v>292</v>
      </c>
      <c r="B73" s="44">
        <v>180</v>
      </c>
      <c r="C73" s="45">
        <v>5.2</v>
      </c>
      <c r="D73" s="45">
        <v>4.5</v>
      </c>
      <c r="E73" s="45">
        <v>7.2</v>
      </c>
      <c r="F73" s="45">
        <v>95.4</v>
      </c>
      <c r="G73" s="45">
        <v>7.0000000000000007E-2</v>
      </c>
      <c r="H73" s="45">
        <v>1.26</v>
      </c>
      <c r="I73" s="45">
        <v>0.05</v>
      </c>
      <c r="J73" s="45">
        <v>0.13</v>
      </c>
      <c r="K73" s="45">
        <v>0</v>
      </c>
      <c r="L73" s="45">
        <v>0.31</v>
      </c>
      <c r="M73" s="45">
        <v>216</v>
      </c>
      <c r="N73" s="45">
        <v>25.2</v>
      </c>
      <c r="O73" s="45">
        <v>171</v>
      </c>
      <c r="P73" s="45">
        <v>0.18</v>
      </c>
      <c r="Q73" s="45">
        <v>262.8</v>
      </c>
      <c r="R73" s="45">
        <v>16.2</v>
      </c>
      <c r="S73" s="45">
        <v>0.04</v>
      </c>
      <c r="T73" s="45">
        <v>0</v>
      </c>
      <c r="U73" s="46" t="s">
        <v>223</v>
      </c>
      <c r="V73" s="46" t="s">
        <v>29</v>
      </c>
      <c r="W73" s="47"/>
    </row>
    <row r="74" spans="1:23" s="48" customFormat="1" ht="12.2" customHeight="1">
      <c r="A74" s="43" t="s">
        <v>303</v>
      </c>
      <c r="B74" s="44">
        <v>150</v>
      </c>
      <c r="C74" s="45">
        <v>1.4</v>
      </c>
      <c r="D74" s="45">
        <v>0.3</v>
      </c>
      <c r="E74" s="45">
        <v>12.2</v>
      </c>
      <c r="F74" s="45">
        <v>64.5</v>
      </c>
      <c r="G74" s="45">
        <v>0.06</v>
      </c>
      <c r="H74" s="45">
        <v>90</v>
      </c>
      <c r="I74" s="45">
        <v>0.02</v>
      </c>
      <c r="J74" s="45">
        <v>0.33</v>
      </c>
      <c r="K74" s="45">
        <v>0</v>
      </c>
      <c r="L74" s="45">
        <v>0.05</v>
      </c>
      <c r="M74" s="45">
        <v>51</v>
      </c>
      <c r="N74" s="45">
        <v>19.5</v>
      </c>
      <c r="O74" s="45">
        <v>34.5</v>
      </c>
      <c r="P74" s="45">
        <v>0.45</v>
      </c>
      <c r="Q74" s="45">
        <v>295.5</v>
      </c>
      <c r="R74" s="45">
        <v>3</v>
      </c>
      <c r="S74" s="45">
        <v>0.03</v>
      </c>
      <c r="T74" s="45">
        <v>0</v>
      </c>
      <c r="U74" s="58" t="s">
        <v>251</v>
      </c>
      <c r="V74" s="46" t="s">
        <v>29</v>
      </c>
      <c r="W74" s="47"/>
    </row>
    <row r="75" spans="1:23" s="48" customFormat="1" ht="12.2" customHeight="1">
      <c r="A75" s="43" t="s">
        <v>51</v>
      </c>
      <c r="B75" s="44">
        <v>20</v>
      </c>
      <c r="C75" s="49">
        <v>1.53</v>
      </c>
      <c r="D75" s="49">
        <v>0.12</v>
      </c>
      <c r="E75" s="49">
        <v>10.039999999999999</v>
      </c>
      <c r="F75" s="49">
        <v>47.36</v>
      </c>
      <c r="G75" s="50">
        <v>0.03</v>
      </c>
      <c r="H75" s="50">
        <v>0</v>
      </c>
      <c r="I75" s="50">
        <v>0</v>
      </c>
      <c r="J75" s="50">
        <v>0.39</v>
      </c>
      <c r="K75" s="50">
        <v>0</v>
      </c>
      <c r="L75" s="50">
        <v>0.01</v>
      </c>
      <c r="M75" s="50">
        <v>4.5999999999999996</v>
      </c>
      <c r="N75" s="50">
        <v>6.6</v>
      </c>
      <c r="O75" s="50">
        <v>16.8</v>
      </c>
      <c r="P75" s="50">
        <v>0.4</v>
      </c>
      <c r="Q75" s="50">
        <v>25.8</v>
      </c>
      <c r="R75" s="50">
        <v>0</v>
      </c>
      <c r="S75" s="50">
        <v>0</v>
      </c>
      <c r="T75" s="50">
        <v>0</v>
      </c>
      <c r="U75" s="46" t="s">
        <v>223</v>
      </c>
      <c r="V75" s="46" t="s">
        <v>38</v>
      </c>
      <c r="W75" s="47"/>
    </row>
    <row r="76" spans="1:23" s="48" customFormat="1" ht="12.2" customHeight="1">
      <c r="A76" s="43" t="s">
        <v>37</v>
      </c>
      <c r="B76" s="44">
        <v>30</v>
      </c>
      <c r="C76" s="49">
        <v>1.99</v>
      </c>
      <c r="D76" s="49">
        <v>0.26</v>
      </c>
      <c r="E76" s="49">
        <v>12.72</v>
      </c>
      <c r="F76" s="49">
        <v>61.19</v>
      </c>
      <c r="G76" s="50">
        <v>0.05</v>
      </c>
      <c r="H76" s="50">
        <v>0</v>
      </c>
      <c r="I76" s="50">
        <v>0</v>
      </c>
      <c r="J76" s="50">
        <v>0.66</v>
      </c>
      <c r="K76" s="50">
        <v>0</v>
      </c>
      <c r="L76" s="50">
        <v>0.02</v>
      </c>
      <c r="M76" s="50">
        <v>5.4</v>
      </c>
      <c r="N76" s="50">
        <v>5.7</v>
      </c>
      <c r="O76" s="50">
        <v>26.1</v>
      </c>
      <c r="P76" s="50">
        <v>1.2</v>
      </c>
      <c r="Q76" s="50">
        <v>40.799999999999997</v>
      </c>
      <c r="R76" s="50">
        <v>1.68</v>
      </c>
      <c r="S76" s="50">
        <v>0</v>
      </c>
      <c r="T76" s="50">
        <v>0</v>
      </c>
      <c r="U76" s="46" t="s">
        <v>223</v>
      </c>
      <c r="V76" s="46" t="s">
        <v>38</v>
      </c>
      <c r="W76" s="47"/>
    </row>
    <row r="77" spans="1:23" s="48" customFormat="1" ht="21.6" customHeight="1">
      <c r="A77" s="51" t="s">
        <v>39</v>
      </c>
      <c r="B77" s="52">
        <f t="shared" ref="B77:T77" si="5">SUM(B69:B76)</f>
        <v>920</v>
      </c>
      <c r="C77" s="53">
        <f t="shared" si="5"/>
        <v>27.092363636363636</v>
      </c>
      <c r="D77" s="53">
        <f t="shared" si="5"/>
        <v>29.136636363636367</v>
      </c>
      <c r="E77" s="53">
        <f t="shared" si="5"/>
        <v>88.341136363636366</v>
      </c>
      <c r="F77" s="53">
        <f t="shared" si="5"/>
        <v>758.86818181818194</v>
      </c>
      <c r="G77" s="53">
        <f t="shared" si="5"/>
        <v>0.50009090909090914</v>
      </c>
      <c r="H77" s="53">
        <f t="shared" si="5"/>
        <v>120.27404545454546</v>
      </c>
      <c r="I77" s="53">
        <f t="shared" si="5"/>
        <v>87.179999999999993</v>
      </c>
      <c r="J77" s="53">
        <f t="shared" si="5"/>
        <v>8.0499999999999989</v>
      </c>
      <c r="K77" s="53">
        <f t="shared" si="5"/>
        <v>0.18</v>
      </c>
      <c r="L77" s="53">
        <f t="shared" si="5"/>
        <v>0.62222727272727285</v>
      </c>
      <c r="M77" s="53">
        <f t="shared" si="5"/>
        <v>443.20499999999998</v>
      </c>
      <c r="N77" s="53">
        <f t="shared" si="5"/>
        <v>139.67000000000002</v>
      </c>
      <c r="O77" s="53">
        <f t="shared" si="5"/>
        <v>491.04136363636366</v>
      </c>
      <c r="P77" s="53">
        <f t="shared" si="5"/>
        <v>6.6101363636363644</v>
      </c>
      <c r="Q77" s="53">
        <f t="shared" si="5"/>
        <v>1849.2236363636362</v>
      </c>
      <c r="R77" s="53">
        <f t="shared" si="5"/>
        <v>37.36</v>
      </c>
      <c r="S77" s="53">
        <f t="shared" si="5"/>
        <v>0.18000000000000002</v>
      </c>
      <c r="T77" s="53">
        <f t="shared" si="5"/>
        <v>0</v>
      </c>
      <c r="U77" s="54"/>
      <c r="V77" s="54"/>
      <c r="W77" s="47"/>
    </row>
    <row r="78" spans="1:23" s="7" customFormat="1" ht="28.35" customHeight="1">
      <c r="A78" s="104" t="s">
        <v>268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</row>
    <row r="79" spans="1:23" s="48" customFormat="1" ht="13.35" customHeight="1">
      <c r="A79" s="117" t="s">
        <v>1</v>
      </c>
      <c r="B79" s="111" t="s">
        <v>2</v>
      </c>
      <c r="C79" s="113" t="s">
        <v>3</v>
      </c>
      <c r="D79" s="114"/>
      <c r="E79" s="115"/>
      <c r="F79" s="116" t="s">
        <v>4</v>
      </c>
      <c r="G79" s="77" t="s">
        <v>5</v>
      </c>
      <c r="H79" s="113" t="s">
        <v>6</v>
      </c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5"/>
      <c r="U79" s="111" t="s">
        <v>7</v>
      </c>
      <c r="V79" s="111" t="s">
        <v>8</v>
      </c>
    </row>
    <row r="80" spans="1:23" s="48" customFormat="1" ht="26.65" customHeight="1">
      <c r="A80" s="118"/>
      <c r="B80" s="112"/>
      <c r="C80" s="61" t="s">
        <v>9</v>
      </c>
      <c r="D80" s="61" t="s">
        <v>10</v>
      </c>
      <c r="E80" s="61" t="s">
        <v>11</v>
      </c>
      <c r="F80" s="112"/>
      <c r="G80" s="61" t="s">
        <v>12</v>
      </c>
      <c r="H80" s="61" t="s">
        <v>13</v>
      </c>
      <c r="I80" s="61" t="s">
        <v>14</v>
      </c>
      <c r="J80" s="61" t="s">
        <v>15</v>
      </c>
      <c r="K80" s="61" t="s">
        <v>16</v>
      </c>
      <c r="L80" s="61" t="s">
        <v>17</v>
      </c>
      <c r="M80" s="61" t="s">
        <v>18</v>
      </c>
      <c r="N80" s="61" t="s">
        <v>19</v>
      </c>
      <c r="O80" s="61" t="s">
        <v>20</v>
      </c>
      <c r="P80" s="61" t="s">
        <v>21</v>
      </c>
      <c r="Q80" s="61" t="s">
        <v>22</v>
      </c>
      <c r="R80" s="61" t="s">
        <v>23</v>
      </c>
      <c r="S80" s="61" t="s">
        <v>24</v>
      </c>
      <c r="T80" s="61" t="s">
        <v>25</v>
      </c>
      <c r="U80" s="112"/>
      <c r="V80" s="112"/>
    </row>
    <row r="81" spans="1:23" s="48" customFormat="1" ht="14.65" customHeight="1">
      <c r="A81" s="98" t="s">
        <v>40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5"/>
      <c r="W81" s="47"/>
    </row>
    <row r="82" spans="1:23" s="48" customFormat="1" ht="12.2" customHeight="1">
      <c r="A82" s="43" t="s">
        <v>139</v>
      </c>
      <c r="B82" s="44">
        <v>60</v>
      </c>
      <c r="C82" s="45">
        <v>0.7</v>
      </c>
      <c r="D82" s="45">
        <v>3.1</v>
      </c>
      <c r="E82" s="45">
        <v>5.7</v>
      </c>
      <c r="F82" s="45">
        <v>44</v>
      </c>
      <c r="G82" s="45">
        <v>0.02</v>
      </c>
      <c r="H82" s="45">
        <v>15.61</v>
      </c>
      <c r="I82" s="45">
        <v>0.19</v>
      </c>
      <c r="J82" s="45">
        <v>1.44</v>
      </c>
      <c r="K82" s="45">
        <v>0</v>
      </c>
      <c r="L82" s="45">
        <v>0</v>
      </c>
      <c r="M82" s="45">
        <v>21.61</v>
      </c>
      <c r="N82" s="45">
        <v>10.210000000000001</v>
      </c>
      <c r="O82" s="45">
        <v>16.21</v>
      </c>
      <c r="P82" s="45">
        <v>0.66</v>
      </c>
      <c r="Q82" s="45">
        <v>0</v>
      </c>
      <c r="R82" s="45">
        <v>0</v>
      </c>
      <c r="S82" s="45">
        <v>0</v>
      </c>
      <c r="T82" s="45">
        <v>0</v>
      </c>
      <c r="U82" s="46" t="s">
        <v>205</v>
      </c>
      <c r="V82" s="46" t="s">
        <v>42</v>
      </c>
      <c r="W82" s="47"/>
    </row>
    <row r="83" spans="1:23" s="48" customFormat="1" ht="12.2" customHeight="1">
      <c r="A83" s="43" t="s">
        <v>141</v>
      </c>
      <c r="B83" s="44">
        <v>200</v>
      </c>
      <c r="C83" s="45">
        <f>8.07*0.2</f>
        <v>1.6140000000000001</v>
      </c>
      <c r="D83" s="45">
        <f>20.36*0.2</f>
        <v>4.0720000000000001</v>
      </c>
      <c r="E83" s="45">
        <f>47.32*0.2</f>
        <v>9.4640000000000004</v>
      </c>
      <c r="F83" s="45">
        <f>429*0.2</f>
        <v>85.800000000000011</v>
      </c>
      <c r="G83" s="45">
        <v>0.06</v>
      </c>
      <c r="H83" s="45">
        <v>4.62</v>
      </c>
      <c r="I83" s="45">
        <v>0.15</v>
      </c>
      <c r="J83" s="45">
        <v>1.93</v>
      </c>
      <c r="K83" s="45">
        <v>0</v>
      </c>
      <c r="L83" s="45">
        <v>0.04</v>
      </c>
      <c r="M83" s="45">
        <v>23.17</v>
      </c>
      <c r="N83" s="45">
        <v>17.84</v>
      </c>
      <c r="O83" s="45">
        <v>47.15</v>
      </c>
      <c r="P83" s="45">
        <v>0.72</v>
      </c>
      <c r="Q83" s="45">
        <v>335.2</v>
      </c>
      <c r="R83" s="45">
        <v>3.1</v>
      </c>
      <c r="S83" s="45">
        <v>0.02</v>
      </c>
      <c r="T83" s="45">
        <v>0</v>
      </c>
      <c r="U83" s="46" t="s">
        <v>142</v>
      </c>
      <c r="V83" s="46" t="s">
        <v>29</v>
      </c>
      <c r="W83" s="47"/>
    </row>
    <row r="84" spans="1:23" s="48" customFormat="1" ht="12.2" customHeight="1">
      <c r="A84" s="43" t="s">
        <v>143</v>
      </c>
      <c r="B84" s="44">
        <v>180</v>
      </c>
      <c r="C84" s="45">
        <f>6.03*180/70</f>
        <v>15.505714285714287</v>
      </c>
      <c r="D84" s="45">
        <f>5.74*180/70</f>
        <v>14.76</v>
      </c>
      <c r="E84" s="45">
        <f>13.6*180/70</f>
        <v>34.971428571428568</v>
      </c>
      <c r="F84" s="45">
        <f>129*180/70</f>
        <v>331.71428571428572</v>
      </c>
      <c r="G84" s="45">
        <v>0.08</v>
      </c>
      <c r="H84" s="45">
        <v>0.39</v>
      </c>
      <c r="I84" s="45">
        <v>0.12</v>
      </c>
      <c r="J84" s="45">
        <v>0.56000000000000005</v>
      </c>
      <c r="K84" s="45">
        <v>0.25</v>
      </c>
      <c r="L84" s="45">
        <v>0.39</v>
      </c>
      <c r="M84" s="45">
        <v>278.16000000000003</v>
      </c>
      <c r="N84" s="45">
        <v>42.33</v>
      </c>
      <c r="O84" s="45">
        <v>347.09</v>
      </c>
      <c r="P84" s="45">
        <v>1.23</v>
      </c>
      <c r="Q84" s="45">
        <v>292.38</v>
      </c>
      <c r="R84" s="45">
        <v>3.26</v>
      </c>
      <c r="S84" s="45">
        <v>0.05</v>
      </c>
      <c r="T84" s="45">
        <v>0.04</v>
      </c>
      <c r="U84" s="46" t="s">
        <v>94</v>
      </c>
      <c r="V84" s="46" t="s">
        <v>29</v>
      </c>
      <c r="W84" s="47"/>
    </row>
    <row r="85" spans="1:23" s="48" customFormat="1" ht="12.2" customHeight="1">
      <c r="A85" s="43" t="s">
        <v>302</v>
      </c>
      <c r="B85" s="44">
        <v>200</v>
      </c>
      <c r="C85" s="45">
        <f>3*0.2</f>
        <v>0.60000000000000009</v>
      </c>
      <c r="D85" s="45">
        <v>0.4</v>
      </c>
      <c r="E85" s="45">
        <f>163*0.2</f>
        <v>32.6</v>
      </c>
      <c r="F85" s="45">
        <f>682*0.2</f>
        <v>136.4</v>
      </c>
      <c r="G85" s="45">
        <v>0.03</v>
      </c>
      <c r="H85" s="45">
        <v>1.6</v>
      </c>
      <c r="I85" s="45">
        <v>0</v>
      </c>
      <c r="J85" s="45">
        <v>0</v>
      </c>
      <c r="K85" s="45">
        <v>0</v>
      </c>
      <c r="L85" s="45">
        <v>0.02</v>
      </c>
      <c r="M85" s="45">
        <v>36</v>
      </c>
      <c r="N85" s="45">
        <v>16.2</v>
      </c>
      <c r="O85" s="45">
        <v>21.6</v>
      </c>
      <c r="P85" s="45">
        <v>0.72</v>
      </c>
      <c r="Q85" s="45">
        <v>300</v>
      </c>
      <c r="R85" s="45">
        <v>12</v>
      </c>
      <c r="S85" s="45">
        <v>0</v>
      </c>
      <c r="T85" s="45">
        <v>0</v>
      </c>
      <c r="U85" s="46" t="s">
        <v>100</v>
      </c>
      <c r="V85" s="46" t="s">
        <v>29</v>
      </c>
      <c r="W85" s="47"/>
    </row>
    <row r="86" spans="1:23" s="48" customFormat="1" ht="12.2" customHeight="1">
      <c r="A86" s="43" t="s">
        <v>51</v>
      </c>
      <c r="B86" s="44">
        <v>30</v>
      </c>
      <c r="C86" s="49">
        <v>2.2999999999999998</v>
      </c>
      <c r="D86" s="49">
        <v>0.19</v>
      </c>
      <c r="E86" s="49">
        <v>15.05</v>
      </c>
      <c r="F86" s="49">
        <v>71.05</v>
      </c>
      <c r="G86" s="50">
        <v>0.05</v>
      </c>
      <c r="H86" s="50">
        <v>0</v>
      </c>
      <c r="I86" s="50">
        <v>0</v>
      </c>
      <c r="J86" s="50">
        <v>0.59</v>
      </c>
      <c r="K86" s="50">
        <v>0</v>
      </c>
      <c r="L86" s="50">
        <v>0.02</v>
      </c>
      <c r="M86" s="50">
        <v>6.9</v>
      </c>
      <c r="N86" s="50">
        <v>9.9</v>
      </c>
      <c r="O86" s="50">
        <v>25.2</v>
      </c>
      <c r="P86" s="50">
        <v>0.6</v>
      </c>
      <c r="Q86" s="50">
        <v>38.700000000000003</v>
      </c>
      <c r="R86" s="50">
        <v>0</v>
      </c>
      <c r="S86" s="50">
        <v>0</v>
      </c>
      <c r="T86" s="50">
        <v>0</v>
      </c>
      <c r="U86" s="46" t="s">
        <v>223</v>
      </c>
      <c r="V86" s="46">
        <v>2020</v>
      </c>
      <c r="W86" s="47"/>
    </row>
    <row r="87" spans="1:23" s="48" customFormat="1" ht="12.2" customHeight="1">
      <c r="A87" s="43" t="s">
        <v>37</v>
      </c>
      <c r="B87" s="44">
        <v>20</v>
      </c>
      <c r="C87" s="49">
        <v>1.1200000000000001</v>
      </c>
      <c r="D87" s="49">
        <v>0.22</v>
      </c>
      <c r="E87" s="49">
        <v>9.8800000000000008</v>
      </c>
      <c r="F87" s="49">
        <v>45.98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46" t="s">
        <v>223</v>
      </c>
      <c r="V87" s="46" t="s">
        <v>38</v>
      </c>
      <c r="W87" s="47"/>
    </row>
    <row r="88" spans="1:23" s="48" customFormat="1" ht="12.2" customHeight="1">
      <c r="A88" s="43" t="s">
        <v>112</v>
      </c>
      <c r="B88" s="44">
        <v>200</v>
      </c>
      <c r="C88" s="45">
        <v>5.8</v>
      </c>
      <c r="D88" s="45">
        <v>5</v>
      </c>
      <c r="E88" s="45">
        <v>9.6</v>
      </c>
      <c r="F88" s="45">
        <v>107</v>
      </c>
      <c r="G88" s="45">
        <v>0.08</v>
      </c>
      <c r="H88" s="45">
        <v>2.6</v>
      </c>
      <c r="I88" s="45">
        <v>40</v>
      </c>
      <c r="J88" s="45">
        <v>0</v>
      </c>
      <c r="K88" s="45">
        <v>0</v>
      </c>
      <c r="L88" s="45">
        <v>0.03</v>
      </c>
      <c r="M88" s="45">
        <v>240</v>
      </c>
      <c r="N88" s="45">
        <v>28</v>
      </c>
      <c r="O88" s="45">
        <v>180</v>
      </c>
      <c r="P88" s="45">
        <v>0.2</v>
      </c>
      <c r="Q88" s="45">
        <v>292</v>
      </c>
      <c r="R88" s="45">
        <v>0</v>
      </c>
      <c r="S88" s="45">
        <v>0</v>
      </c>
      <c r="T88" s="45">
        <v>0</v>
      </c>
      <c r="U88" s="46" t="s">
        <v>223</v>
      </c>
      <c r="V88" s="46"/>
      <c r="W88" s="47"/>
    </row>
    <row r="89" spans="1:23" s="48" customFormat="1" ht="21.6" customHeight="1">
      <c r="A89" s="51" t="s">
        <v>39</v>
      </c>
      <c r="B89" s="52">
        <f t="shared" ref="B89:T89" si="6">SUM(B82:B88)</f>
        <v>890</v>
      </c>
      <c r="C89" s="53">
        <f t="shared" si="6"/>
        <v>27.639714285714291</v>
      </c>
      <c r="D89" s="53">
        <f t="shared" si="6"/>
        <v>27.742000000000001</v>
      </c>
      <c r="E89" s="53">
        <f t="shared" si="6"/>
        <v>117.26542857142856</v>
      </c>
      <c r="F89" s="53">
        <f t="shared" si="6"/>
        <v>821.94428571428568</v>
      </c>
      <c r="G89" s="53">
        <f t="shared" si="6"/>
        <v>0.32</v>
      </c>
      <c r="H89" s="53">
        <f t="shared" si="6"/>
        <v>24.820000000000004</v>
      </c>
      <c r="I89" s="53">
        <f t="shared" si="6"/>
        <v>40.46</v>
      </c>
      <c r="J89" s="53">
        <f t="shared" si="6"/>
        <v>4.5200000000000005</v>
      </c>
      <c r="K89" s="53">
        <f t="shared" si="6"/>
        <v>0.25</v>
      </c>
      <c r="L89" s="53">
        <f t="shared" si="6"/>
        <v>0.5</v>
      </c>
      <c r="M89" s="53">
        <f t="shared" si="6"/>
        <v>605.84</v>
      </c>
      <c r="N89" s="53">
        <f t="shared" si="6"/>
        <v>124.48</v>
      </c>
      <c r="O89" s="53">
        <f t="shared" si="6"/>
        <v>637.25</v>
      </c>
      <c r="P89" s="53">
        <f t="shared" si="6"/>
        <v>4.13</v>
      </c>
      <c r="Q89" s="53">
        <f t="shared" si="6"/>
        <v>1258.28</v>
      </c>
      <c r="R89" s="53">
        <f t="shared" si="6"/>
        <v>18.36</v>
      </c>
      <c r="S89" s="53">
        <f t="shared" si="6"/>
        <v>7.0000000000000007E-2</v>
      </c>
      <c r="T89" s="53">
        <f t="shared" si="6"/>
        <v>0.04</v>
      </c>
      <c r="U89" s="54"/>
      <c r="V89" s="54"/>
      <c r="W89" s="47"/>
    </row>
    <row r="90" spans="1:23" s="7" customFormat="1" ht="28.35" customHeight="1">
      <c r="A90" s="104" t="s">
        <v>274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</row>
    <row r="91" spans="1:23" s="48" customFormat="1" ht="13.35" customHeight="1">
      <c r="A91" s="117" t="s">
        <v>1</v>
      </c>
      <c r="B91" s="111" t="s">
        <v>2</v>
      </c>
      <c r="C91" s="113" t="s">
        <v>3</v>
      </c>
      <c r="D91" s="114"/>
      <c r="E91" s="115"/>
      <c r="F91" s="116" t="s">
        <v>4</v>
      </c>
      <c r="G91" s="77" t="s">
        <v>5</v>
      </c>
      <c r="H91" s="113" t="s">
        <v>6</v>
      </c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5"/>
      <c r="U91" s="111" t="s">
        <v>7</v>
      </c>
      <c r="V91" s="111" t="s">
        <v>8</v>
      </c>
    </row>
    <row r="92" spans="1:23" s="48" customFormat="1" ht="26.65" customHeight="1">
      <c r="A92" s="118"/>
      <c r="B92" s="112"/>
      <c r="C92" s="61" t="s">
        <v>9</v>
      </c>
      <c r="D92" s="61" t="s">
        <v>10</v>
      </c>
      <c r="E92" s="61" t="s">
        <v>11</v>
      </c>
      <c r="F92" s="112"/>
      <c r="G92" s="61" t="s">
        <v>12</v>
      </c>
      <c r="H92" s="61" t="s">
        <v>13</v>
      </c>
      <c r="I92" s="61" t="s">
        <v>14</v>
      </c>
      <c r="J92" s="61" t="s">
        <v>15</v>
      </c>
      <c r="K92" s="61" t="s">
        <v>16</v>
      </c>
      <c r="L92" s="61" t="s">
        <v>17</v>
      </c>
      <c r="M92" s="61" t="s">
        <v>18</v>
      </c>
      <c r="N92" s="61" t="s">
        <v>19</v>
      </c>
      <c r="O92" s="61" t="s">
        <v>20</v>
      </c>
      <c r="P92" s="61" t="s">
        <v>21</v>
      </c>
      <c r="Q92" s="61" t="s">
        <v>22</v>
      </c>
      <c r="R92" s="61" t="s">
        <v>23</v>
      </c>
      <c r="S92" s="61" t="s">
        <v>24</v>
      </c>
      <c r="T92" s="61" t="s">
        <v>25</v>
      </c>
      <c r="U92" s="112"/>
      <c r="V92" s="112"/>
    </row>
    <row r="93" spans="1:23" s="48" customFormat="1" ht="14.65" customHeight="1">
      <c r="A93" s="98" t="s">
        <v>40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5"/>
      <c r="W93" s="47"/>
    </row>
    <row r="94" spans="1:23" s="48" customFormat="1" ht="12.2" customHeight="1">
      <c r="A94" s="43" t="s">
        <v>160</v>
      </c>
      <c r="B94" s="44">
        <v>60</v>
      </c>
      <c r="C94" s="45">
        <f>23.7*0.06</f>
        <v>1.4219999999999999</v>
      </c>
      <c r="D94" s="45">
        <f>1.02*0.06</f>
        <v>6.1199999999999997E-2</v>
      </c>
      <c r="E94" s="45">
        <f>228.71*0.06</f>
        <v>13.7226</v>
      </c>
      <c r="F94" s="45">
        <f>1853*0.06</f>
        <v>111.17999999999999</v>
      </c>
      <c r="G94" s="45">
        <v>0.03</v>
      </c>
      <c r="H94" s="45">
        <v>4.84</v>
      </c>
      <c r="I94" s="45">
        <v>0.05</v>
      </c>
      <c r="J94" s="45">
        <v>2.12</v>
      </c>
      <c r="K94" s="45">
        <v>0</v>
      </c>
      <c r="L94" s="45">
        <v>0.04</v>
      </c>
      <c r="M94" s="45">
        <v>19.98</v>
      </c>
      <c r="N94" s="45">
        <v>16.600000000000001</v>
      </c>
      <c r="O94" s="45">
        <v>31.4</v>
      </c>
      <c r="P94" s="45">
        <v>0.95</v>
      </c>
      <c r="Q94" s="45">
        <v>273.64999999999998</v>
      </c>
      <c r="R94" s="45">
        <v>4.68</v>
      </c>
      <c r="S94" s="45">
        <v>0.01</v>
      </c>
      <c r="T94" s="45">
        <v>0</v>
      </c>
      <c r="U94" s="46" t="s">
        <v>161</v>
      </c>
      <c r="V94" s="46" t="s">
        <v>29</v>
      </c>
      <c r="W94" s="47"/>
    </row>
    <row r="95" spans="1:23" s="48" customFormat="1" ht="12.2" customHeight="1">
      <c r="A95" s="43" t="s">
        <v>162</v>
      </c>
      <c r="B95" s="44">
        <v>200</v>
      </c>
      <c r="C95" s="45">
        <f>10.26*0.2</f>
        <v>2.052</v>
      </c>
      <c r="D95" s="45">
        <f>22.17*0.2</f>
        <v>4.4340000000000002</v>
      </c>
      <c r="E95" s="45">
        <f>46.48*0.2</f>
        <v>9.2959999999999994</v>
      </c>
      <c r="F95" s="45">
        <f>463*0.2</f>
        <v>92.600000000000009</v>
      </c>
      <c r="G95" s="45">
        <v>0.02</v>
      </c>
      <c r="H95" s="45">
        <v>0.32</v>
      </c>
      <c r="I95" s="45">
        <v>0.01</v>
      </c>
      <c r="J95" s="45">
        <v>1.78</v>
      </c>
      <c r="K95" s="45">
        <v>0.09</v>
      </c>
      <c r="L95" s="45">
        <v>0.03</v>
      </c>
      <c r="M95" s="45">
        <v>21.08</v>
      </c>
      <c r="N95" s="45">
        <v>5.73</v>
      </c>
      <c r="O95" s="45">
        <v>24.12</v>
      </c>
      <c r="P95" s="45">
        <v>0.35</v>
      </c>
      <c r="Q95" s="45">
        <v>38.659999999999997</v>
      </c>
      <c r="R95" s="45">
        <v>1.27</v>
      </c>
      <c r="S95" s="45">
        <v>0</v>
      </c>
      <c r="T95" s="45">
        <v>0</v>
      </c>
      <c r="U95" s="46" t="s">
        <v>163</v>
      </c>
      <c r="V95" s="46" t="s">
        <v>29</v>
      </c>
      <c r="W95" s="47"/>
    </row>
    <row r="96" spans="1:23" s="48" customFormat="1" ht="12.2" customHeight="1">
      <c r="A96" s="43" t="s">
        <v>164</v>
      </c>
      <c r="B96" s="44">
        <v>150</v>
      </c>
      <c r="C96" s="45">
        <f>4.84*150/160</f>
        <v>4.5374999999999996</v>
      </c>
      <c r="D96" s="45">
        <v>7.5</v>
      </c>
      <c r="E96" s="45">
        <v>30.1</v>
      </c>
      <c r="F96" s="45">
        <v>213.7</v>
      </c>
      <c r="G96" s="45">
        <v>0.04</v>
      </c>
      <c r="H96" s="45">
        <v>0</v>
      </c>
      <c r="I96" s="45">
        <v>0.04</v>
      </c>
      <c r="J96" s="45">
        <v>1.93</v>
      </c>
      <c r="K96" s="45">
        <v>0.15</v>
      </c>
      <c r="L96" s="45">
        <v>0.03</v>
      </c>
      <c r="M96" s="45">
        <v>26.01</v>
      </c>
      <c r="N96" s="45">
        <v>17.920000000000002</v>
      </c>
      <c r="O96" s="45">
        <v>136.74</v>
      </c>
      <c r="P96" s="45">
        <v>0.88</v>
      </c>
      <c r="Q96" s="45">
        <v>81.41</v>
      </c>
      <c r="R96" s="45">
        <v>0</v>
      </c>
      <c r="S96" s="45">
        <v>0.02</v>
      </c>
      <c r="T96" s="45">
        <v>0.02</v>
      </c>
      <c r="U96" s="46" t="s">
        <v>165</v>
      </c>
      <c r="V96" s="46">
        <v>2017</v>
      </c>
      <c r="W96" s="47"/>
    </row>
    <row r="97" spans="1:23" s="48" customFormat="1" ht="12.2" customHeight="1">
      <c r="A97" s="43" t="s">
        <v>47</v>
      </c>
      <c r="B97" s="44">
        <v>115</v>
      </c>
      <c r="C97" s="45">
        <f>6.59*115/80</f>
        <v>9.4731249999999996</v>
      </c>
      <c r="D97" s="45">
        <f>5.64*115/80</f>
        <v>8.1074999999999982</v>
      </c>
      <c r="E97" s="45">
        <f>9.38*115/80</f>
        <v>13.483750000000001</v>
      </c>
      <c r="F97" s="45">
        <f>115*115/80</f>
        <v>165.3125</v>
      </c>
      <c r="G97" s="45">
        <v>0.1</v>
      </c>
      <c r="H97" s="45">
        <v>0.21</v>
      </c>
      <c r="I97" s="45">
        <v>0.02</v>
      </c>
      <c r="J97" s="45">
        <v>4.29</v>
      </c>
      <c r="K97" s="45">
        <v>0.02</v>
      </c>
      <c r="L97" s="45">
        <v>0.09</v>
      </c>
      <c r="M97" s="45">
        <v>55.69</v>
      </c>
      <c r="N97" s="45">
        <v>47.02</v>
      </c>
      <c r="O97" s="45">
        <v>191.17</v>
      </c>
      <c r="P97" s="45">
        <v>1.5</v>
      </c>
      <c r="Q97" s="45">
        <v>339.53</v>
      </c>
      <c r="R97" s="45">
        <v>95.87</v>
      </c>
      <c r="S97" s="45">
        <v>0.4</v>
      </c>
      <c r="T97" s="45">
        <v>0.01</v>
      </c>
      <c r="U97" s="46" t="s">
        <v>48</v>
      </c>
      <c r="V97" s="46" t="s">
        <v>29</v>
      </c>
      <c r="W97" s="47"/>
    </row>
    <row r="98" spans="1:23" s="48" customFormat="1" ht="12.2" customHeight="1">
      <c r="A98" s="43" t="s">
        <v>167</v>
      </c>
      <c r="B98" s="44">
        <v>180</v>
      </c>
      <c r="C98" s="45">
        <f>0.07*180/200</f>
        <v>6.3E-2</v>
      </c>
      <c r="D98" s="45">
        <f>0.02*180/200</f>
        <v>1.8000000000000002E-2</v>
      </c>
      <c r="E98" s="45">
        <f>15*180/200</f>
        <v>13.5</v>
      </c>
      <c r="F98" s="45">
        <f>60*180/200</f>
        <v>54</v>
      </c>
      <c r="G98" s="45">
        <v>0</v>
      </c>
      <c r="H98" s="45">
        <v>0.04</v>
      </c>
      <c r="I98" s="45">
        <v>0</v>
      </c>
      <c r="J98" s="45">
        <v>0</v>
      </c>
      <c r="K98" s="45">
        <v>0</v>
      </c>
      <c r="L98" s="45">
        <v>0.01</v>
      </c>
      <c r="M98" s="45">
        <v>11.97</v>
      </c>
      <c r="N98" s="45">
        <v>5.3</v>
      </c>
      <c r="O98" s="45">
        <v>6.68</v>
      </c>
      <c r="P98" s="45">
        <v>0.67</v>
      </c>
      <c r="Q98" s="45">
        <v>23.17</v>
      </c>
      <c r="R98" s="45">
        <v>0</v>
      </c>
      <c r="S98" s="45">
        <v>0</v>
      </c>
      <c r="T98" s="45">
        <v>0</v>
      </c>
      <c r="U98" s="46" t="s">
        <v>168</v>
      </c>
      <c r="V98" s="46" t="s">
        <v>29</v>
      </c>
      <c r="W98" s="47"/>
    </row>
    <row r="99" spans="1:23" s="48" customFormat="1" ht="12.2" customHeight="1">
      <c r="A99" s="43" t="s">
        <v>51</v>
      </c>
      <c r="B99" s="44">
        <v>50</v>
      </c>
      <c r="C99" s="49">
        <v>3.82</v>
      </c>
      <c r="D99" s="49">
        <v>0.31</v>
      </c>
      <c r="E99" s="49">
        <v>25.09</v>
      </c>
      <c r="F99" s="49">
        <v>118.41</v>
      </c>
      <c r="G99" s="50">
        <v>0.08</v>
      </c>
      <c r="H99" s="50">
        <v>0</v>
      </c>
      <c r="I99" s="50">
        <v>0</v>
      </c>
      <c r="J99" s="50">
        <v>0.98</v>
      </c>
      <c r="K99" s="50">
        <v>0</v>
      </c>
      <c r="L99" s="50">
        <v>0.03</v>
      </c>
      <c r="M99" s="50">
        <v>11.5</v>
      </c>
      <c r="N99" s="50">
        <v>16.5</v>
      </c>
      <c r="O99" s="50">
        <v>42</v>
      </c>
      <c r="P99" s="50">
        <v>1</v>
      </c>
      <c r="Q99" s="50">
        <v>64.5</v>
      </c>
      <c r="R99" s="50">
        <v>0</v>
      </c>
      <c r="S99" s="50">
        <v>0.01</v>
      </c>
      <c r="T99" s="50">
        <v>0</v>
      </c>
      <c r="U99" s="46" t="s">
        <v>223</v>
      </c>
      <c r="V99" s="46" t="s">
        <v>38</v>
      </c>
      <c r="W99" s="47"/>
    </row>
    <row r="100" spans="1:23" s="48" customFormat="1" ht="12.2" customHeight="1">
      <c r="A100" s="43" t="s">
        <v>37</v>
      </c>
      <c r="B100" s="44">
        <v>30</v>
      </c>
      <c r="C100" s="49">
        <v>1.99</v>
      </c>
      <c r="D100" s="49">
        <v>0.26</v>
      </c>
      <c r="E100" s="49">
        <v>12.72</v>
      </c>
      <c r="F100" s="49">
        <v>61.19</v>
      </c>
      <c r="G100" s="50">
        <v>0.05</v>
      </c>
      <c r="H100" s="50">
        <v>0</v>
      </c>
      <c r="I100" s="50">
        <v>0</v>
      </c>
      <c r="J100" s="50">
        <v>0.66</v>
      </c>
      <c r="K100" s="50">
        <v>0</v>
      </c>
      <c r="L100" s="50">
        <v>0.02</v>
      </c>
      <c r="M100" s="50">
        <v>5.4</v>
      </c>
      <c r="N100" s="50">
        <v>5.7</v>
      </c>
      <c r="O100" s="50">
        <v>26.1</v>
      </c>
      <c r="P100" s="50">
        <v>1.2</v>
      </c>
      <c r="Q100" s="50">
        <v>40.799999999999997</v>
      </c>
      <c r="R100" s="50">
        <v>1.68</v>
      </c>
      <c r="S100" s="50">
        <v>0</v>
      </c>
      <c r="T100" s="50">
        <v>0</v>
      </c>
      <c r="U100" s="46" t="s">
        <v>223</v>
      </c>
      <c r="V100" s="46" t="s">
        <v>38</v>
      </c>
      <c r="W100" s="47"/>
    </row>
    <row r="101" spans="1:23" s="48" customFormat="1" ht="12.2" customHeight="1">
      <c r="A101" s="51" t="s">
        <v>39</v>
      </c>
      <c r="B101" s="52">
        <f>SUM(B94:B100)</f>
        <v>785</v>
      </c>
      <c r="C101" s="53">
        <f t="shared" ref="C101:T101" si="7">SUM(C94:C100)</f>
        <v>23.357624999999999</v>
      </c>
      <c r="D101" s="53">
        <f t="shared" si="7"/>
        <v>20.6907</v>
      </c>
      <c r="E101" s="53">
        <f t="shared" si="7"/>
        <v>117.91235</v>
      </c>
      <c r="F101" s="53">
        <f t="shared" si="7"/>
        <v>816.39249999999993</v>
      </c>
      <c r="G101" s="53">
        <f t="shared" si="7"/>
        <v>0.32</v>
      </c>
      <c r="H101" s="53">
        <f t="shared" si="7"/>
        <v>5.41</v>
      </c>
      <c r="I101" s="53">
        <f t="shared" si="7"/>
        <v>0.12000000000000001</v>
      </c>
      <c r="J101" s="53">
        <f t="shared" si="7"/>
        <v>11.760000000000002</v>
      </c>
      <c r="K101" s="53">
        <f t="shared" si="7"/>
        <v>0.26</v>
      </c>
      <c r="L101" s="53">
        <f t="shared" si="7"/>
        <v>0.25</v>
      </c>
      <c r="M101" s="53">
        <f t="shared" si="7"/>
        <v>151.63000000000002</v>
      </c>
      <c r="N101" s="53">
        <f t="shared" si="7"/>
        <v>114.77000000000001</v>
      </c>
      <c r="O101" s="53">
        <f t="shared" si="7"/>
        <v>458.21</v>
      </c>
      <c r="P101" s="53">
        <f t="shared" si="7"/>
        <v>6.55</v>
      </c>
      <c r="Q101" s="53">
        <f t="shared" si="7"/>
        <v>861.7199999999998</v>
      </c>
      <c r="R101" s="53">
        <f t="shared" si="7"/>
        <v>103.50000000000001</v>
      </c>
      <c r="S101" s="53">
        <f t="shared" si="7"/>
        <v>0.44000000000000006</v>
      </c>
      <c r="T101" s="53">
        <f t="shared" si="7"/>
        <v>0.03</v>
      </c>
      <c r="U101" s="54"/>
      <c r="V101" s="54"/>
      <c r="W101" s="47"/>
    </row>
    <row r="102" spans="1:23" s="7" customFormat="1" ht="28.35" customHeight="1">
      <c r="A102" s="104" t="s">
        <v>275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</row>
    <row r="103" spans="1:23" s="48" customFormat="1" ht="13.35" customHeight="1">
      <c r="A103" s="117" t="s">
        <v>1</v>
      </c>
      <c r="B103" s="111" t="s">
        <v>2</v>
      </c>
      <c r="C103" s="113" t="s">
        <v>3</v>
      </c>
      <c r="D103" s="114"/>
      <c r="E103" s="115"/>
      <c r="F103" s="116" t="s">
        <v>4</v>
      </c>
      <c r="G103" s="77" t="s">
        <v>5</v>
      </c>
      <c r="H103" s="113" t="s">
        <v>6</v>
      </c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5"/>
      <c r="U103" s="111" t="s">
        <v>7</v>
      </c>
      <c r="V103" s="111" t="s">
        <v>8</v>
      </c>
    </row>
    <row r="104" spans="1:23" s="48" customFormat="1" ht="26.65" customHeight="1">
      <c r="A104" s="118"/>
      <c r="B104" s="112"/>
      <c r="C104" s="61" t="s">
        <v>9</v>
      </c>
      <c r="D104" s="61" t="s">
        <v>10</v>
      </c>
      <c r="E104" s="61" t="s">
        <v>11</v>
      </c>
      <c r="F104" s="112"/>
      <c r="G104" s="61" t="s">
        <v>12</v>
      </c>
      <c r="H104" s="61" t="s">
        <v>13</v>
      </c>
      <c r="I104" s="61" t="s">
        <v>14</v>
      </c>
      <c r="J104" s="61" t="s">
        <v>15</v>
      </c>
      <c r="K104" s="61" t="s">
        <v>16</v>
      </c>
      <c r="L104" s="61" t="s">
        <v>17</v>
      </c>
      <c r="M104" s="61" t="s">
        <v>18</v>
      </c>
      <c r="N104" s="61" t="s">
        <v>19</v>
      </c>
      <c r="O104" s="61" t="s">
        <v>20</v>
      </c>
      <c r="P104" s="61" t="s">
        <v>21</v>
      </c>
      <c r="Q104" s="61" t="s">
        <v>22</v>
      </c>
      <c r="R104" s="61" t="s">
        <v>23</v>
      </c>
      <c r="S104" s="61" t="s">
        <v>24</v>
      </c>
      <c r="T104" s="61" t="s">
        <v>25</v>
      </c>
      <c r="U104" s="112"/>
      <c r="V104" s="112"/>
    </row>
    <row r="105" spans="1:23" s="48" customFormat="1" ht="14.65" customHeight="1">
      <c r="A105" s="98" t="s">
        <v>40</v>
      </c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5"/>
      <c r="W105" s="47"/>
    </row>
    <row r="106" spans="1:23" s="7" customFormat="1" ht="14.65" customHeight="1">
      <c r="A106" s="107" t="s">
        <v>210</v>
      </c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</row>
    <row r="107" spans="1:23" s="48" customFormat="1" ht="12.2" customHeight="1">
      <c r="A107" s="43" t="s">
        <v>179</v>
      </c>
      <c r="B107" s="44">
        <v>60</v>
      </c>
      <c r="C107" s="45">
        <v>0.7</v>
      </c>
      <c r="D107" s="45">
        <v>2.5</v>
      </c>
      <c r="E107" s="45">
        <v>7.4</v>
      </c>
      <c r="F107" s="45">
        <v>51.9</v>
      </c>
      <c r="G107" s="45">
        <v>0.02</v>
      </c>
      <c r="H107" s="45">
        <v>6.31</v>
      </c>
      <c r="I107" s="45">
        <v>0.15</v>
      </c>
      <c r="J107" s="45">
        <v>1.5</v>
      </c>
      <c r="K107" s="45">
        <v>0</v>
      </c>
      <c r="L107" s="45">
        <v>0.02</v>
      </c>
      <c r="M107" s="45">
        <v>19.899999999999999</v>
      </c>
      <c r="N107" s="45">
        <v>8.67</v>
      </c>
      <c r="O107" s="45">
        <v>14.36</v>
      </c>
      <c r="P107" s="45">
        <v>0.87</v>
      </c>
      <c r="Q107" s="45">
        <v>144.75</v>
      </c>
      <c r="R107" s="45">
        <v>1.78</v>
      </c>
      <c r="S107" s="45">
        <v>0.01</v>
      </c>
      <c r="T107" s="45">
        <v>0</v>
      </c>
      <c r="U107" s="46" t="s">
        <v>209</v>
      </c>
      <c r="V107" s="46" t="s">
        <v>42</v>
      </c>
      <c r="W107" s="47"/>
    </row>
    <row r="108" spans="1:23" s="48" customFormat="1" ht="12.2" customHeight="1">
      <c r="A108" s="43" t="s">
        <v>181</v>
      </c>
      <c r="B108" s="44">
        <v>200</v>
      </c>
      <c r="C108" s="45">
        <v>2.2000000000000002</v>
      </c>
      <c r="D108" s="45">
        <v>4.0999999999999996</v>
      </c>
      <c r="E108" s="45">
        <v>12.9</v>
      </c>
      <c r="F108" s="45">
        <v>88.4</v>
      </c>
      <c r="G108" s="45">
        <v>0.05</v>
      </c>
      <c r="H108" s="45">
        <v>11.74</v>
      </c>
      <c r="I108" s="45">
        <v>0.21</v>
      </c>
      <c r="J108" s="45">
        <v>1.95</v>
      </c>
      <c r="K108" s="45">
        <v>0</v>
      </c>
      <c r="L108" s="45">
        <v>0.05</v>
      </c>
      <c r="M108" s="45">
        <v>53.27</v>
      </c>
      <c r="N108" s="45">
        <v>26.74</v>
      </c>
      <c r="O108" s="45">
        <v>50.95</v>
      </c>
      <c r="P108" s="45">
        <v>1.2</v>
      </c>
      <c r="Q108" s="45">
        <v>428.11</v>
      </c>
      <c r="R108" s="45">
        <v>5.28</v>
      </c>
      <c r="S108" s="45">
        <v>0.03</v>
      </c>
      <c r="T108" s="45">
        <v>0</v>
      </c>
      <c r="U108" s="46" t="s">
        <v>232</v>
      </c>
      <c r="V108" s="46" t="s">
        <v>53</v>
      </c>
      <c r="W108" s="47"/>
    </row>
    <row r="109" spans="1:23" s="48" customFormat="1" ht="12.2" customHeight="1">
      <c r="A109" s="43" t="s">
        <v>182</v>
      </c>
      <c r="B109" s="44">
        <v>150</v>
      </c>
      <c r="C109" s="45">
        <v>6</v>
      </c>
      <c r="D109" s="45">
        <v>9.4</v>
      </c>
      <c r="E109" s="45">
        <v>21.5</v>
      </c>
      <c r="F109" s="45">
        <v>197.2</v>
      </c>
      <c r="G109" s="45">
        <v>0.12</v>
      </c>
      <c r="H109" s="45">
        <v>10.130000000000001</v>
      </c>
      <c r="I109" s="45">
        <v>0.06</v>
      </c>
      <c r="J109" s="45">
        <v>2.81</v>
      </c>
      <c r="K109" s="45">
        <v>0.05</v>
      </c>
      <c r="L109" s="45">
        <v>0.11</v>
      </c>
      <c r="M109" s="45">
        <v>158.41999999999999</v>
      </c>
      <c r="N109" s="45">
        <v>32.520000000000003</v>
      </c>
      <c r="O109" s="45">
        <v>150.36000000000001</v>
      </c>
      <c r="P109" s="45">
        <v>1.45</v>
      </c>
      <c r="Q109" s="45">
        <v>706.27</v>
      </c>
      <c r="R109" s="45">
        <v>6.84</v>
      </c>
      <c r="S109" s="45">
        <v>0.04</v>
      </c>
      <c r="T109" s="45">
        <v>0</v>
      </c>
      <c r="U109" s="46" t="s">
        <v>211</v>
      </c>
      <c r="V109" s="46" t="s">
        <v>42</v>
      </c>
      <c r="W109" s="47"/>
    </row>
    <row r="110" spans="1:23" s="48" customFormat="1" ht="12.2" customHeight="1">
      <c r="A110" s="43" t="s">
        <v>183</v>
      </c>
      <c r="B110" s="44">
        <v>90</v>
      </c>
      <c r="C110" s="45">
        <v>9.5</v>
      </c>
      <c r="D110" s="45">
        <v>10.199999999999999</v>
      </c>
      <c r="E110" s="45">
        <v>12</v>
      </c>
      <c r="F110" s="45">
        <v>190.1</v>
      </c>
      <c r="G110" s="45">
        <v>7.0000000000000007E-2</v>
      </c>
      <c r="H110" s="45">
        <v>2.94</v>
      </c>
      <c r="I110" s="45">
        <v>0.08</v>
      </c>
      <c r="J110" s="45">
        <v>2.81</v>
      </c>
      <c r="K110" s="45">
        <v>0.33</v>
      </c>
      <c r="L110" s="45">
        <v>0.15</v>
      </c>
      <c r="M110" s="45">
        <v>36.229999999999997</v>
      </c>
      <c r="N110" s="45">
        <v>25.05</v>
      </c>
      <c r="O110" s="45">
        <v>151.03</v>
      </c>
      <c r="P110" s="45">
        <v>2.17</v>
      </c>
      <c r="Q110" s="45">
        <v>207.64</v>
      </c>
      <c r="R110" s="45">
        <v>6.8</v>
      </c>
      <c r="S110" s="45">
        <v>0.08</v>
      </c>
      <c r="T110" s="45">
        <v>0.02</v>
      </c>
      <c r="U110" s="46" t="s">
        <v>233</v>
      </c>
      <c r="V110" s="46" t="s">
        <v>53</v>
      </c>
      <c r="W110" s="47"/>
    </row>
    <row r="111" spans="1:23" s="48" customFormat="1" ht="12.2" customHeight="1">
      <c r="A111" s="43" t="s">
        <v>184</v>
      </c>
      <c r="B111" s="44">
        <v>180</v>
      </c>
      <c r="C111" s="45">
        <v>0.3</v>
      </c>
      <c r="D111" s="45">
        <v>0.1</v>
      </c>
      <c r="E111" s="45">
        <v>20.2</v>
      </c>
      <c r="F111" s="45">
        <v>89.5</v>
      </c>
      <c r="G111" s="45">
        <v>0.01</v>
      </c>
      <c r="H111" s="45">
        <v>44</v>
      </c>
      <c r="I111" s="45">
        <v>0.08</v>
      </c>
      <c r="J111" s="45">
        <v>0</v>
      </c>
      <c r="K111" s="45">
        <v>0</v>
      </c>
      <c r="L111" s="45">
        <v>0.03</v>
      </c>
      <c r="M111" s="45">
        <v>12.98</v>
      </c>
      <c r="N111" s="45">
        <v>3.15</v>
      </c>
      <c r="O111" s="45">
        <v>1.53</v>
      </c>
      <c r="P111" s="45">
        <v>0.27</v>
      </c>
      <c r="Q111" s="45">
        <v>6.02</v>
      </c>
      <c r="R111" s="45">
        <v>0</v>
      </c>
      <c r="S111" s="45">
        <v>0</v>
      </c>
      <c r="T111" s="45">
        <v>0</v>
      </c>
      <c r="U111" s="46" t="s">
        <v>234</v>
      </c>
      <c r="V111" s="46" t="s">
        <v>53</v>
      </c>
      <c r="W111" s="47"/>
    </row>
    <row r="112" spans="1:23" s="48" customFormat="1" ht="12.2" customHeight="1">
      <c r="A112" s="43" t="s">
        <v>51</v>
      </c>
      <c r="B112" s="44">
        <v>50</v>
      </c>
      <c r="C112" s="49">
        <v>3.82</v>
      </c>
      <c r="D112" s="49">
        <v>0.31</v>
      </c>
      <c r="E112" s="49">
        <v>25.09</v>
      </c>
      <c r="F112" s="49">
        <v>118.41</v>
      </c>
      <c r="G112" s="50">
        <v>0.08</v>
      </c>
      <c r="H112" s="50">
        <v>0</v>
      </c>
      <c r="I112" s="50">
        <v>0</v>
      </c>
      <c r="J112" s="50">
        <v>0.98</v>
      </c>
      <c r="K112" s="50">
        <v>0</v>
      </c>
      <c r="L112" s="50">
        <v>0.03</v>
      </c>
      <c r="M112" s="50">
        <v>11.5</v>
      </c>
      <c r="N112" s="50">
        <v>16.5</v>
      </c>
      <c r="O112" s="50">
        <v>42</v>
      </c>
      <c r="P112" s="50">
        <v>1</v>
      </c>
      <c r="Q112" s="50">
        <v>64.5</v>
      </c>
      <c r="R112" s="50">
        <v>0</v>
      </c>
      <c r="S112" s="50">
        <v>0.01</v>
      </c>
      <c r="T112" s="50">
        <v>0</v>
      </c>
      <c r="U112" s="46" t="s">
        <v>223</v>
      </c>
      <c r="V112" s="46" t="s">
        <v>38</v>
      </c>
      <c r="W112" s="47"/>
    </row>
    <row r="113" spans="1:23" s="48" customFormat="1" ht="12.2" customHeight="1">
      <c r="A113" s="43" t="s">
        <v>37</v>
      </c>
      <c r="B113" s="44">
        <v>40</v>
      </c>
      <c r="C113" s="45">
        <v>2.65</v>
      </c>
      <c r="D113" s="45">
        <v>0.35</v>
      </c>
      <c r="E113" s="45">
        <v>16.96</v>
      </c>
      <c r="F113" s="45">
        <v>81.58</v>
      </c>
      <c r="G113" s="45">
        <v>7.0000000000000007E-2</v>
      </c>
      <c r="H113" s="45">
        <v>0</v>
      </c>
      <c r="I113" s="45">
        <v>0</v>
      </c>
      <c r="J113" s="45">
        <v>0.88</v>
      </c>
      <c r="K113" s="45">
        <v>0</v>
      </c>
      <c r="L113" s="45">
        <v>0.03</v>
      </c>
      <c r="M113" s="45">
        <v>7.2</v>
      </c>
      <c r="N113" s="45">
        <v>7.6</v>
      </c>
      <c r="O113" s="45">
        <v>34.799999999999997</v>
      </c>
      <c r="P113" s="45">
        <v>1.6</v>
      </c>
      <c r="Q113" s="45">
        <v>54.4</v>
      </c>
      <c r="R113" s="45">
        <v>2.2400000000000002</v>
      </c>
      <c r="S113" s="45">
        <v>0</v>
      </c>
      <c r="T113" s="45">
        <v>0</v>
      </c>
      <c r="U113" s="46" t="s">
        <v>223</v>
      </c>
      <c r="V113" s="46" t="s">
        <v>38</v>
      </c>
      <c r="W113" s="47"/>
    </row>
    <row r="114" spans="1:23" s="48" customFormat="1" ht="21.6" customHeight="1">
      <c r="A114" s="51" t="s">
        <v>39</v>
      </c>
      <c r="B114" s="52">
        <f>SUM(B107:B113)</f>
        <v>770</v>
      </c>
      <c r="C114" s="53">
        <f t="shared" ref="C114:T114" si="8">SUM(C107:C113)</f>
        <v>25.169999999999998</v>
      </c>
      <c r="D114" s="53">
        <f t="shared" si="8"/>
        <v>26.96</v>
      </c>
      <c r="E114" s="53">
        <f t="shared" si="8"/>
        <v>116.05000000000001</v>
      </c>
      <c r="F114" s="53">
        <f t="shared" si="8"/>
        <v>817.09</v>
      </c>
      <c r="G114" s="53">
        <f t="shared" si="8"/>
        <v>0.42000000000000004</v>
      </c>
      <c r="H114" s="53">
        <f t="shared" si="8"/>
        <v>75.12</v>
      </c>
      <c r="I114" s="53">
        <f t="shared" si="8"/>
        <v>0.57999999999999996</v>
      </c>
      <c r="J114" s="53">
        <f t="shared" si="8"/>
        <v>10.930000000000001</v>
      </c>
      <c r="K114" s="53">
        <f t="shared" si="8"/>
        <v>0.38</v>
      </c>
      <c r="L114" s="53">
        <f t="shared" si="8"/>
        <v>0.42000000000000004</v>
      </c>
      <c r="M114" s="53">
        <f t="shared" si="8"/>
        <v>299.5</v>
      </c>
      <c r="N114" s="53">
        <f t="shared" si="8"/>
        <v>120.23</v>
      </c>
      <c r="O114" s="53">
        <f t="shared" si="8"/>
        <v>445.03000000000003</v>
      </c>
      <c r="P114" s="53">
        <f t="shared" si="8"/>
        <v>8.5599999999999987</v>
      </c>
      <c r="Q114" s="53">
        <f t="shared" si="8"/>
        <v>1611.69</v>
      </c>
      <c r="R114" s="53">
        <f t="shared" si="8"/>
        <v>22.939999999999998</v>
      </c>
      <c r="S114" s="53">
        <f t="shared" si="8"/>
        <v>0.17</v>
      </c>
      <c r="T114" s="53">
        <f t="shared" si="8"/>
        <v>0.02</v>
      </c>
      <c r="U114" s="54"/>
      <c r="V114" s="54"/>
      <c r="W114" s="47"/>
    </row>
    <row r="115" spans="1:23" s="7" customFormat="1" ht="28.35" customHeight="1">
      <c r="A115" s="104" t="s">
        <v>278</v>
      </c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</row>
    <row r="116" spans="1:23" s="48" customFormat="1" ht="13.35" customHeight="1">
      <c r="A116" s="117" t="s">
        <v>1</v>
      </c>
      <c r="B116" s="111" t="s">
        <v>2</v>
      </c>
      <c r="C116" s="113" t="s">
        <v>3</v>
      </c>
      <c r="D116" s="114"/>
      <c r="E116" s="115"/>
      <c r="F116" s="116" t="s">
        <v>4</v>
      </c>
      <c r="G116" s="77" t="s">
        <v>5</v>
      </c>
      <c r="H116" s="113" t="s">
        <v>6</v>
      </c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5"/>
      <c r="U116" s="111" t="s">
        <v>7</v>
      </c>
      <c r="V116" s="111" t="s">
        <v>8</v>
      </c>
    </row>
    <row r="117" spans="1:23" s="48" customFormat="1" ht="26.65" customHeight="1">
      <c r="A117" s="118"/>
      <c r="B117" s="112"/>
      <c r="C117" s="61" t="s">
        <v>9</v>
      </c>
      <c r="D117" s="61" t="s">
        <v>10</v>
      </c>
      <c r="E117" s="61" t="s">
        <v>11</v>
      </c>
      <c r="F117" s="112"/>
      <c r="G117" s="61" t="s">
        <v>12</v>
      </c>
      <c r="H117" s="61" t="s">
        <v>13</v>
      </c>
      <c r="I117" s="61" t="s">
        <v>14</v>
      </c>
      <c r="J117" s="61" t="s">
        <v>15</v>
      </c>
      <c r="K117" s="61" t="s">
        <v>16</v>
      </c>
      <c r="L117" s="61" t="s">
        <v>17</v>
      </c>
      <c r="M117" s="61" t="s">
        <v>18</v>
      </c>
      <c r="N117" s="61" t="s">
        <v>19</v>
      </c>
      <c r="O117" s="61" t="s">
        <v>20</v>
      </c>
      <c r="P117" s="61" t="s">
        <v>21</v>
      </c>
      <c r="Q117" s="61" t="s">
        <v>22</v>
      </c>
      <c r="R117" s="61" t="s">
        <v>23</v>
      </c>
      <c r="S117" s="61" t="s">
        <v>24</v>
      </c>
      <c r="T117" s="61" t="s">
        <v>25</v>
      </c>
      <c r="U117" s="112"/>
      <c r="V117" s="112"/>
    </row>
    <row r="118" spans="1:23" s="48" customFormat="1" ht="14.65" customHeight="1">
      <c r="A118" s="98" t="s">
        <v>40</v>
      </c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5"/>
      <c r="W118" s="47"/>
    </row>
    <row r="119" spans="1:23" s="48" customFormat="1" ht="12.2" customHeight="1">
      <c r="A119" s="43" t="s">
        <v>298</v>
      </c>
      <c r="B119" s="44">
        <v>60</v>
      </c>
      <c r="C119" s="45">
        <v>0.67</v>
      </c>
      <c r="D119" s="45">
        <v>0.12</v>
      </c>
      <c r="E119" s="45">
        <v>2.2799999999999998</v>
      </c>
      <c r="F119" s="45">
        <v>13.2</v>
      </c>
      <c r="G119" s="45">
        <v>0.02</v>
      </c>
      <c r="H119" s="45">
        <v>2.4500000000000002</v>
      </c>
      <c r="I119" s="45">
        <v>0</v>
      </c>
      <c r="J119" s="45">
        <v>0</v>
      </c>
      <c r="K119" s="45">
        <v>0</v>
      </c>
      <c r="L119" s="45">
        <v>0.01</v>
      </c>
      <c r="M119" s="45">
        <v>0</v>
      </c>
      <c r="N119" s="45">
        <v>0</v>
      </c>
      <c r="O119" s="45">
        <v>0</v>
      </c>
      <c r="P119" s="45">
        <v>0</v>
      </c>
      <c r="Q119" s="45">
        <v>0</v>
      </c>
      <c r="R119" s="45">
        <v>0</v>
      </c>
      <c r="S119" s="45">
        <v>0</v>
      </c>
      <c r="T119" s="45">
        <v>0</v>
      </c>
      <c r="U119" s="46">
        <v>71</v>
      </c>
      <c r="V119" s="46" t="s">
        <v>29</v>
      </c>
      <c r="W119" s="47"/>
    </row>
    <row r="120" spans="1:23" s="48" customFormat="1" ht="12.2" customHeight="1">
      <c r="A120" s="63" t="s">
        <v>196</v>
      </c>
      <c r="B120" s="64">
        <v>200</v>
      </c>
      <c r="C120" s="45">
        <f>6.35*0.2</f>
        <v>1.27</v>
      </c>
      <c r="D120" s="45">
        <f>19.95*0.2</f>
        <v>3.99</v>
      </c>
      <c r="E120" s="45">
        <f>36.55*0.2</f>
        <v>7.31</v>
      </c>
      <c r="F120" s="45">
        <f>381*0.2</f>
        <v>76.2</v>
      </c>
      <c r="G120" s="45">
        <f>0.29*0.2</f>
        <v>5.7999999999999996E-2</v>
      </c>
      <c r="H120" s="45">
        <f>41.5*0.2</f>
        <v>8.3000000000000007</v>
      </c>
      <c r="I120" s="45">
        <v>0</v>
      </c>
      <c r="J120" s="45">
        <v>0.25</v>
      </c>
      <c r="K120" s="45">
        <v>0.06</v>
      </c>
      <c r="L120" s="45">
        <f>0.19*0.2</f>
        <v>3.8000000000000006E-2</v>
      </c>
      <c r="M120" s="45">
        <f>139.4*0.2</f>
        <v>27.880000000000003</v>
      </c>
      <c r="N120" s="45">
        <f>83*0.2</f>
        <v>16.600000000000001</v>
      </c>
      <c r="O120" s="45">
        <f>197.1*0.2</f>
        <v>39.42</v>
      </c>
      <c r="P120" s="45">
        <f>3.1*0.2</f>
        <v>0.62000000000000011</v>
      </c>
      <c r="Q120" s="45">
        <f>1536.4*0.2</f>
        <v>307.28000000000003</v>
      </c>
      <c r="R120" s="45">
        <v>5.51</v>
      </c>
      <c r="S120" s="45">
        <v>0.02</v>
      </c>
      <c r="T120" s="45">
        <v>0</v>
      </c>
      <c r="U120" s="46" t="s">
        <v>109</v>
      </c>
      <c r="V120" s="46">
        <v>2017</v>
      </c>
      <c r="W120" s="47"/>
    </row>
    <row r="121" spans="1:23" s="48" customFormat="1" ht="12.2" customHeight="1">
      <c r="A121" s="63" t="s">
        <v>198</v>
      </c>
      <c r="B121" s="44">
        <v>150</v>
      </c>
      <c r="C121" s="45">
        <f>6.4*150/90</f>
        <v>10.666666666666666</v>
      </c>
      <c r="D121" s="45">
        <f>9.5*150/90</f>
        <v>15.833333333333334</v>
      </c>
      <c r="E121" s="45">
        <v>41.18</v>
      </c>
      <c r="F121" s="45">
        <v>296.25</v>
      </c>
      <c r="G121" s="45">
        <v>0.14000000000000001</v>
      </c>
      <c r="H121" s="45">
        <v>7.41</v>
      </c>
      <c r="I121" s="45">
        <v>3.48</v>
      </c>
      <c r="J121" s="45">
        <v>2.98</v>
      </c>
      <c r="K121" s="45">
        <v>0.89</v>
      </c>
      <c r="L121" s="45">
        <v>0.97</v>
      </c>
      <c r="M121" s="45">
        <v>57</v>
      </c>
      <c r="N121" s="45">
        <v>19.78</v>
      </c>
      <c r="O121" s="45">
        <v>229.97</v>
      </c>
      <c r="P121" s="45">
        <v>4.0199999999999996</v>
      </c>
      <c r="Q121" s="45">
        <v>278.43</v>
      </c>
      <c r="R121" s="45">
        <v>14.44</v>
      </c>
      <c r="S121" s="45">
        <v>0.12</v>
      </c>
      <c r="T121" s="45">
        <v>0.03</v>
      </c>
      <c r="U121" s="46" t="s">
        <v>235</v>
      </c>
      <c r="V121" s="46" t="s">
        <v>53</v>
      </c>
      <c r="W121" s="47"/>
    </row>
    <row r="122" spans="1:23" s="48" customFormat="1" ht="12.2" customHeight="1">
      <c r="A122" s="63" t="s">
        <v>199</v>
      </c>
      <c r="B122" s="44">
        <v>25</v>
      </c>
      <c r="C122" s="45">
        <v>0.3</v>
      </c>
      <c r="D122" s="45">
        <v>2.7</v>
      </c>
      <c r="E122" s="45">
        <v>2.2999999999999998</v>
      </c>
      <c r="F122" s="45">
        <v>44</v>
      </c>
      <c r="G122" s="45">
        <v>0.01</v>
      </c>
      <c r="H122" s="45">
        <v>0.74</v>
      </c>
      <c r="I122" s="45">
        <v>0.09</v>
      </c>
      <c r="J122" s="45">
        <v>1.66</v>
      </c>
      <c r="K122" s="45">
        <v>0</v>
      </c>
      <c r="L122" s="45">
        <v>0.01</v>
      </c>
      <c r="M122" s="45">
        <v>7.04</v>
      </c>
      <c r="N122" s="45">
        <v>3.64</v>
      </c>
      <c r="O122" s="45">
        <v>7.35</v>
      </c>
      <c r="P122" s="45">
        <v>0.16</v>
      </c>
      <c r="Q122" s="45">
        <v>40.22</v>
      </c>
      <c r="R122" s="45">
        <v>0.6</v>
      </c>
      <c r="S122" s="45">
        <v>0</v>
      </c>
      <c r="T122" s="45">
        <v>0</v>
      </c>
      <c r="U122" s="46" t="s">
        <v>236</v>
      </c>
      <c r="V122" s="46" t="s">
        <v>53</v>
      </c>
      <c r="W122" s="47"/>
    </row>
    <row r="123" spans="1:23" s="48" customFormat="1" ht="12.2" customHeight="1">
      <c r="A123" s="63" t="s">
        <v>292</v>
      </c>
      <c r="B123" s="44">
        <v>180</v>
      </c>
      <c r="C123" s="45">
        <v>5.22</v>
      </c>
      <c r="D123" s="45">
        <v>4.5</v>
      </c>
      <c r="E123" s="45">
        <v>7.2</v>
      </c>
      <c r="F123" s="45">
        <v>95.4</v>
      </c>
      <c r="G123" s="45">
        <v>7.0000000000000007E-2</v>
      </c>
      <c r="H123" s="45">
        <v>1.26</v>
      </c>
      <c r="I123" s="45">
        <v>0.05</v>
      </c>
      <c r="J123" s="45">
        <v>0.13</v>
      </c>
      <c r="K123" s="45">
        <v>0</v>
      </c>
      <c r="L123" s="45">
        <v>0.31</v>
      </c>
      <c r="M123" s="45">
        <v>216</v>
      </c>
      <c r="N123" s="45">
        <v>25.2</v>
      </c>
      <c r="O123" s="45">
        <v>171</v>
      </c>
      <c r="P123" s="45">
        <v>0.18</v>
      </c>
      <c r="Q123" s="45">
        <v>262.8</v>
      </c>
      <c r="R123" s="45">
        <v>16.2</v>
      </c>
      <c r="S123" s="45">
        <v>0.04</v>
      </c>
      <c r="T123" s="45">
        <v>0</v>
      </c>
      <c r="U123" s="46" t="s">
        <v>223</v>
      </c>
      <c r="V123" s="46" t="s">
        <v>29</v>
      </c>
      <c r="W123" s="47"/>
    </row>
    <row r="124" spans="1:23" s="48" customFormat="1" ht="12.2" customHeight="1">
      <c r="A124" s="43" t="s">
        <v>301</v>
      </c>
      <c r="B124" s="44">
        <v>150</v>
      </c>
      <c r="C124" s="45">
        <v>1.4</v>
      </c>
      <c r="D124" s="45">
        <v>0.3</v>
      </c>
      <c r="E124" s="45">
        <v>12.2</v>
      </c>
      <c r="F124" s="45">
        <v>64.5</v>
      </c>
      <c r="G124" s="45">
        <v>0.06</v>
      </c>
      <c r="H124" s="45">
        <v>90</v>
      </c>
      <c r="I124" s="45">
        <v>0.02</v>
      </c>
      <c r="J124" s="45">
        <v>0.33</v>
      </c>
      <c r="K124" s="45">
        <v>0</v>
      </c>
      <c r="L124" s="45">
        <v>0.05</v>
      </c>
      <c r="M124" s="45">
        <v>51</v>
      </c>
      <c r="N124" s="45">
        <v>19.5</v>
      </c>
      <c r="O124" s="45">
        <v>34.5</v>
      </c>
      <c r="P124" s="45">
        <v>0.45</v>
      </c>
      <c r="Q124" s="45">
        <v>295.5</v>
      </c>
      <c r="R124" s="45">
        <v>3</v>
      </c>
      <c r="S124" s="45">
        <v>0.03</v>
      </c>
      <c r="T124" s="45">
        <v>0</v>
      </c>
      <c r="U124" s="58" t="s">
        <v>251</v>
      </c>
      <c r="V124" s="46" t="s">
        <v>29</v>
      </c>
      <c r="W124" s="47"/>
    </row>
    <row r="125" spans="1:23" s="48" customFormat="1" ht="12.2" customHeight="1">
      <c r="A125" s="63" t="s">
        <v>51</v>
      </c>
      <c r="B125" s="44">
        <v>40</v>
      </c>
      <c r="C125" s="45">
        <v>3.05</v>
      </c>
      <c r="D125" s="45">
        <v>0.25</v>
      </c>
      <c r="E125" s="45">
        <v>20.07</v>
      </c>
      <c r="F125" s="45">
        <v>94.73</v>
      </c>
      <c r="G125" s="45">
        <v>0.05</v>
      </c>
      <c r="H125" s="45">
        <v>0</v>
      </c>
      <c r="I125" s="45">
        <v>0</v>
      </c>
      <c r="J125" s="45">
        <v>0.59</v>
      </c>
      <c r="K125" s="45">
        <v>0</v>
      </c>
      <c r="L125" s="45">
        <v>0.02</v>
      </c>
      <c r="M125" s="45">
        <v>6.9</v>
      </c>
      <c r="N125" s="45">
        <v>9.9</v>
      </c>
      <c r="O125" s="45">
        <v>25.2</v>
      </c>
      <c r="P125" s="45">
        <v>0.6</v>
      </c>
      <c r="Q125" s="45">
        <v>38.700000000000003</v>
      </c>
      <c r="R125" s="45">
        <v>0</v>
      </c>
      <c r="S125" s="45">
        <v>0</v>
      </c>
      <c r="T125" s="45">
        <v>0</v>
      </c>
      <c r="U125" s="46" t="s">
        <v>223</v>
      </c>
      <c r="V125" s="46" t="s">
        <v>38</v>
      </c>
      <c r="W125" s="47"/>
    </row>
    <row r="126" spans="1:23" s="48" customFormat="1" ht="12.2" customHeight="1">
      <c r="A126" s="43" t="s">
        <v>37</v>
      </c>
      <c r="B126" s="44">
        <v>20</v>
      </c>
      <c r="C126" s="49">
        <v>1.1200000000000001</v>
      </c>
      <c r="D126" s="49">
        <v>0.22</v>
      </c>
      <c r="E126" s="49">
        <v>9.8800000000000008</v>
      </c>
      <c r="F126" s="49">
        <v>45.98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0</v>
      </c>
      <c r="U126" s="46" t="s">
        <v>223</v>
      </c>
      <c r="V126" s="46" t="s">
        <v>38</v>
      </c>
      <c r="W126" s="47"/>
    </row>
    <row r="127" spans="1:23" s="48" customFormat="1" ht="21.6" customHeight="1">
      <c r="A127" s="51" t="s">
        <v>39</v>
      </c>
      <c r="B127" s="52">
        <f t="shared" ref="B127:T127" si="9">SUM(B119:B126)</f>
        <v>825</v>
      </c>
      <c r="C127" s="53">
        <f t="shared" si="9"/>
        <v>23.696666666666665</v>
      </c>
      <c r="D127" s="53">
        <f t="shared" si="9"/>
        <v>27.913333333333334</v>
      </c>
      <c r="E127" s="53">
        <f t="shared" si="9"/>
        <v>102.41999999999999</v>
      </c>
      <c r="F127" s="53">
        <f t="shared" si="9"/>
        <v>730.26</v>
      </c>
      <c r="G127" s="53">
        <f t="shared" si="9"/>
        <v>0.40800000000000003</v>
      </c>
      <c r="H127" s="53">
        <f t="shared" si="9"/>
        <v>110.16</v>
      </c>
      <c r="I127" s="53">
        <f t="shared" si="9"/>
        <v>3.6399999999999997</v>
      </c>
      <c r="J127" s="53">
        <f t="shared" si="9"/>
        <v>5.9399999999999995</v>
      </c>
      <c r="K127" s="53">
        <f t="shared" si="9"/>
        <v>0.95</v>
      </c>
      <c r="L127" s="53">
        <f t="shared" si="9"/>
        <v>1.4080000000000001</v>
      </c>
      <c r="M127" s="53">
        <f t="shared" si="9"/>
        <v>365.82</v>
      </c>
      <c r="N127" s="53">
        <f t="shared" si="9"/>
        <v>94.62</v>
      </c>
      <c r="O127" s="53">
        <f t="shared" si="9"/>
        <v>507.44</v>
      </c>
      <c r="P127" s="53">
        <f t="shared" si="9"/>
        <v>6.0299999999999994</v>
      </c>
      <c r="Q127" s="53">
        <f t="shared" si="9"/>
        <v>1222.93</v>
      </c>
      <c r="R127" s="53">
        <f t="shared" si="9"/>
        <v>39.75</v>
      </c>
      <c r="S127" s="53">
        <f t="shared" si="9"/>
        <v>0.21</v>
      </c>
      <c r="T127" s="53">
        <f t="shared" si="9"/>
        <v>0.03</v>
      </c>
      <c r="U127" s="54"/>
      <c r="V127" s="54"/>
      <c r="W127" s="47"/>
    </row>
    <row r="129" spans="1:22" s="3" customFormat="1" ht="15">
      <c r="A129" s="96" t="s">
        <v>283</v>
      </c>
      <c r="B129" s="96" t="s">
        <v>215</v>
      </c>
      <c r="C129" s="97" t="s">
        <v>3</v>
      </c>
      <c r="D129" s="97"/>
      <c r="E129" s="97"/>
      <c r="F129" s="97" t="s">
        <v>4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8"/>
      <c r="V129" s="8"/>
    </row>
    <row r="130" spans="1:22" s="3" customFormat="1" ht="28.5">
      <c r="A130" s="105"/>
      <c r="B130" s="105"/>
      <c r="C130" s="36" t="s">
        <v>9</v>
      </c>
      <c r="D130" s="36" t="s">
        <v>10</v>
      </c>
      <c r="E130" s="36" t="s">
        <v>11</v>
      </c>
      <c r="F130" s="10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8"/>
      <c r="V130" s="8"/>
    </row>
    <row r="131" spans="1:22" s="21" customFormat="1" ht="15">
      <c r="A131" s="23" t="s">
        <v>216</v>
      </c>
      <c r="B131" s="24">
        <f>B127+B114+B101+B89+B77+B64+B52+B40+B28+B16</f>
        <v>8195</v>
      </c>
      <c r="C131" s="37">
        <f>C127+C114+C101+C89+C77+C64+C52+C40+C28+C16</f>
        <v>247.90494751082252</v>
      </c>
      <c r="D131" s="37">
        <f>D127+D114+D101+D89+D77+D64+D52+D40+D28+D16</f>
        <v>267.38154632034633</v>
      </c>
      <c r="E131" s="37">
        <f>E127+E114+E101+E89+E77+E64+E52+E40+E28+E16</f>
        <v>1061.4880837662338</v>
      </c>
      <c r="F131" s="37">
        <f>F127+F114+F101+F89+F77+F64+F52+F40+F28+F16</f>
        <v>7790.8199025974009</v>
      </c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7"/>
      <c r="V131" s="27"/>
    </row>
    <row r="132" spans="1:22" s="21" customFormat="1" ht="15">
      <c r="A132" s="23" t="s">
        <v>217</v>
      </c>
      <c r="B132" s="24">
        <f>B131/10</f>
        <v>819.5</v>
      </c>
      <c r="C132" s="37">
        <f>C131/10</f>
        <v>24.790494751082253</v>
      </c>
      <c r="D132" s="37">
        <f t="shared" ref="D132:F132" si="10">D131/10</f>
        <v>26.738154632034632</v>
      </c>
      <c r="E132" s="37">
        <f t="shared" si="10"/>
        <v>106.14880837662338</v>
      </c>
      <c r="F132" s="37">
        <f t="shared" si="10"/>
        <v>779.08199025974011</v>
      </c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7"/>
      <c r="V132" s="27"/>
    </row>
  </sheetData>
  <mergeCells count="99">
    <mergeCell ref="U66:U67"/>
    <mergeCell ref="A90:V90"/>
    <mergeCell ref="A102:V102"/>
    <mergeCell ref="A91:A92"/>
    <mergeCell ref="F79:F80"/>
    <mergeCell ref="V79:V80"/>
    <mergeCell ref="A81:V81"/>
    <mergeCell ref="A68:V68"/>
    <mergeCell ref="V91:V92"/>
    <mergeCell ref="A105:V105"/>
    <mergeCell ref="A103:A104"/>
    <mergeCell ref="B103:B104"/>
    <mergeCell ref="C103:E103"/>
    <mergeCell ref="F103:F104"/>
    <mergeCell ref="H103:T103"/>
    <mergeCell ref="U103:U104"/>
    <mergeCell ref="V103:V104"/>
    <mergeCell ref="V54:V55"/>
    <mergeCell ref="A42:A43"/>
    <mergeCell ref="B42:B43"/>
    <mergeCell ref="C42:E42"/>
    <mergeCell ref="F42:F43"/>
    <mergeCell ref="H42:T42"/>
    <mergeCell ref="U42:U43"/>
    <mergeCell ref="A53:V53"/>
    <mergeCell ref="V42:V43"/>
    <mergeCell ref="A54:A55"/>
    <mergeCell ref="B54:B55"/>
    <mergeCell ref="C54:E54"/>
    <mergeCell ref="F54:F55"/>
    <mergeCell ref="H54:T54"/>
    <mergeCell ref="U54:U55"/>
    <mergeCell ref="A44:V44"/>
    <mergeCell ref="F18:F19"/>
    <mergeCell ref="H18:T18"/>
    <mergeCell ref="U18:U19"/>
    <mergeCell ref="V18:V19"/>
    <mergeCell ref="A41:V41"/>
    <mergeCell ref="A32:V32"/>
    <mergeCell ref="A20:V20"/>
    <mergeCell ref="U30:U31"/>
    <mergeCell ref="V30:V31"/>
    <mergeCell ref="A18:A19"/>
    <mergeCell ref="B18:B19"/>
    <mergeCell ref="C18:E18"/>
    <mergeCell ref="A30:A31"/>
    <mergeCell ref="B30:B31"/>
    <mergeCell ref="C30:E30"/>
    <mergeCell ref="F30:F31"/>
    <mergeCell ref="A106:V106"/>
    <mergeCell ref="A93:V93"/>
    <mergeCell ref="A56:V56"/>
    <mergeCell ref="H79:T79"/>
    <mergeCell ref="U79:U80"/>
    <mergeCell ref="A66:A67"/>
    <mergeCell ref="B66:B67"/>
    <mergeCell ref="C66:E66"/>
    <mergeCell ref="F66:F67"/>
    <mergeCell ref="H66:T66"/>
    <mergeCell ref="A65:V65"/>
    <mergeCell ref="A78:V78"/>
    <mergeCell ref="A79:A80"/>
    <mergeCell ref="B79:B80"/>
    <mergeCell ref="C79:E79"/>
    <mergeCell ref="V66:V67"/>
    <mergeCell ref="A115:V115"/>
    <mergeCell ref="A129:A130"/>
    <mergeCell ref="B129:B130"/>
    <mergeCell ref="C129:E129"/>
    <mergeCell ref="F129:F130"/>
    <mergeCell ref="A118:V118"/>
    <mergeCell ref="C116:E116"/>
    <mergeCell ref="F116:F117"/>
    <mergeCell ref="H116:T116"/>
    <mergeCell ref="U116:U117"/>
    <mergeCell ref="V116:V117"/>
    <mergeCell ref="B116:B117"/>
    <mergeCell ref="A116:A117"/>
    <mergeCell ref="A6:A7"/>
    <mergeCell ref="C6:E6"/>
    <mergeCell ref="F6:F7"/>
    <mergeCell ref="H6:T6"/>
    <mergeCell ref="A8:V8"/>
    <mergeCell ref="A1:C1"/>
    <mergeCell ref="K1:V2"/>
    <mergeCell ref="B91:B92"/>
    <mergeCell ref="C91:E91"/>
    <mergeCell ref="F91:F92"/>
    <mergeCell ref="H91:T91"/>
    <mergeCell ref="U91:U92"/>
    <mergeCell ref="H30:T30"/>
    <mergeCell ref="A3:V3"/>
    <mergeCell ref="A5:V5"/>
    <mergeCell ref="A17:V17"/>
    <mergeCell ref="A29:V29"/>
    <mergeCell ref="A4:V4"/>
    <mergeCell ref="B6:B7"/>
    <mergeCell ref="U6:U7"/>
    <mergeCell ref="V6:V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88"/>
  <sheetViews>
    <sheetView topLeftCell="A13" workbookViewId="0">
      <selection activeCell="A17" sqref="A17:XFD19"/>
    </sheetView>
  </sheetViews>
  <sheetFormatPr defaultRowHeight="10.5"/>
  <cols>
    <col min="1" max="1" width="55" style="42" customWidth="1"/>
    <col min="2" max="2" width="9.33203125" bestFit="1" customWidth="1"/>
    <col min="3" max="4" width="9.33203125" style="28" bestFit="1" customWidth="1"/>
    <col min="5" max="5" width="16.5" style="28" customWidth="1"/>
    <col min="6" max="6" width="18" style="28" customWidth="1"/>
    <col min="7" max="16" width="9.33203125" style="28" bestFit="1" customWidth="1"/>
    <col min="17" max="17" width="10.5" style="28" bestFit="1" customWidth="1"/>
    <col min="18" max="20" width="9.33203125" style="28" bestFit="1" customWidth="1"/>
    <col min="22" max="22" width="14.33203125" customWidth="1"/>
  </cols>
  <sheetData>
    <row r="1" spans="1:23" s="8" customFormat="1" ht="82.5" customHeight="1">
      <c r="A1" s="87" t="s">
        <v>280</v>
      </c>
      <c r="B1" s="87"/>
      <c r="C1" s="87"/>
      <c r="D1" s="29"/>
      <c r="E1" s="29"/>
      <c r="F1" s="29"/>
      <c r="G1" s="29"/>
      <c r="H1" s="29"/>
      <c r="I1" s="29"/>
      <c r="J1" s="29"/>
      <c r="K1" s="88" t="s">
        <v>281</v>
      </c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3" s="8" customFormat="1" ht="22.9" customHeight="1">
      <c r="A2" s="78"/>
      <c r="C2" s="29"/>
      <c r="D2" s="29"/>
      <c r="E2" s="29"/>
      <c r="F2" s="29"/>
      <c r="G2" s="29"/>
      <c r="H2" s="29"/>
      <c r="I2" s="29"/>
      <c r="J2" s="2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3" s="1" customFormat="1" ht="13.5" customHeight="1">
      <c r="A3" s="90" t="s">
        <v>279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12"/>
    </row>
    <row r="4" spans="1:23" s="32" customFormat="1" ht="13.5" customHeight="1">
      <c r="A4" s="109" t="s">
        <v>240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31"/>
    </row>
    <row r="5" spans="1:23" s="3" customFormat="1" ht="28.35" customHeight="1">
      <c r="A5" s="121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3" s="48" customFormat="1" ht="13.35" customHeight="1">
      <c r="A6" s="117" t="s">
        <v>1</v>
      </c>
      <c r="B6" s="111" t="s">
        <v>2</v>
      </c>
      <c r="C6" s="113" t="s">
        <v>3</v>
      </c>
      <c r="D6" s="114"/>
      <c r="E6" s="115"/>
      <c r="F6" s="116" t="s">
        <v>4</v>
      </c>
      <c r="G6" s="77" t="s">
        <v>5</v>
      </c>
      <c r="H6" s="113" t="s">
        <v>6</v>
      </c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5"/>
      <c r="U6" s="111" t="s">
        <v>7</v>
      </c>
      <c r="V6" s="111" t="s">
        <v>8</v>
      </c>
    </row>
    <row r="7" spans="1:23" s="48" customFormat="1" ht="26.65" customHeight="1">
      <c r="A7" s="118"/>
      <c r="B7" s="112"/>
      <c r="C7" s="61" t="s">
        <v>9</v>
      </c>
      <c r="D7" s="61" t="s">
        <v>10</v>
      </c>
      <c r="E7" s="61" t="s">
        <v>11</v>
      </c>
      <c r="F7" s="112"/>
      <c r="G7" s="61" t="s">
        <v>12</v>
      </c>
      <c r="H7" s="61" t="s">
        <v>13</v>
      </c>
      <c r="I7" s="61" t="s">
        <v>14</v>
      </c>
      <c r="J7" s="61" t="s">
        <v>15</v>
      </c>
      <c r="K7" s="61" t="s">
        <v>16</v>
      </c>
      <c r="L7" s="61" t="s">
        <v>17</v>
      </c>
      <c r="M7" s="61" t="s">
        <v>18</v>
      </c>
      <c r="N7" s="61" t="s">
        <v>19</v>
      </c>
      <c r="O7" s="61" t="s">
        <v>20</v>
      </c>
      <c r="P7" s="61" t="s">
        <v>21</v>
      </c>
      <c r="Q7" s="61" t="s">
        <v>22</v>
      </c>
      <c r="R7" s="61" t="s">
        <v>23</v>
      </c>
      <c r="S7" s="61" t="s">
        <v>24</v>
      </c>
      <c r="T7" s="61" t="s">
        <v>25</v>
      </c>
      <c r="U7" s="112"/>
      <c r="V7" s="112"/>
    </row>
    <row r="8" spans="1:23" s="48" customFormat="1" ht="14.65" customHeight="1">
      <c r="A8" s="98" t="s">
        <v>52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47"/>
    </row>
    <row r="9" spans="1:23" s="48" customFormat="1" ht="25.15" customHeight="1">
      <c r="A9" s="43" t="s">
        <v>261</v>
      </c>
      <c r="B9" s="44">
        <v>170</v>
      </c>
      <c r="C9" s="49">
        <f>7.3*150/130</f>
        <v>8.4230769230769234</v>
      </c>
      <c r="D9" s="49">
        <f>6.9*150/130</f>
        <v>7.9615384615384617</v>
      </c>
      <c r="E9" s="49">
        <f>20.8*150/130</f>
        <v>24</v>
      </c>
      <c r="F9" s="49">
        <f>199.7*150/130</f>
        <v>230.42307692307693</v>
      </c>
      <c r="G9" s="50">
        <v>0.12</v>
      </c>
      <c r="H9" s="50">
        <v>7.7</v>
      </c>
      <c r="I9" s="50">
        <v>2.89</v>
      </c>
      <c r="J9" s="50">
        <v>2.36</v>
      </c>
      <c r="K9" s="50">
        <v>0.26</v>
      </c>
      <c r="L9" s="50">
        <v>0.73</v>
      </c>
      <c r="M9" s="50">
        <v>24.5</v>
      </c>
      <c r="N9" s="50">
        <v>25.84</v>
      </c>
      <c r="O9" s="50">
        <v>184.92</v>
      </c>
      <c r="P9" s="50">
        <v>3.36</v>
      </c>
      <c r="Q9" s="50">
        <v>249.5</v>
      </c>
      <c r="R9" s="50">
        <v>6.45</v>
      </c>
      <c r="S9" s="50">
        <v>0.11</v>
      </c>
      <c r="T9" s="50">
        <v>0.02</v>
      </c>
      <c r="U9" s="46" t="s">
        <v>229</v>
      </c>
      <c r="V9" s="46" t="s">
        <v>53</v>
      </c>
      <c r="W9" s="47"/>
    </row>
    <row r="10" spans="1:23" s="48" customFormat="1" ht="12.2" customHeight="1">
      <c r="A10" s="63" t="s">
        <v>114</v>
      </c>
      <c r="B10" s="64">
        <v>180</v>
      </c>
      <c r="C10" s="45">
        <v>0.16</v>
      </c>
      <c r="D10" s="45">
        <v>0.01</v>
      </c>
      <c r="E10" s="45">
        <v>7.35</v>
      </c>
      <c r="F10" s="45">
        <v>31.15</v>
      </c>
      <c r="G10" s="45">
        <v>0</v>
      </c>
      <c r="H10" s="45">
        <v>2.83</v>
      </c>
      <c r="I10" s="45">
        <v>0</v>
      </c>
      <c r="J10" s="45">
        <v>0</v>
      </c>
      <c r="K10" s="45">
        <v>0</v>
      </c>
      <c r="L10" s="45">
        <v>0</v>
      </c>
      <c r="M10" s="45">
        <v>14.2</v>
      </c>
      <c r="N10" s="45">
        <v>2.4</v>
      </c>
      <c r="O10" s="45">
        <v>4.4000000000000004</v>
      </c>
      <c r="P10" s="45">
        <v>0.36</v>
      </c>
      <c r="Q10" s="45">
        <v>21.3</v>
      </c>
      <c r="R10" s="45">
        <v>12</v>
      </c>
      <c r="S10" s="45">
        <v>0</v>
      </c>
      <c r="T10" s="45">
        <v>0</v>
      </c>
      <c r="U10" s="58" t="s">
        <v>100</v>
      </c>
      <c r="V10" s="46" t="s">
        <v>29</v>
      </c>
      <c r="W10" s="47"/>
    </row>
    <row r="11" spans="1:23" s="48" customFormat="1" ht="12.2" customHeight="1">
      <c r="A11" s="43" t="s">
        <v>37</v>
      </c>
      <c r="B11" s="44">
        <v>20</v>
      </c>
      <c r="C11" s="49">
        <v>1.1200000000000001</v>
      </c>
      <c r="D11" s="49">
        <v>0.22</v>
      </c>
      <c r="E11" s="49">
        <v>9.8800000000000008</v>
      </c>
      <c r="F11" s="49">
        <v>45.98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46" t="s">
        <v>223</v>
      </c>
      <c r="V11" s="46" t="s">
        <v>38</v>
      </c>
      <c r="W11" s="47"/>
    </row>
    <row r="12" spans="1:23" s="48" customFormat="1" ht="12.2" customHeight="1">
      <c r="A12" s="51" t="s">
        <v>39</v>
      </c>
      <c r="B12" s="52">
        <f t="shared" ref="B12:T12" si="0">SUM(B9:B11)</f>
        <v>370</v>
      </c>
      <c r="C12" s="53">
        <f t="shared" si="0"/>
        <v>9.7030769230769245</v>
      </c>
      <c r="D12" s="53">
        <f t="shared" si="0"/>
        <v>8.1915384615384621</v>
      </c>
      <c r="E12" s="53">
        <f t="shared" si="0"/>
        <v>41.230000000000004</v>
      </c>
      <c r="F12" s="53">
        <f t="shared" si="0"/>
        <v>307.55307692307696</v>
      </c>
      <c r="G12" s="53">
        <f t="shared" si="0"/>
        <v>0.12</v>
      </c>
      <c r="H12" s="53">
        <f t="shared" si="0"/>
        <v>10.530000000000001</v>
      </c>
      <c r="I12" s="53">
        <f t="shared" si="0"/>
        <v>2.89</v>
      </c>
      <c r="J12" s="53">
        <f t="shared" si="0"/>
        <v>2.36</v>
      </c>
      <c r="K12" s="53">
        <f t="shared" si="0"/>
        <v>0.26</v>
      </c>
      <c r="L12" s="53">
        <f t="shared" si="0"/>
        <v>0.73</v>
      </c>
      <c r="M12" s="53">
        <f t="shared" si="0"/>
        <v>38.700000000000003</v>
      </c>
      <c r="N12" s="53">
        <f t="shared" si="0"/>
        <v>28.24</v>
      </c>
      <c r="O12" s="53">
        <f t="shared" si="0"/>
        <v>189.32</v>
      </c>
      <c r="P12" s="53">
        <f t="shared" si="0"/>
        <v>3.7199999999999998</v>
      </c>
      <c r="Q12" s="53">
        <f t="shared" si="0"/>
        <v>270.8</v>
      </c>
      <c r="R12" s="53">
        <f t="shared" si="0"/>
        <v>18.45</v>
      </c>
      <c r="S12" s="53">
        <f t="shared" si="0"/>
        <v>0.11</v>
      </c>
      <c r="T12" s="53">
        <f t="shared" si="0"/>
        <v>0.02</v>
      </c>
      <c r="U12" s="54"/>
      <c r="V12" s="54"/>
      <c r="W12" s="47"/>
    </row>
    <row r="13" spans="1:23" s="7" customFormat="1" ht="28.35" customHeight="1">
      <c r="A13" s="119" t="s">
        <v>57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</row>
    <row r="14" spans="1:23" s="48" customFormat="1" ht="13.35" customHeight="1">
      <c r="A14" s="117" t="s">
        <v>1</v>
      </c>
      <c r="B14" s="111" t="s">
        <v>2</v>
      </c>
      <c r="C14" s="113" t="s">
        <v>3</v>
      </c>
      <c r="D14" s="114"/>
      <c r="E14" s="115"/>
      <c r="F14" s="116" t="s">
        <v>4</v>
      </c>
      <c r="G14" s="77" t="s">
        <v>5</v>
      </c>
      <c r="H14" s="113" t="s">
        <v>6</v>
      </c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111" t="s">
        <v>7</v>
      </c>
      <c r="V14" s="111" t="s">
        <v>8</v>
      </c>
    </row>
    <row r="15" spans="1:23" s="48" customFormat="1" ht="26.65" customHeight="1">
      <c r="A15" s="118"/>
      <c r="B15" s="112"/>
      <c r="C15" s="61" t="s">
        <v>9</v>
      </c>
      <c r="D15" s="61" t="s">
        <v>10</v>
      </c>
      <c r="E15" s="61" t="s">
        <v>11</v>
      </c>
      <c r="F15" s="112"/>
      <c r="G15" s="61" t="s">
        <v>12</v>
      </c>
      <c r="H15" s="61" t="s">
        <v>13</v>
      </c>
      <c r="I15" s="61" t="s">
        <v>14</v>
      </c>
      <c r="J15" s="61" t="s">
        <v>15</v>
      </c>
      <c r="K15" s="61" t="s">
        <v>16</v>
      </c>
      <c r="L15" s="61" t="s">
        <v>17</v>
      </c>
      <c r="M15" s="61" t="s">
        <v>18</v>
      </c>
      <c r="N15" s="61" t="s">
        <v>19</v>
      </c>
      <c r="O15" s="61" t="s">
        <v>20</v>
      </c>
      <c r="P15" s="61" t="s">
        <v>21</v>
      </c>
      <c r="Q15" s="61" t="s">
        <v>22</v>
      </c>
      <c r="R15" s="61" t="s">
        <v>23</v>
      </c>
      <c r="S15" s="61" t="s">
        <v>24</v>
      </c>
      <c r="T15" s="61" t="s">
        <v>25</v>
      </c>
      <c r="U15" s="112"/>
      <c r="V15" s="112"/>
    </row>
    <row r="16" spans="1:23" s="48" customFormat="1" ht="14.65" customHeight="1">
      <c r="A16" s="98" t="s">
        <v>52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5"/>
      <c r="W16" s="47"/>
    </row>
    <row r="17" spans="1:23" s="48" customFormat="1" ht="21.6" customHeight="1">
      <c r="A17" s="43" t="s">
        <v>220</v>
      </c>
      <c r="B17" s="44">
        <v>170</v>
      </c>
      <c r="C17" s="45">
        <v>3.2</v>
      </c>
      <c r="D17" s="45">
        <v>6.9</v>
      </c>
      <c r="E17" s="45">
        <v>19.3</v>
      </c>
      <c r="F17" s="45">
        <v>162</v>
      </c>
      <c r="G17" s="45">
        <v>0.08</v>
      </c>
      <c r="H17" s="45">
        <v>11.78</v>
      </c>
      <c r="I17" s="45">
        <v>0.38</v>
      </c>
      <c r="J17" s="45">
        <v>3.14</v>
      </c>
      <c r="K17" s="45">
        <v>0</v>
      </c>
      <c r="L17" s="45">
        <v>0</v>
      </c>
      <c r="M17" s="45">
        <v>52.35</v>
      </c>
      <c r="N17" s="45">
        <v>27.48</v>
      </c>
      <c r="O17" s="45">
        <v>57.58</v>
      </c>
      <c r="P17" s="45">
        <v>2.62</v>
      </c>
      <c r="Q17" s="45">
        <v>0</v>
      </c>
      <c r="R17" s="45">
        <v>0</v>
      </c>
      <c r="S17" s="45">
        <v>0</v>
      </c>
      <c r="T17" s="45">
        <v>0</v>
      </c>
      <c r="U17" s="46" t="s">
        <v>212</v>
      </c>
      <c r="V17" s="46">
        <v>2023</v>
      </c>
      <c r="W17" s="47"/>
    </row>
    <row r="18" spans="1:23" s="48" customFormat="1" ht="12.2" customHeight="1">
      <c r="A18" s="43" t="s">
        <v>78</v>
      </c>
      <c r="B18" s="44">
        <v>180</v>
      </c>
      <c r="C18" s="45">
        <v>0.59</v>
      </c>
      <c r="D18" s="45">
        <f>0.45*0.18</f>
        <v>8.1000000000000003E-2</v>
      </c>
      <c r="E18" s="45">
        <v>24.92</v>
      </c>
      <c r="F18" s="45">
        <v>119.52</v>
      </c>
      <c r="G18" s="45">
        <f>0.02*0.18</f>
        <v>3.5999999999999999E-3</v>
      </c>
      <c r="H18" s="45">
        <f>3.63*0.18</f>
        <v>0.65339999999999998</v>
      </c>
      <c r="I18" s="45">
        <v>0</v>
      </c>
      <c r="J18" s="45">
        <v>0</v>
      </c>
      <c r="K18" s="45">
        <v>0</v>
      </c>
      <c r="L18" s="45">
        <v>0</v>
      </c>
      <c r="M18" s="45">
        <f>162.4*0.18</f>
        <v>29.231999999999999</v>
      </c>
      <c r="N18" s="45">
        <f>87.3*0.18</f>
        <v>15.713999999999999</v>
      </c>
      <c r="O18" s="45">
        <f>117.2*0.18</f>
        <v>21.096</v>
      </c>
      <c r="P18" s="45">
        <f>3.49*0.18</f>
        <v>0.62819999999999998</v>
      </c>
      <c r="Q18" s="45">
        <f>1149*0.18</f>
        <v>206.82</v>
      </c>
      <c r="R18" s="45">
        <v>0</v>
      </c>
      <c r="S18" s="45">
        <v>0</v>
      </c>
      <c r="T18" s="45">
        <v>0</v>
      </c>
      <c r="U18" s="58" t="s">
        <v>79</v>
      </c>
      <c r="V18" s="46" t="s">
        <v>29</v>
      </c>
      <c r="W18" s="47"/>
    </row>
    <row r="19" spans="1:23" s="48" customFormat="1" ht="12.2" customHeight="1">
      <c r="A19" s="43" t="s">
        <v>51</v>
      </c>
      <c r="B19" s="44">
        <v>20</v>
      </c>
      <c r="C19" s="49">
        <v>1.53</v>
      </c>
      <c r="D19" s="49">
        <v>0.12</v>
      </c>
      <c r="E19" s="49">
        <v>10.039999999999999</v>
      </c>
      <c r="F19" s="49">
        <v>47.36</v>
      </c>
      <c r="G19" s="50">
        <v>0.03</v>
      </c>
      <c r="H19" s="50">
        <v>0</v>
      </c>
      <c r="I19" s="50">
        <v>0</v>
      </c>
      <c r="J19" s="50">
        <v>0.39</v>
      </c>
      <c r="K19" s="50">
        <v>0</v>
      </c>
      <c r="L19" s="50">
        <v>0.01</v>
      </c>
      <c r="M19" s="50">
        <v>4.5999999999999996</v>
      </c>
      <c r="N19" s="50">
        <v>6.6</v>
      </c>
      <c r="O19" s="50">
        <v>16.8</v>
      </c>
      <c r="P19" s="50">
        <v>0.4</v>
      </c>
      <c r="Q19" s="50">
        <v>25.8</v>
      </c>
      <c r="R19" s="50">
        <v>0</v>
      </c>
      <c r="S19" s="50">
        <v>0</v>
      </c>
      <c r="T19" s="50">
        <v>0</v>
      </c>
      <c r="U19" s="46" t="s">
        <v>223</v>
      </c>
      <c r="V19" s="46" t="s">
        <v>38</v>
      </c>
      <c r="W19" s="47"/>
    </row>
    <row r="20" spans="1:23" s="48" customFormat="1" ht="12.2" customHeight="1">
      <c r="A20" s="51" t="s">
        <v>39</v>
      </c>
      <c r="B20" s="52">
        <f>SUM(B17:B19)</f>
        <v>370</v>
      </c>
      <c r="C20" s="53">
        <f t="shared" ref="C20:T20" si="1">SUM(C17:C19)</f>
        <v>5.32</v>
      </c>
      <c r="D20" s="53">
        <f t="shared" si="1"/>
        <v>7.1010000000000009</v>
      </c>
      <c r="E20" s="53">
        <f t="shared" si="1"/>
        <v>54.26</v>
      </c>
      <c r="F20" s="53">
        <f t="shared" si="1"/>
        <v>328.88</v>
      </c>
      <c r="G20" s="53">
        <f t="shared" si="1"/>
        <v>0.11360000000000001</v>
      </c>
      <c r="H20" s="53">
        <f t="shared" si="1"/>
        <v>12.433399999999999</v>
      </c>
      <c r="I20" s="53">
        <f t="shared" si="1"/>
        <v>0.38</v>
      </c>
      <c r="J20" s="53">
        <f t="shared" si="1"/>
        <v>3.5300000000000002</v>
      </c>
      <c r="K20" s="53">
        <f t="shared" si="1"/>
        <v>0</v>
      </c>
      <c r="L20" s="53">
        <f t="shared" si="1"/>
        <v>0.01</v>
      </c>
      <c r="M20" s="53">
        <f t="shared" si="1"/>
        <v>86.181999999999988</v>
      </c>
      <c r="N20" s="53">
        <f t="shared" si="1"/>
        <v>49.794000000000004</v>
      </c>
      <c r="O20" s="53">
        <f t="shared" si="1"/>
        <v>95.475999999999999</v>
      </c>
      <c r="P20" s="53">
        <f t="shared" si="1"/>
        <v>3.6482000000000001</v>
      </c>
      <c r="Q20" s="53">
        <f t="shared" si="1"/>
        <v>232.62</v>
      </c>
      <c r="R20" s="53">
        <f t="shared" si="1"/>
        <v>0</v>
      </c>
      <c r="S20" s="53">
        <f t="shared" si="1"/>
        <v>0</v>
      </c>
      <c r="T20" s="53">
        <f t="shared" si="1"/>
        <v>0</v>
      </c>
      <c r="U20" s="54"/>
      <c r="V20" s="54"/>
      <c r="W20" s="47"/>
    </row>
    <row r="21" spans="1:23" s="7" customFormat="1" ht="28.35" customHeight="1">
      <c r="A21" s="119" t="s">
        <v>73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</row>
    <row r="22" spans="1:23" s="48" customFormat="1" ht="13.35" customHeight="1">
      <c r="A22" s="117" t="s">
        <v>1</v>
      </c>
      <c r="B22" s="111" t="s">
        <v>2</v>
      </c>
      <c r="C22" s="113" t="s">
        <v>3</v>
      </c>
      <c r="D22" s="114"/>
      <c r="E22" s="115"/>
      <c r="F22" s="116" t="s">
        <v>4</v>
      </c>
      <c r="G22" s="77" t="s">
        <v>5</v>
      </c>
      <c r="H22" s="113" t="s">
        <v>6</v>
      </c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U22" s="111" t="s">
        <v>7</v>
      </c>
      <c r="V22" s="111" t="s">
        <v>8</v>
      </c>
    </row>
    <row r="23" spans="1:23" s="48" customFormat="1" ht="26.65" customHeight="1">
      <c r="A23" s="118"/>
      <c r="B23" s="112"/>
      <c r="C23" s="61" t="s">
        <v>9</v>
      </c>
      <c r="D23" s="61" t="s">
        <v>10</v>
      </c>
      <c r="E23" s="61" t="s">
        <v>11</v>
      </c>
      <c r="F23" s="112"/>
      <c r="G23" s="61" t="s">
        <v>12</v>
      </c>
      <c r="H23" s="61" t="s">
        <v>13</v>
      </c>
      <c r="I23" s="61" t="s">
        <v>14</v>
      </c>
      <c r="J23" s="61" t="s">
        <v>15</v>
      </c>
      <c r="K23" s="61" t="s">
        <v>16</v>
      </c>
      <c r="L23" s="61" t="s">
        <v>17</v>
      </c>
      <c r="M23" s="61" t="s">
        <v>18</v>
      </c>
      <c r="N23" s="61" t="s">
        <v>19</v>
      </c>
      <c r="O23" s="61" t="s">
        <v>20</v>
      </c>
      <c r="P23" s="61" t="s">
        <v>21</v>
      </c>
      <c r="Q23" s="61" t="s">
        <v>22</v>
      </c>
      <c r="R23" s="61" t="s">
        <v>23</v>
      </c>
      <c r="S23" s="61" t="s">
        <v>24</v>
      </c>
      <c r="T23" s="61" t="s">
        <v>25</v>
      </c>
      <c r="U23" s="112"/>
      <c r="V23" s="112"/>
    </row>
    <row r="24" spans="1:23" s="48" customFormat="1" ht="14.65" customHeight="1">
      <c r="A24" s="98" t="s">
        <v>52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5"/>
      <c r="W24" s="47"/>
    </row>
    <row r="25" spans="1:23" s="48" customFormat="1" ht="12.2" customHeight="1">
      <c r="A25" s="43" t="s">
        <v>259</v>
      </c>
      <c r="B25" s="44">
        <v>150</v>
      </c>
      <c r="C25" s="45">
        <v>8.33</v>
      </c>
      <c r="D25" s="45">
        <v>9.98</v>
      </c>
      <c r="E25" s="45">
        <v>18.600000000000001</v>
      </c>
      <c r="F25" s="45">
        <v>215.09</v>
      </c>
      <c r="G25" s="45">
        <v>0.12</v>
      </c>
      <c r="H25" s="45">
        <v>11.8</v>
      </c>
      <c r="I25" s="45">
        <v>0.5</v>
      </c>
      <c r="J25" s="45">
        <v>1.49</v>
      </c>
      <c r="K25" s="45">
        <v>0.08</v>
      </c>
      <c r="L25" s="45">
        <v>0.16</v>
      </c>
      <c r="M25" s="45">
        <v>42.07</v>
      </c>
      <c r="N25" s="45">
        <v>39.409999999999997</v>
      </c>
      <c r="O25" s="45">
        <v>150.08000000000001</v>
      </c>
      <c r="P25" s="45">
        <v>2.2200000000000002</v>
      </c>
      <c r="Q25" s="45">
        <v>627.5</v>
      </c>
      <c r="R25" s="45">
        <v>8.8800000000000008</v>
      </c>
      <c r="S25" s="45">
        <v>0.09</v>
      </c>
      <c r="T25" s="45">
        <v>0.01</v>
      </c>
      <c r="U25" s="46" t="s">
        <v>260</v>
      </c>
      <c r="V25" s="46">
        <v>2023</v>
      </c>
      <c r="W25" s="47"/>
    </row>
    <row r="26" spans="1:23" s="48" customFormat="1" ht="12.2" customHeight="1">
      <c r="A26" s="43" t="s">
        <v>33</v>
      </c>
      <c r="B26" s="44">
        <v>180</v>
      </c>
      <c r="C26" s="45">
        <f>1.52*180/200</f>
        <v>1.3680000000000001</v>
      </c>
      <c r="D26" s="45">
        <f>1.35*180/200</f>
        <v>1.2150000000000001</v>
      </c>
      <c r="E26" s="45">
        <f>15.9*180/200</f>
        <v>14.31</v>
      </c>
      <c r="F26" s="45">
        <f>81*180/200</f>
        <v>72.900000000000006</v>
      </c>
      <c r="G26" s="45">
        <f>0.04</f>
        <v>0.04</v>
      </c>
      <c r="H26" s="45">
        <v>1.33</v>
      </c>
      <c r="I26" s="45">
        <v>0.41</v>
      </c>
      <c r="J26" s="45">
        <v>0</v>
      </c>
      <c r="K26" s="45">
        <v>0</v>
      </c>
      <c r="L26" s="45">
        <v>0.16</v>
      </c>
      <c r="M26" s="45">
        <v>126.6</v>
      </c>
      <c r="N26" s="45">
        <v>15.4</v>
      </c>
      <c r="O26" s="45">
        <v>92.8</v>
      </c>
      <c r="P26" s="45">
        <v>0.41</v>
      </c>
      <c r="Q26" s="45">
        <v>154.6</v>
      </c>
      <c r="R26" s="45">
        <v>4.5</v>
      </c>
      <c r="S26" s="45">
        <v>0</v>
      </c>
      <c r="T26" s="45">
        <v>0</v>
      </c>
      <c r="U26" s="46" t="s">
        <v>34</v>
      </c>
      <c r="V26" s="46" t="s">
        <v>29</v>
      </c>
      <c r="W26" s="47"/>
    </row>
    <row r="27" spans="1:23" s="48" customFormat="1" ht="12.2" customHeight="1">
      <c r="A27" s="43" t="s">
        <v>51</v>
      </c>
      <c r="B27" s="44">
        <v>20</v>
      </c>
      <c r="C27" s="49">
        <v>1.53</v>
      </c>
      <c r="D27" s="49">
        <v>0.12</v>
      </c>
      <c r="E27" s="49">
        <v>10.039999999999999</v>
      </c>
      <c r="F27" s="49">
        <v>47.36</v>
      </c>
      <c r="G27" s="50">
        <v>0.03</v>
      </c>
      <c r="H27" s="50">
        <v>0</v>
      </c>
      <c r="I27" s="50">
        <v>0</v>
      </c>
      <c r="J27" s="50">
        <v>0.39</v>
      </c>
      <c r="K27" s="50">
        <v>0</v>
      </c>
      <c r="L27" s="50">
        <v>0.01</v>
      </c>
      <c r="M27" s="50">
        <v>4.5999999999999996</v>
      </c>
      <c r="N27" s="50">
        <v>6.6</v>
      </c>
      <c r="O27" s="50">
        <v>16.8</v>
      </c>
      <c r="P27" s="50">
        <v>0.4</v>
      </c>
      <c r="Q27" s="50">
        <v>25.8</v>
      </c>
      <c r="R27" s="50">
        <v>0</v>
      </c>
      <c r="S27" s="50">
        <v>0</v>
      </c>
      <c r="T27" s="50">
        <v>0</v>
      </c>
      <c r="U27" s="46" t="s">
        <v>223</v>
      </c>
      <c r="V27" s="46" t="s">
        <v>38</v>
      </c>
      <c r="W27" s="47"/>
    </row>
    <row r="28" spans="1:23" s="48" customFormat="1" ht="12.2" customHeight="1">
      <c r="A28" s="51" t="s">
        <v>39</v>
      </c>
      <c r="B28" s="52">
        <f>SUM(B25:B27)</f>
        <v>350</v>
      </c>
      <c r="C28" s="52">
        <f t="shared" ref="C28:T28" si="2">SUM(C25:C27)</f>
        <v>11.228</v>
      </c>
      <c r="D28" s="52">
        <f t="shared" si="2"/>
        <v>11.315</v>
      </c>
      <c r="E28" s="52">
        <f t="shared" si="2"/>
        <v>42.95</v>
      </c>
      <c r="F28" s="52">
        <f t="shared" si="2"/>
        <v>335.35</v>
      </c>
      <c r="G28" s="52">
        <f t="shared" si="2"/>
        <v>0.19</v>
      </c>
      <c r="H28" s="52">
        <f t="shared" si="2"/>
        <v>13.13</v>
      </c>
      <c r="I28" s="52">
        <f t="shared" si="2"/>
        <v>0.90999999999999992</v>
      </c>
      <c r="J28" s="52">
        <f t="shared" si="2"/>
        <v>1.88</v>
      </c>
      <c r="K28" s="52">
        <f t="shared" si="2"/>
        <v>0.08</v>
      </c>
      <c r="L28" s="52">
        <f t="shared" si="2"/>
        <v>0.33</v>
      </c>
      <c r="M28" s="52">
        <f t="shared" si="2"/>
        <v>173.26999999999998</v>
      </c>
      <c r="N28" s="52">
        <f t="shared" si="2"/>
        <v>61.41</v>
      </c>
      <c r="O28" s="52">
        <f t="shared" si="2"/>
        <v>259.68</v>
      </c>
      <c r="P28" s="52">
        <f t="shared" si="2"/>
        <v>3.0300000000000002</v>
      </c>
      <c r="Q28" s="52">
        <f t="shared" si="2"/>
        <v>807.9</v>
      </c>
      <c r="R28" s="52">
        <f t="shared" si="2"/>
        <v>13.38</v>
      </c>
      <c r="S28" s="52">
        <f t="shared" si="2"/>
        <v>0.09</v>
      </c>
      <c r="T28" s="52">
        <f t="shared" si="2"/>
        <v>0.01</v>
      </c>
      <c r="U28" s="54"/>
      <c r="V28" s="54"/>
      <c r="W28" s="47"/>
    </row>
    <row r="29" spans="1:23" s="7" customFormat="1" ht="28.35" customHeight="1">
      <c r="A29" s="119" t="s">
        <v>91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</row>
    <row r="30" spans="1:23" s="48" customFormat="1" ht="13.35" customHeight="1">
      <c r="A30" s="117" t="s">
        <v>1</v>
      </c>
      <c r="B30" s="111" t="s">
        <v>2</v>
      </c>
      <c r="C30" s="113" t="s">
        <v>3</v>
      </c>
      <c r="D30" s="114"/>
      <c r="E30" s="115"/>
      <c r="F30" s="116" t="s">
        <v>4</v>
      </c>
      <c r="G30" s="77" t="s">
        <v>5</v>
      </c>
      <c r="H30" s="113" t="s">
        <v>6</v>
      </c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5"/>
      <c r="U30" s="111" t="s">
        <v>7</v>
      </c>
      <c r="V30" s="111" t="s">
        <v>8</v>
      </c>
    </row>
    <row r="31" spans="1:23" s="48" customFormat="1" ht="26.65" customHeight="1">
      <c r="A31" s="118"/>
      <c r="B31" s="112"/>
      <c r="C31" s="61" t="s">
        <v>9</v>
      </c>
      <c r="D31" s="61" t="s">
        <v>10</v>
      </c>
      <c r="E31" s="61" t="s">
        <v>11</v>
      </c>
      <c r="F31" s="112"/>
      <c r="G31" s="61" t="s">
        <v>12</v>
      </c>
      <c r="H31" s="61" t="s">
        <v>13</v>
      </c>
      <c r="I31" s="61" t="s">
        <v>14</v>
      </c>
      <c r="J31" s="61" t="s">
        <v>15</v>
      </c>
      <c r="K31" s="61" t="s">
        <v>16</v>
      </c>
      <c r="L31" s="61" t="s">
        <v>17</v>
      </c>
      <c r="M31" s="61" t="s">
        <v>18</v>
      </c>
      <c r="N31" s="61" t="s">
        <v>19</v>
      </c>
      <c r="O31" s="61" t="s">
        <v>20</v>
      </c>
      <c r="P31" s="61" t="s">
        <v>21</v>
      </c>
      <c r="Q31" s="61" t="s">
        <v>22</v>
      </c>
      <c r="R31" s="61" t="s">
        <v>23</v>
      </c>
      <c r="S31" s="61" t="s">
        <v>24</v>
      </c>
      <c r="T31" s="61" t="s">
        <v>25</v>
      </c>
      <c r="U31" s="112"/>
      <c r="V31" s="112"/>
    </row>
    <row r="32" spans="1:23" s="48" customFormat="1" ht="14.65" customHeight="1">
      <c r="A32" s="98" t="s">
        <v>52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5"/>
      <c r="W32" s="47"/>
    </row>
    <row r="33" spans="1:23" s="48" customFormat="1" ht="12.2" customHeight="1">
      <c r="A33" s="43" t="s">
        <v>256</v>
      </c>
      <c r="B33" s="44">
        <v>160</v>
      </c>
      <c r="C33" s="45">
        <v>11.06</v>
      </c>
      <c r="D33" s="45">
        <f>5.24*150/80</f>
        <v>9.8249999999999993</v>
      </c>
      <c r="E33" s="45">
        <v>24.79</v>
      </c>
      <c r="F33" s="45">
        <v>249.1</v>
      </c>
      <c r="G33" s="45">
        <v>0.05</v>
      </c>
      <c r="H33" s="45">
        <v>0.63</v>
      </c>
      <c r="I33" s="45">
        <v>0.42</v>
      </c>
      <c r="J33" s="45">
        <v>2.12</v>
      </c>
      <c r="K33" s="45">
        <v>0.09</v>
      </c>
      <c r="L33" s="45">
        <v>0.17</v>
      </c>
      <c r="M33" s="45">
        <v>122.96</v>
      </c>
      <c r="N33" s="45">
        <v>26.24</v>
      </c>
      <c r="O33" s="45">
        <v>154.96</v>
      </c>
      <c r="P33" s="45">
        <v>1.04</v>
      </c>
      <c r="Q33" s="45">
        <v>188.59</v>
      </c>
      <c r="R33" s="45">
        <v>3.84</v>
      </c>
      <c r="S33" s="45">
        <v>0.03</v>
      </c>
      <c r="T33" s="45">
        <v>0.02</v>
      </c>
      <c r="U33" s="46" t="s">
        <v>204</v>
      </c>
      <c r="V33" s="46">
        <v>2023</v>
      </c>
      <c r="W33" s="47"/>
    </row>
    <row r="34" spans="1:23" s="48" customFormat="1" ht="12.2" customHeight="1">
      <c r="A34" s="43" t="s">
        <v>70</v>
      </c>
      <c r="B34" s="44">
        <v>180</v>
      </c>
      <c r="C34" s="49">
        <v>0.14000000000000001</v>
      </c>
      <c r="D34" s="49">
        <v>0.14000000000000001</v>
      </c>
      <c r="E34" s="49">
        <v>25.09</v>
      </c>
      <c r="F34" s="49">
        <v>103.14</v>
      </c>
      <c r="G34" s="50">
        <v>0.01</v>
      </c>
      <c r="H34" s="50">
        <v>1.44</v>
      </c>
      <c r="I34" s="50">
        <v>0</v>
      </c>
      <c r="J34" s="50">
        <v>0.23</v>
      </c>
      <c r="K34" s="50">
        <v>0</v>
      </c>
      <c r="L34" s="50">
        <v>0.01</v>
      </c>
      <c r="M34" s="50">
        <v>11.84</v>
      </c>
      <c r="N34" s="50">
        <v>3.99</v>
      </c>
      <c r="O34" s="50">
        <v>3.56</v>
      </c>
      <c r="P34" s="50">
        <v>0.71</v>
      </c>
      <c r="Q34" s="50">
        <v>101.19</v>
      </c>
      <c r="R34" s="50">
        <v>0.72</v>
      </c>
      <c r="S34" s="50">
        <v>0</v>
      </c>
      <c r="T34" s="50">
        <v>0</v>
      </c>
      <c r="U34" s="46" t="s">
        <v>71</v>
      </c>
      <c r="V34" s="46">
        <v>2017</v>
      </c>
      <c r="W34" s="47"/>
    </row>
    <row r="35" spans="1:23" s="48" customFormat="1" ht="21.6" customHeight="1">
      <c r="A35" s="51" t="s">
        <v>39</v>
      </c>
      <c r="B35" s="52">
        <f t="shared" ref="B35:T35" si="3">SUM(B33:B34)</f>
        <v>340</v>
      </c>
      <c r="C35" s="53">
        <f t="shared" si="3"/>
        <v>11.200000000000001</v>
      </c>
      <c r="D35" s="53">
        <f t="shared" si="3"/>
        <v>9.9649999999999999</v>
      </c>
      <c r="E35" s="53">
        <f t="shared" si="3"/>
        <v>49.879999999999995</v>
      </c>
      <c r="F35" s="53">
        <f t="shared" si="3"/>
        <v>352.24</v>
      </c>
      <c r="G35" s="53">
        <f t="shared" si="3"/>
        <v>6.0000000000000005E-2</v>
      </c>
      <c r="H35" s="53">
        <f t="shared" si="3"/>
        <v>2.0699999999999998</v>
      </c>
      <c r="I35" s="53">
        <f t="shared" si="3"/>
        <v>0.42</v>
      </c>
      <c r="J35" s="53">
        <f t="shared" si="3"/>
        <v>2.35</v>
      </c>
      <c r="K35" s="53">
        <f t="shared" si="3"/>
        <v>0.09</v>
      </c>
      <c r="L35" s="53">
        <f t="shared" si="3"/>
        <v>0.18000000000000002</v>
      </c>
      <c r="M35" s="53">
        <f t="shared" si="3"/>
        <v>134.79999999999998</v>
      </c>
      <c r="N35" s="53">
        <f t="shared" si="3"/>
        <v>30.229999999999997</v>
      </c>
      <c r="O35" s="53">
        <f t="shared" si="3"/>
        <v>158.52000000000001</v>
      </c>
      <c r="P35" s="53">
        <f t="shared" si="3"/>
        <v>1.75</v>
      </c>
      <c r="Q35" s="53">
        <f t="shared" si="3"/>
        <v>289.77999999999997</v>
      </c>
      <c r="R35" s="53">
        <f t="shared" si="3"/>
        <v>4.5599999999999996</v>
      </c>
      <c r="S35" s="53">
        <f t="shared" si="3"/>
        <v>0.03</v>
      </c>
      <c r="T35" s="53">
        <f t="shared" si="3"/>
        <v>0.02</v>
      </c>
      <c r="U35" s="54"/>
      <c r="V35" s="54"/>
      <c r="W35" s="47"/>
    </row>
    <row r="36" spans="1:23" s="7" customFormat="1" ht="28.35" customHeight="1">
      <c r="A36" s="119" t="s">
        <v>103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</row>
    <row r="37" spans="1:23" s="48" customFormat="1" ht="13.35" customHeight="1">
      <c r="A37" s="117" t="s">
        <v>1</v>
      </c>
      <c r="B37" s="111" t="s">
        <v>2</v>
      </c>
      <c r="C37" s="113" t="s">
        <v>3</v>
      </c>
      <c r="D37" s="114"/>
      <c r="E37" s="115"/>
      <c r="F37" s="116" t="s">
        <v>4</v>
      </c>
      <c r="G37" s="77" t="s">
        <v>5</v>
      </c>
      <c r="H37" s="113" t="s">
        <v>6</v>
      </c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5"/>
      <c r="U37" s="111" t="s">
        <v>7</v>
      </c>
      <c r="V37" s="111" t="s">
        <v>8</v>
      </c>
    </row>
    <row r="38" spans="1:23" s="48" customFormat="1" ht="26.65" customHeight="1">
      <c r="A38" s="118"/>
      <c r="B38" s="112"/>
      <c r="C38" s="61" t="s">
        <v>9</v>
      </c>
      <c r="D38" s="61" t="s">
        <v>10</v>
      </c>
      <c r="E38" s="61" t="s">
        <v>11</v>
      </c>
      <c r="F38" s="112"/>
      <c r="G38" s="61" t="s">
        <v>12</v>
      </c>
      <c r="H38" s="61" t="s">
        <v>13</v>
      </c>
      <c r="I38" s="61" t="s">
        <v>14</v>
      </c>
      <c r="J38" s="61" t="s">
        <v>15</v>
      </c>
      <c r="K38" s="61" t="s">
        <v>16</v>
      </c>
      <c r="L38" s="61" t="s">
        <v>17</v>
      </c>
      <c r="M38" s="61" t="s">
        <v>18</v>
      </c>
      <c r="N38" s="61" t="s">
        <v>19</v>
      </c>
      <c r="O38" s="61" t="s">
        <v>20</v>
      </c>
      <c r="P38" s="61" t="s">
        <v>21</v>
      </c>
      <c r="Q38" s="61" t="s">
        <v>22</v>
      </c>
      <c r="R38" s="61" t="s">
        <v>23</v>
      </c>
      <c r="S38" s="61" t="s">
        <v>24</v>
      </c>
      <c r="T38" s="61" t="s">
        <v>25</v>
      </c>
      <c r="U38" s="112"/>
      <c r="V38" s="112"/>
    </row>
    <row r="39" spans="1:23" s="48" customFormat="1" ht="14.65" customHeight="1">
      <c r="A39" s="98" t="s">
        <v>52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5"/>
      <c r="W39" s="47"/>
    </row>
    <row r="40" spans="1:23" s="48" customFormat="1" ht="12.2" customHeight="1">
      <c r="A40" s="43" t="s">
        <v>285</v>
      </c>
      <c r="B40" s="44">
        <v>180</v>
      </c>
      <c r="C40" s="49">
        <v>4.68</v>
      </c>
      <c r="D40" s="49">
        <v>4.05</v>
      </c>
      <c r="E40" s="49">
        <v>6.48</v>
      </c>
      <c r="F40" s="49">
        <v>85.86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46" t="s">
        <v>223</v>
      </c>
      <c r="V40" s="46" t="s">
        <v>29</v>
      </c>
      <c r="W40" s="47"/>
    </row>
    <row r="41" spans="1:23" s="48" customFormat="1" ht="12.2" customHeight="1">
      <c r="A41" s="43" t="s">
        <v>286</v>
      </c>
      <c r="B41" s="44">
        <v>100</v>
      </c>
      <c r="C41" s="45">
        <v>0.4</v>
      </c>
      <c r="D41" s="45">
        <v>0.4</v>
      </c>
      <c r="E41" s="45">
        <v>9.8000000000000007</v>
      </c>
      <c r="F41" s="45">
        <v>47</v>
      </c>
      <c r="G41" s="45">
        <v>0.03</v>
      </c>
      <c r="H41" s="45">
        <v>10</v>
      </c>
      <c r="I41" s="45">
        <v>0.01</v>
      </c>
      <c r="J41" s="45">
        <v>0.63</v>
      </c>
      <c r="K41" s="45">
        <v>0</v>
      </c>
      <c r="L41" s="45">
        <v>0.02</v>
      </c>
      <c r="M41" s="45">
        <v>16</v>
      </c>
      <c r="N41" s="45">
        <v>8</v>
      </c>
      <c r="O41" s="45">
        <v>11</v>
      </c>
      <c r="P41" s="45">
        <v>2.2000000000000002</v>
      </c>
      <c r="Q41" s="45">
        <v>278</v>
      </c>
      <c r="R41" s="45">
        <v>2</v>
      </c>
      <c r="S41" s="45">
        <v>0.01</v>
      </c>
      <c r="T41" s="45">
        <v>0</v>
      </c>
      <c r="U41" s="46" t="s">
        <v>36</v>
      </c>
      <c r="V41" s="46" t="s">
        <v>29</v>
      </c>
      <c r="W41" s="47"/>
    </row>
    <row r="42" spans="1:23" s="48" customFormat="1" ht="12.2" customHeight="1">
      <c r="A42" s="69" t="s">
        <v>254</v>
      </c>
      <c r="B42" s="70">
        <v>75</v>
      </c>
      <c r="C42" s="45">
        <v>6.71</v>
      </c>
      <c r="D42" s="45">
        <v>7.52</v>
      </c>
      <c r="E42" s="45">
        <v>14.67</v>
      </c>
      <c r="F42" s="45">
        <v>159.15</v>
      </c>
      <c r="G42" s="45">
        <v>0.05</v>
      </c>
      <c r="H42" s="45">
        <v>0</v>
      </c>
      <c r="I42" s="45">
        <v>0</v>
      </c>
      <c r="J42" s="45">
        <v>1.5</v>
      </c>
      <c r="K42" s="45">
        <v>0.02</v>
      </c>
      <c r="L42" s="45">
        <v>0.02</v>
      </c>
      <c r="M42" s="45">
        <v>8.82</v>
      </c>
      <c r="N42" s="45">
        <v>5.71</v>
      </c>
      <c r="O42" s="45">
        <v>31.93</v>
      </c>
      <c r="P42" s="45">
        <v>0.36</v>
      </c>
      <c r="Q42" s="45">
        <v>49.34</v>
      </c>
      <c r="R42" s="45">
        <v>0.74</v>
      </c>
      <c r="S42" s="45">
        <v>0.01</v>
      </c>
      <c r="T42" s="45">
        <v>0.01</v>
      </c>
      <c r="U42" s="58" t="s">
        <v>113</v>
      </c>
      <c r="V42" s="46">
        <v>2017</v>
      </c>
      <c r="W42" s="47"/>
    </row>
    <row r="43" spans="1:23" s="48" customFormat="1" ht="12.2" customHeight="1">
      <c r="A43" s="51" t="s">
        <v>39</v>
      </c>
      <c r="B43" s="52">
        <f t="shared" ref="B43:T43" si="4">SUM(B40:B42)</f>
        <v>355</v>
      </c>
      <c r="C43" s="53">
        <f t="shared" si="4"/>
        <v>11.79</v>
      </c>
      <c r="D43" s="53">
        <f t="shared" si="4"/>
        <v>11.969999999999999</v>
      </c>
      <c r="E43" s="53">
        <f t="shared" si="4"/>
        <v>30.950000000000003</v>
      </c>
      <c r="F43" s="53">
        <f t="shared" si="4"/>
        <v>292.01</v>
      </c>
      <c r="G43" s="53">
        <f t="shared" si="4"/>
        <v>0.08</v>
      </c>
      <c r="H43" s="53">
        <f t="shared" si="4"/>
        <v>10</v>
      </c>
      <c r="I43" s="53">
        <f t="shared" si="4"/>
        <v>0.01</v>
      </c>
      <c r="J43" s="53">
        <f t="shared" si="4"/>
        <v>2.13</v>
      </c>
      <c r="K43" s="53">
        <f t="shared" si="4"/>
        <v>0.02</v>
      </c>
      <c r="L43" s="53">
        <f t="shared" si="4"/>
        <v>0.04</v>
      </c>
      <c r="M43" s="53">
        <f t="shared" si="4"/>
        <v>24.82</v>
      </c>
      <c r="N43" s="53">
        <f t="shared" si="4"/>
        <v>13.71</v>
      </c>
      <c r="O43" s="53">
        <f t="shared" si="4"/>
        <v>42.93</v>
      </c>
      <c r="P43" s="53">
        <f t="shared" si="4"/>
        <v>2.56</v>
      </c>
      <c r="Q43" s="53">
        <f t="shared" si="4"/>
        <v>327.34000000000003</v>
      </c>
      <c r="R43" s="53">
        <f t="shared" si="4"/>
        <v>2.74</v>
      </c>
      <c r="S43" s="53">
        <f t="shared" si="4"/>
        <v>0.02</v>
      </c>
      <c r="T43" s="53">
        <f t="shared" si="4"/>
        <v>0.01</v>
      </c>
      <c r="U43" s="54"/>
      <c r="V43" s="54"/>
      <c r="W43" s="47"/>
    </row>
    <row r="44" spans="1:23" s="7" customFormat="1" ht="28.35" customHeight="1">
      <c r="A44" s="119" t="s">
        <v>115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</row>
    <row r="45" spans="1:23" s="48" customFormat="1" ht="13.35" customHeight="1">
      <c r="A45" s="117" t="s">
        <v>1</v>
      </c>
      <c r="B45" s="111" t="s">
        <v>2</v>
      </c>
      <c r="C45" s="113" t="s">
        <v>3</v>
      </c>
      <c r="D45" s="114"/>
      <c r="E45" s="115"/>
      <c r="F45" s="116" t="s">
        <v>4</v>
      </c>
      <c r="G45" s="77" t="s">
        <v>5</v>
      </c>
      <c r="H45" s="113" t="s">
        <v>6</v>
      </c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  <c r="U45" s="111" t="s">
        <v>7</v>
      </c>
      <c r="V45" s="111" t="s">
        <v>8</v>
      </c>
    </row>
    <row r="46" spans="1:23" s="48" customFormat="1" ht="26.65" customHeight="1">
      <c r="A46" s="118"/>
      <c r="B46" s="112"/>
      <c r="C46" s="61" t="s">
        <v>9</v>
      </c>
      <c r="D46" s="61" t="s">
        <v>10</v>
      </c>
      <c r="E46" s="61" t="s">
        <v>11</v>
      </c>
      <c r="F46" s="112"/>
      <c r="G46" s="61" t="s">
        <v>12</v>
      </c>
      <c r="H46" s="61" t="s">
        <v>13</v>
      </c>
      <c r="I46" s="61" t="s">
        <v>14</v>
      </c>
      <c r="J46" s="61" t="s">
        <v>15</v>
      </c>
      <c r="K46" s="61" t="s">
        <v>16</v>
      </c>
      <c r="L46" s="61" t="s">
        <v>17</v>
      </c>
      <c r="M46" s="61" t="s">
        <v>18</v>
      </c>
      <c r="N46" s="61" t="s">
        <v>19</v>
      </c>
      <c r="O46" s="61" t="s">
        <v>20</v>
      </c>
      <c r="P46" s="61" t="s">
        <v>21</v>
      </c>
      <c r="Q46" s="61" t="s">
        <v>22</v>
      </c>
      <c r="R46" s="61" t="s">
        <v>23</v>
      </c>
      <c r="S46" s="61" t="s">
        <v>24</v>
      </c>
      <c r="T46" s="61" t="s">
        <v>25</v>
      </c>
      <c r="U46" s="112"/>
      <c r="V46" s="112"/>
    </row>
    <row r="47" spans="1:23" s="48" customFormat="1" ht="14.65" customHeight="1">
      <c r="A47" s="98" t="s">
        <v>52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5"/>
      <c r="W47" s="47"/>
    </row>
    <row r="48" spans="1:23" s="48" customFormat="1" ht="12.2" customHeight="1">
      <c r="A48" s="43" t="s">
        <v>219</v>
      </c>
      <c r="B48" s="44">
        <v>150</v>
      </c>
      <c r="C48" s="45">
        <f>2.02*150/105</f>
        <v>2.8857142857142857</v>
      </c>
      <c r="D48" s="45">
        <f>3.96*150/105</f>
        <v>5.6571428571428575</v>
      </c>
      <c r="E48" s="45">
        <v>16.989999999999998</v>
      </c>
      <c r="F48" s="45">
        <v>105</v>
      </c>
      <c r="G48" s="45">
        <v>0.13</v>
      </c>
      <c r="H48" s="45">
        <v>11.77</v>
      </c>
      <c r="I48" s="45">
        <v>0.04</v>
      </c>
      <c r="J48" s="45">
        <v>0.3</v>
      </c>
      <c r="K48" s="45">
        <v>0.11</v>
      </c>
      <c r="L48" s="45">
        <v>0.09</v>
      </c>
      <c r="M48" s="45">
        <v>21.33</v>
      </c>
      <c r="N48" s="45">
        <v>31.55</v>
      </c>
      <c r="O48" s="45">
        <v>78.540000000000006</v>
      </c>
      <c r="P48" s="45">
        <v>1.36</v>
      </c>
      <c r="Q48" s="45">
        <v>836.98</v>
      </c>
      <c r="R48" s="45">
        <v>7.36</v>
      </c>
      <c r="S48" s="45">
        <v>0.04</v>
      </c>
      <c r="T48" s="45">
        <v>0</v>
      </c>
      <c r="U48" s="58" t="s">
        <v>224</v>
      </c>
      <c r="V48" s="58">
        <v>2017</v>
      </c>
      <c r="W48" s="47"/>
    </row>
    <row r="49" spans="1:23" s="48" customFormat="1" ht="12.2" customHeight="1">
      <c r="A49" s="43" t="s">
        <v>241</v>
      </c>
      <c r="B49" s="44">
        <v>95</v>
      </c>
      <c r="C49" s="45">
        <f>4.88*95/105</f>
        <v>4.4152380952380952</v>
      </c>
      <c r="D49" s="45">
        <f>5.6*95/105</f>
        <v>5.0666666666666664</v>
      </c>
      <c r="E49" s="45">
        <f>7.61*95/105</f>
        <v>6.8852380952380958</v>
      </c>
      <c r="F49" s="45">
        <f>116*95/105</f>
        <v>104.95238095238095</v>
      </c>
      <c r="G49" s="45">
        <v>0.09</v>
      </c>
      <c r="H49" s="45">
        <v>0.34</v>
      </c>
      <c r="I49" s="45">
        <v>0.02</v>
      </c>
      <c r="J49" s="45">
        <v>4.28</v>
      </c>
      <c r="K49" s="45">
        <v>0.01</v>
      </c>
      <c r="L49" s="45">
        <v>0.09</v>
      </c>
      <c r="M49" s="45">
        <v>45.82</v>
      </c>
      <c r="N49" s="45">
        <v>46.35</v>
      </c>
      <c r="O49" s="45">
        <v>185.71</v>
      </c>
      <c r="P49" s="45">
        <v>1.54</v>
      </c>
      <c r="Q49" s="45">
        <v>332.76</v>
      </c>
      <c r="R49" s="45">
        <v>95.2</v>
      </c>
      <c r="S49" s="45">
        <v>0.4</v>
      </c>
      <c r="T49" s="45">
        <v>0.01</v>
      </c>
      <c r="U49" s="46" t="s">
        <v>48</v>
      </c>
      <c r="V49" s="46" t="s">
        <v>29</v>
      </c>
      <c r="W49" s="47"/>
    </row>
    <row r="50" spans="1:23" s="48" customFormat="1" ht="12.2" customHeight="1">
      <c r="A50" s="43" t="s">
        <v>85</v>
      </c>
      <c r="B50" s="44">
        <v>180</v>
      </c>
      <c r="C50" s="45">
        <v>2.65</v>
      </c>
      <c r="D50" s="45">
        <f>17.72*0.18</f>
        <v>3.1895999999999995</v>
      </c>
      <c r="E50" s="45">
        <f>87.89*0.18</f>
        <v>15.8202</v>
      </c>
      <c r="F50" s="45">
        <f>593*0.18</f>
        <v>106.74</v>
      </c>
      <c r="G50" s="45">
        <v>0.03</v>
      </c>
      <c r="H50" s="45">
        <v>0.47</v>
      </c>
      <c r="I50" s="45">
        <v>0.01</v>
      </c>
      <c r="J50" s="45">
        <v>0</v>
      </c>
      <c r="K50" s="45">
        <v>0</v>
      </c>
      <c r="L50" s="45">
        <v>0.1</v>
      </c>
      <c r="M50" s="45">
        <v>100.28</v>
      </c>
      <c r="N50" s="45">
        <v>24.74</v>
      </c>
      <c r="O50" s="45">
        <v>86.02</v>
      </c>
      <c r="P50" s="45">
        <v>0.78</v>
      </c>
      <c r="Q50" s="45">
        <v>186.56</v>
      </c>
      <c r="R50" s="45">
        <v>8.1</v>
      </c>
      <c r="S50" s="45">
        <v>0</v>
      </c>
      <c r="T50" s="45">
        <v>0</v>
      </c>
      <c r="U50" s="46" t="s">
        <v>86</v>
      </c>
      <c r="V50" s="46" t="s">
        <v>29</v>
      </c>
      <c r="W50" s="47"/>
    </row>
    <row r="51" spans="1:23" s="48" customFormat="1" ht="12.2" customHeight="1">
      <c r="A51" s="43" t="s">
        <v>37</v>
      </c>
      <c r="B51" s="44">
        <v>20</v>
      </c>
      <c r="C51" s="49">
        <v>1.1200000000000001</v>
      </c>
      <c r="D51" s="49">
        <v>0.22</v>
      </c>
      <c r="E51" s="49">
        <v>9.8800000000000008</v>
      </c>
      <c r="F51" s="49">
        <v>45.98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46" t="s">
        <v>223</v>
      </c>
      <c r="V51" s="46" t="s">
        <v>38</v>
      </c>
      <c r="W51" s="47"/>
    </row>
    <row r="52" spans="1:23" s="48" customFormat="1" ht="12.2" customHeight="1">
      <c r="A52" s="51" t="s">
        <v>39</v>
      </c>
      <c r="B52" s="52">
        <f t="shared" ref="B52:T52" si="5">SUM(B48:B51)</f>
        <v>445</v>
      </c>
      <c r="C52" s="53">
        <f t="shared" si="5"/>
        <v>11.070952380952381</v>
      </c>
      <c r="D52" s="53">
        <f t="shared" si="5"/>
        <v>14.133409523809524</v>
      </c>
      <c r="E52" s="53">
        <f t="shared" si="5"/>
        <v>49.575438095238098</v>
      </c>
      <c r="F52" s="53">
        <f t="shared" si="5"/>
        <v>362.67238095238099</v>
      </c>
      <c r="G52" s="53">
        <f t="shared" si="5"/>
        <v>0.25</v>
      </c>
      <c r="H52" s="53">
        <f t="shared" si="5"/>
        <v>12.58</v>
      </c>
      <c r="I52" s="53">
        <f t="shared" si="5"/>
        <v>6.9999999999999993E-2</v>
      </c>
      <c r="J52" s="53">
        <f t="shared" si="5"/>
        <v>4.58</v>
      </c>
      <c r="K52" s="53">
        <f t="shared" si="5"/>
        <v>0.12</v>
      </c>
      <c r="L52" s="53">
        <f t="shared" si="5"/>
        <v>0.28000000000000003</v>
      </c>
      <c r="M52" s="53">
        <f t="shared" si="5"/>
        <v>167.43</v>
      </c>
      <c r="N52" s="53">
        <f t="shared" si="5"/>
        <v>102.64</v>
      </c>
      <c r="O52" s="53">
        <f t="shared" si="5"/>
        <v>350.27</v>
      </c>
      <c r="P52" s="53">
        <f t="shared" si="5"/>
        <v>3.6800000000000006</v>
      </c>
      <c r="Q52" s="53">
        <f t="shared" si="5"/>
        <v>1356.3</v>
      </c>
      <c r="R52" s="53">
        <f t="shared" si="5"/>
        <v>110.66</v>
      </c>
      <c r="S52" s="53">
        <f t="shared" si="5"/>
        <v>0.44</v>
      </c>
      <c r="T52" s="53">
        <f t="shared" si="5"/>
        <v>0.01</v>
      </c>
      <c r="U52" s="54"/>
      <c r="V52" s="54"/>
      <c r="W52" s="47"/>
    </row>
    <row r="53" spans="1:23" s="7" customFormat="1" ht="28.35" customHeight="1">
      <c r="A53" s="119" t="s">
        <v>135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</row>
    <row r="54" spans="1:23" s="48" customFormat="1" ht="13.35" customHeight="1">
      <c r="A54" s="117" t="s">
        <v>1</v>
      </c>
      <c r="B54" s="111" t="s">
        <v>2</v>
      </c>
      <c r="C54" s="113" t="s">
        <v>3</v>
      </c>
      <c r="D54" s="114"/>
      <c r="E54" s="115"/>
      <c r="F54" s="116" t="s">
        <v>4</v>
      </c>
      <c r="G54" s="77" t="s">
        <v>5</v>
      </c>
      <c r="H54" s="113" t="s">
        <v>6</v>
      </c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5"/>
      <c r="U54" s="111" t="s">
        <v>7</v>
      </c>
      <c r="V54" s="111" t="s">
        <v>8</v>
      </c>
    </row>
    <row r="55" spans="1:23" s="48" customFormat="1" ht="26.65" customHeight="1">
      <c r="A55" s="118"/>
      <c r="B55" s="112"/>
      <c r="C55" s="61" t="s">
        <v>9</v>
      </c>
      <c r="D55" s="61" t="s">
        <v>10</v>
      </c>
      <c r="E55" s="61" t="s">
        <v>11</v>
      </c>
      <c r="F55" s="112"/>
      <c r="G55" s="61" t="s">
        <v>12</v>
      </c>
      <c r="H55" s="61" t="s">
        <v>13</v>
      </c>
      <c r="I55" s="61" t="s">
        <v>14</v>
      </c>
      <c r="J55" s="61" t="s">
        <v>15</v>
      </c>
      <c r="K55" s="61" t="s">
        <v>16</v>
      </c>
      <c r="L55" s="61" t="s">
        <v>17</v>
      </c>
      <c r="M55" s="61" t="s">
        <v>18</v>
      </c>
      <c r="N55" s="61" t="s">
        <v>19</v>
      </c>
      <c r="O55" s="61" t="s">
        <v>20</v>
      </c>
      <c r="P55" s="61" t="s">
        <v>21</v>
      </c>
      <c r="Q55" s="61" t="s">
        <v>22</v>
      </c>
      <c r="R55" s="61" t="s">
        <v>23</v>
      </c>
      <c r="S55" s="61" t="s">
        <v>24</v>
      </c>
      <c r="T55" s="61" t="s">
        <v>25</v>
      </c>
      <c r="U55" s="112"/>
      <c r="V55" s="112"/>
    </row>
    <row r="56" spans="1:23" s="48" customFormat="1" ht="14.65" customHeight="1">
      <c r="A56" s="98" t="s">
        <v>52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5"/>
      <c r="W56" s="47"/>
    </row>
    <row r="57" spans="1:23" s="48" customFormat="1" ht="12.2" customHeight="1">
      <c r="A57" s="43" t="s">
        <v>149</v>
      </c>
      <c r="B57" s="44">
        <v>150</v>
      </c>
      <c r="C57" s="45">
        <v>6.1</v>
      </c>
      <c r="D57" s="45">
        <v>8.1</v>
      </c>
      <c r="E57" s="45">
        <v>24.4</v>
      </c>
      <c r="F57" s="45">
        <v>198.2</v>
      </c>
      <c r="G57" s="45">
        <v>0.12</v>
      </c>
      <c r="H57" s="45">
        <v>1.4</v>
      </c>
      <c r="I57" s="45">
        <v>0.05</v>
      </c>
      <c r="J57" s="45">
        <v>1.05</v>
      </c>
      <c r="K57" s="45">
        <v>0.09</v>
      </c>
      <c r="L57" s="45">
        <v>0.12</v>
      </c>
      <c r="M57" s="45">
        <v>108.15</v>
      </c>
      <c r="N57" s="45">
        <v>34.479999999999997</v>
      </c>
      <c r="O57" s="45">
        <v>133.16999999999999</v>
      </c>
      <c r="P57" s="45">
        <v>1.35</v>
      </c>
      <c r="Q57" s="45">
        <v>266.17</v>
      </c>
      <c r="R57" s="45">
        <v>10.44</v>
      </c>
      <c r="S57" s="45">
        <v>0.01</v>
      </c>
      <c r="T57" s="45">
        <v>0</v>
      </c>
      <c r="U57" s="46" t="s">
        <v>150</v>
      </c>
      <c r="V57" s="46" t="s">
        <v>151</v>
      </c>
      <c r="W57" s="47"/>
    </row>
    <row r="58" spans="1:23" s="48" customFormat="1" ht="12.2" customHeight="1">
      <c r="A58" s="43" t="s">
        <v>63</v>
      </c>
      <c r="B58" s="44">
        <v>180</v>
      </c>
      <c r="C58" s="49">
        <v>2.85</v>
      </c>
      <c r="D58" s="49">
        <v>2.4300000000000002</v>
      </c>
      <c r="E58" s="49">
        <v>14.35</v>
      </c>
      <c r="F58" s="49">
        <v>93.15</v>
      </c>
      <c r="G58" s="50">
        <v>0.03</v>
      </c>
      <c r="H58" s="50">
        <v>0.47</v>
      </c>
      <c r="I58" s="50">
        <v>0.01</v>
      </c>
      <c r="J58" s="50">
        <v>0</v>
      </c>
      <c r="K58" s="50">
        <v>0</v>
      </c>
      <c r="L58" s="50">
        <v>0.1</v>
      </c>
      <c r="M58" s="50">
        <v>100.26</v>
      </c>
      <c r="N58" s="50">
        <v>17.13</v>
      </c>
      <c r="O58" s="50">
        <v>79.099999999999994</v>
      </c>
      <c r="P58" s="50">
        <v>0.36</v>
      </c>
      <c r="Q58" s="50">
        <v>152.65</v>
      </c>
      <c r="R58" s="50">
        <v>8.1</v>
      </c>
      <c r="S58" s="50">
        <v>0</v>
      </c>
      <c r="T58" s="50">
        <v>0</v>
      </c>
      <c r="U58" s="46" t="s">
        <v>64</v>
      </c>
      <c r="V58" s="46" t="s">
        <v>29</v>
      </c>
      <c r="W58" s="47"/>
    </row>
    <row r="59" spans="1:23" s="48" customFormat="1" ht="12.2" customHeight="1">
      <c r="A59" s="43" t="s">
        <v>37</v>
      </c>
      <c r="B59" s="44">
        <v>20</v>
      </c>
      <c r="C59" s="49">
        <v>1.1200000000000001</v>
      </c>
      <c r="D59" s="49">
        <v>0.22</v>
      </c>
      <c r="E59" s="49">
        <v>9.8800000000000008</v>
      </c>
      <c r="F59" s="49">
        <v>45.98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46" t="s">
        <v>223</v>
      </c>
      <c r="V59" s="46" t="s">
        <v>38</v>
      </c>
      <c r="W59" s="47"/>
    </row>
    <row r="60" spans="1:23" s="48" customFormat="1" ht="12.2" customHeight="1">
      <c r="A60" s="51" t="s">
        <v>39</v>
      </c>
      <c r="B60" s="52">
        <f>SUM(B57:B59)</f>
        <v>350</v>
      </c>
      <c r="C60" s="53">
        <f t="shared" ref="C60:T60" si="6">SUM(C57:C59)</f>
        <v>10.07</v>
      </c>
      <c r="D60" s="53">
        <f t="shared" si="6"/>
        <v>10.75</v>
      </c>
      <c r="E60" s="53">
        <f t="shared" si="6"/>
        <v>48.63</v>
      </c>
      <c r="F60" s="53">
        <f t="shared" si="6"/>
        <v>337.33000000000004</v>
      </c>
      <c r="G60" s="53">
        <f t="shared" si="6"/>
        <v>0.15</v>
      </c>
      <c r="H60" s="53">
        <f t="shared" si="6"/>
        <v>1.8699999999999999</v>
      </c>
      <c r="I60" s="53">
        <f t="shared" si="6"/>
        <v>6.0000000000000005E-2</v>
      </c>
      <c r="J60" s="53">
        <f t="shared" si="6"/>
        <v>1.05</v>
      </c>
      <c r="K60" s="53">
        <f t="shared" si="6"/>
        <v>0.09</v>
      </c>
      <c r="L60" s="53">
        <f t="shared" si="6"/>
        <v>0.22</v>
      </c>
      <c r="M60" s="53">
        <f t="shared" si="6"/>
        <v>208.41000000000003</v>
      </c>
      <c r="N60" s="53">
        <f t="shared" si="6"/>
        <v>51.61</v>
      </c>
      <c r="O60" s="53">
        <f t="shared" si="6"/>
        <v>212.26999999999998</v>
      </c>
      <c r="P60" s="53">
        <f t="shared" si="6"/>
        <v>1.71</v>
      </c>
      <c r="Q60" s="53">
        <f t="shared" si="6"/>
        <v>418.82000000000005</v>
      </c>
      <c r="R60" s="53">
        <f t="shared" si="6"/>
        <v>18.54</v>
      </c>
      <c r="S60" s="53">
        <f t="shared" si="6"/>
        <v>0.01</v>
      </c>
      <c r="T60" s="53">
        <f t="shared" si="6"/>
        <v>0</v>
      </c>
      <c r="U60" s="54"/>
      <c r="V60" s="54"/>
      <c r="W60" s="47"/>
    </row>
    <row r="61" spans="1:23" s="7" customFormat="1" ht="28.35" customHeight="1">
      <c r="A61" s="119" t="s">
        <v>154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</row>
    <row r="62" spans="1:23" s="48" customFormat="1" ht="13.35" customHeight="1">
      <c r="A62" s="117" t="s">
        <v>1</v>
      </c>
      <c r="B62" s="111" t="s">
        <v>2</v>
      </c>
      <c r="C62" s="113" t="s">
        <v>3</v>
      </c>
      <c r="D62" s="114"/>
      <c r="E62" s="115"/>
      <c r="F62" s="116" t="s">
        <v>4</v>
      </c>
      <c r="G62" s="77" t="s">
        <v>5</v>
      </c>
      <c r="H62" s="113" t="s">
        <v>6</v>
      </c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5"/>
      <c r="U62" s="111" t="s">
        <v>7</v>
      </c>
      <c r="V62" s="111" t="s">
        <v>8</v>
      </c>
    </row>
    <row r="63" spans="1:23" s="48" customFormat="1" ht="26.65" customHeight="1">
      <c r="A63" s="118"/>
      <c r="B63" s="112"/>
      <c r="C63" s="61" t="s">
        <v>9</v>
      </c>
      <c r="D63" s="61" t="s">
        <v>10</v>
      </c>
      <c r="E63" s="61" t="s">
        <v>11</v>
      </c>
      <c r="F63" s="112"/>
      <c r="G63" s="61" t="s">
        <v>12</v>
      </c>
      <c r="H63" s="61" t="s">
        <v>13</v>
      </c>
      <c r="I63" s="61" t="s">
        <v>14</v>
      </c>
      <c r="J63" s="61" t="s">
        <v>15</v>
      </c>
      <c r="K63" s="61" t="s">
        <v>16</v>
      </c>
      <c r="L63" s="61" t="s">
        <v>17</v>
      </c>
      <c r="M63" s="61" t="s">
        <v>18</v>
      </c>
      <c r="N63" s="61" t="s">
        <v>19</v>
      </c>
      <c r="O63" s="61" t="s">
        <v>20</v>
      </c>
      <c r="P63" s="61" t="s">
        <v>21</v>
      </c>
      <c r="Q63" s="61" t="s">
        <v>22</v>
      </c>
      <c r="R63" s="61" t="s">
        <v>23</v>
      </c>
      <c r="S63" s="61" t="s">
        <v>24</v>
      </c>
      <c r="T63" s="61" t="s">
        <v>25</v>
      </c>
      <c r="U63" s="112"/>
      <c r="V63" s="112"/>
    </row>
    <row r="64" spans="1:23" s="48" customFormat="1" ht="14.65" customHeight="1">
      <c r="A64" s="98" t="s">
        <v>52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5"/>
      <c r="W64" s="47"/>
    </row>
    <row r="65" spans="1:23" s="48" customFormat="1" ht="12.2" customHeight="1">
      <c r="A65" s="43" t="s">
        <v>171</v>
      </c>
      <c r="B65" s="44">
        <v>150</v>
      </c>
      <c r="C65" s="49">
        <v>7.1</v>
      </c>
      <c r="D65" s="49">
        <v>9.1999999999999993</v>
      </c>
      <c r="E65" s="49">
        <v>13.1</v>
      </c>
      <c r="F65" s="49">
        <v>209.5</v>
      </c>
      <c r="G65" s="50">
        <v>0.3</v>
      </c>
      <c r="H65" s="50">
        <v>5.7</v>
      </c>
      <c r="I65" s="50">
        <v>0.4</v>
      </c>
      <c r="J65" s="50">
        <v>0.34</v>
      </c>
      <c r="K65" s="50">
        <v>0.05</v>
      </c>
      <c r="L65" s="50">
        <v>0.12</v>
      </c>
      <c r="M65" s="50">
        <v>29.45</v>
      </c>
      <c r="N65" s="50">
        <v>34.94</v>
      </c>
      <c r="O65" s="50">
        <v>139.22</v>
      </c>
      <c r="P65" s="50">
        <v>1.82</v>
      </c>
      <c r="Q65" s="50">
        <v>591</v>
      </c>
      <c r="R65" s="50">
        <v>8.6999999999999993</v>
      </c>
      <c r="S65" s="50">
        <v>7.0000000000000007E-2</v>
      </c>
      <c r="T65" s="50">
        <v>0</v>
      </c>
      <c r="U65" s="46" t="s">
        <v>230</v>
      </c>
      <c r="V65" s="46" t="s">
        <v>172</v>
      </c>
      <c r="W65" s="47"/>
    </row>
    <row r="66" spans="1:23" s="48" customFormat="1" ht="12.2" customHeight="1">
      <c r="A66" s="43" t="s">
        <v>49</v>
      </c>
      <c r="B66" s="44">
        <v>180</v>
      </c>
      <c r="C66" s="49">
        <v>0.21</v>
      </c>
      <c r="D66" s="49">
        <v>0.01</v>
      </c>
      <c r="E66" s="49">
        <v>26.54</v>
      </c>
      <c r="F66" s="49">
        <v>136.08000000000001</v>
      </c>
      <c r="G66" s="50">
        <v>0</v>
      </c>
      <c r="H66" s="50">
        <v>0.1</v>
      </c>
      <c r="I66" s="50">
        <v>0</v>
      </c>
      <c r="J66" s="50">
        <v>0</v>
      </c>
      <c r="K66" s="50">
        <v>0</v>
      </c>
      <c r="L66" s="50">
        <v>0</v>
      </c>
      <c r="M66" s="50">
        <v>24.05</v>
      </c>
      <c r="N66" s="50">
        <v>5.26</v>
      </c>
      <c r="O66" s="50">
        <v>13.86</v>
      </c>
      <c r="P66" s="50">
        <v>0.65</v>
      </c>
      <c r="Q66" s="50">
        <v>72.17</v>
      </c>
      <c r="R66" s="50">
        <v>0</v>
      </c>
      <c r="S66" s="50">
        <v>0</v>
      </c>
      <c r="T66" s="50">
        <v>0</v>
      </c>
      <c r="U66" s="46" t="s">
        <v>50</v>
      </c>
      <c r="V66" s="46" t="s">
        <v>29</v>
      </c>
      <c r="W66" s="47"/>
    </row>
    <row r="67" spans="1:23" s="48" customFormat="1" ht="12.2" customHeight="1">
      <c r="A67" s="43" t="s">
        <v>37</v>
      </c>
      <c r="B67" s="44">
        <v>20</v>
      </c>
      <c r="C67" s="49">
        <v>1.1200000000000001</v>
      </c>
      <c r="D67" s="49">
        <v>0.22</v>
      </c>
      <c r="E67" s="49">
        <v>9.8800000000000008</v>
      </c>
      <c r="F67" s="49">
        <v>45.98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46" t="s">
        <v>223</v>
      </c>
      <c r="V67" s="46" t="s">
        <v>38</v>
      </c>
      <c r="W67" s="47"/>
    </row>
    <row r="68" spans="1:23" s="48" customFormat="1" ht="12.2" customHeight="1">
      <c r="A68" s="51" t="s">
        <v>39</v>
      </c>
      <c r="B68" s="52">
        <f t="shared" ref="B68:T68" si="7">SUM(B65:B67)</f>
        <v>350</v>
      </c>
      <c r="C68" s="53">
        <f t="shared" si="7"/>
        <v>8.43</v>
      </c>
      <c r="D68" s="53">
        <f t="shared" si="7"/>
        <v>9.43</v>
      </c>
      <c r="E68" s="53">
        <f t="shared" si="7"/>
        <v>49.52</v>
      </c>
      <c r="F68" s="53">
        <f t="shared" si="7"/>
        <v>391.56000000000006</v>
      </c>
      <c r="G68" s="53">
        <f t="shared" si="7"/>
        <v>0.3</v>
      </c>
      <c r="H68" s="53">
        <f t="shared" si="7"/>
        <v>5.8</v>
      </c>
      <c r="I68" s="53">
        <f t="shared" si="7"/>
        <v>0.4</v>
      </c>
      <c r="J68" s="53">
        <f t="shared" si="7"/>
        <v>0.34</v>
      </c>
      <c r="K68" s="53">
        <f t="shared" si="7"/>
        <v>0.05</v>
      </c>
      <c r="L68" s="53">
        <f t="shared" si="7"/>
        <v>0.12</v>
      </c>
      <c r="M68" s="53">
        <f t="shared" si="7"/>
        <v>53.5</v>
      </c>
      <c r="N68" s="53">
        <f t="shared" si="7"/>
        <v>40.199999999999996</v>
      </c>
      <c r="O68" s="53">
        <f t="shared" si="7"/>
        <v>153.07999999999998</v>
      </c>
      <c r="P68" s="53">
        <f t="shared" si="7"/>
        <v>2.4700000000000002</v>
      </c>
      <c r="Q68" s="53">
        <f t="shared" si="7"/>
        <v>663.17</v>
      </c>
      <c r="R68" s="53">
        <f t="shared" si="7"/>
        <v>8.6999999999999993</v>
      </c>
      <c r="S68" s="53">
        <f t="shared" si="7"/>
        <v>7.0000000000000007E-2</v>
      </c>
      <c r="T68" s="53">
        <f t="shared" si="7"/>
        <v>0</v>
      </c>
      <c r="U68" s="54"/>
      <c r="V68" s="54"/>
      <c r="W68" s="47"/>
    </row>
    <row r="69" spans="1:23" s="7" customFormat="1" ht="28.35" customHeight="1">
      <c r="A69" s="119" t="s">
        <v>173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</row>
    <row r="70" spans="1:23" s="48" customFormat="1" ht="13.35" customHeight="1">
      <c r="A70" s="117" t="s">
        <v>1</v>
      </c>
      <c r="B70" s="111" t="s">
        <v>2</v>
      </c>
      <c r="C70" s="113" t="s">
        <v>3</v>
      </c>
      <c r="D70" s="114"/>
      <c r="E70" s="115"/>
      <c r="F70" s="116" t="s">
        <v>4</v>
      </c>
      <c r="G70" s="77" t="s">
        <v>5</v>
      </c>
      <c r="H70" s="113" t="s">
        <v>6</v>
      </c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5"/>
      <c r="U70" s="111" t="s">
        <v>7</v>
      </c>
      <c r="V70" s="111" t="s">
        <v>8</v>
      </c>
    </row>
    <row r="71" spans="1:23" s="48" customFormat="1" ht="26.65" customHeight="1">
      <c r="A71" s="118"/>
      <c r="B71" s="112"/>
      <c r="C71" s="61" t="s">
        <v>9</v>
      </c>
      <c r="D71" s="61" t="s">
        <v>10</v>
      </c>
      <c r="E71" s="61" t="s">
        <v>11</v>
      </c>
      <c r="F71" s="112"/>
      <c r="G71" s="61" t="s">
        <v>12</v>
      </c>
      <c r="H71" s="61" t="s">
        <v>13</v>
      </c>
      <c r="I71" s="61" t="s">
        <v>14</v>
      </c>
      <c r="J71" s="61" t="s">
        <v>15</v>
      </c>
      <c r="K71" s="61" t="s">
        <v>16</v>
      </c>
      <c r="L71" s="61" t="s">
        <v>17</v>
      </c>
      <c r="M71" s="61" t="s">
        <v>18</v>
      </c>
      <c r="N71" s="61" t="s">
        <v>19</v>
      </c>
      <c r="O71" s="61" t="s">
        <v>20</v>
      </c>
      <c r="P71" s="61" t="s">
        <v>21</v>
      </c>
      <c r="Q71" s="61" t="s">
        <v>22</v>
      </c>
      <c r="R71" s="61" t="s">
        <v>23</v>
      </c>
      <c r="S71" s="61" t="s">
        <v>24</v>
      </c>
      <c r="T71" s="61" t="s">
        <v>25</v>
      </c>
      <c r="U71" s="112"/>
      <c r="V71" s="112"/>
    </row>
    <row r="72" spans="1:23" s="48" customFormat="1" ht="14.65" customHeight="1">
      <c r="A72" s="98" t="s">
        <v>52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5"/>
      <c r="W72" s="47"/>
    </row>
    <row r="73" spans="1:23" s="48" customFormat="1" ht="12.2" customHeight="1">
      <c r="A73" s="63" t="s">
        <v>252</v>
      </c>
      <c r="B73" s="64">
        <v>100</v>
      </c>
      <c r="C73" s="45">
        <v>6.58</v>
      </c>
      <c r="D73" s="45">
        <v>6.91</v>
      </c>
      <c r="E73" s="45">
        <v>29.73</v>
      </c>
      <c r="F73" s="45">
        <v>205.18</v>
      </c>
      <c r="G73" s="45">
        <v>0.05</v>
      </c>
      <c r="H73" s="45">
        <v>0</v>
      </c>
      <c r="I73" s="45">
        <v>0</v>
      </c>
      <c r="J73" s="45">
        <v>1.5</v>
      </c>
      <c r="K73" s="45">
        <v>0.02</v>
      </c>
      <c r="L73" s="45">
        <v>0.02</v>
      </c>
      <c r="M73" s="45">
        <v>8.82</v>
      </c>
      <c r="N73" s="45">
        <v>5.71</v>
      </c>
      <c r="O73" s="45">
        <v>31.93</v>
      </c>
      <c r="P73" s="45">
        <v>0.36</v>
      </c>
      <c r="Q73" s="45">
        <v>49.34</v>
      </c>
      <c r="R73" s="45">
        <v>0.74</v>
      </c>
      <c r="S73" s="45">
        <v>0.01</v>
      </c>
      <c r="T73" s="45">
        <v>0.01</v>
      </c>
      <c r="U73" s="58" t="s">
        <v>223</v>
      </c>
      <c r="V73" s="46">
        <v>2017</v>
      </c>
      <c r="W73" s="47"/>
    </row>
    <row r="74" spans="1:23" s="48" customFormat="1" ht="12.2" customHeight="1">
      <c r="A74" s="43" t="s">
        <v>187</v>
      </c>
      <c r="B74" s="44">
        <v>15</v>
      </c>
      <c r="C74" s="45">
        <v>3.48</v>
      </c>
      <c r="D74" s="45">
        <v>4.42</v>
      </c>
      <c r="E74" s="45">
        <v>6.5000000000000002E-2</v>
      </c>
      <c r="F74" s="45">
        <v>54</v>
      </c>
      <c r="G74" s="45">
        <v>0</v>
      </c>
      <c r="H74" s="45">
        <v>0.08</v>
      </c>
      <c r="I74" s="45">
        <v>0.04</v>
      </c>
      <c r="J74" s="45">
        <v>0.03</v>
      </c>
      <c r="K74" s="45">
        <v>0</v>
      </c>
      <c r="L74" s="45">
        <v>0.03</v>
      </c>
      <c r="M74" s="45">
        <v>99.44</v>
      </c>
      <c r="N74" s="45">
        <v>3.96</v>
      </c>
      <c r="O74" s="45">
        <v>56.5</v>
      </c>
      <c r="P74" s="45">
        <v>0.11</v>
      </c>
      <c r="Q74" s="45">
        <v>9.94</v>
      </c>
      <c r="R74" s="45">
        <v>0</v>
      </c>
      <c r="S74" s="45">
        <v>0</v>
      </c>
      <c r="T74" s="45">
        <v>0</v>
      </c>
      <c r="U74" s="46" t="s">
        <v>188</v>
      </c>
      <c r="V74" s="46">
        <v>2017</v>
      </c>
      <c r="W74" s="47"/>
    </row>
    <row r="75" spans="1:23" s="48" customFormat="1" ht="12.2" customHeight="1">
      <c r="A75" s="43" t="s">
        <v>287</v>
      </c>
      <c r="B75" s="44">
        <v>200</v>
      </c>
      <c r="C75" s="49">
        <v>1</v>
      </c>
      <c r="D75" s="49">
        <v>0</v>
      </c>
      <c r="E75" s="49">
        <v>20.2</v>
      </c>
      <c r="F75" s="49">
        <v>84.8</v>
      </c>
      <c r="G75" s="50">
        <v>0.03</v>
      </c>
      <c r="H75" s="50">
        <v>1.6</v>
      </c>
      <c r="I75" s="50">
        <v>0</v>
      </c>
      <c r="J75" s="50">
        <v>0</v>
      </c>
      <c r="K75" s="50">
        <v>0</v>
      </c>
      <c r="L75" s="50">
        <v>0.02</v>
      </c>
      <c r="M75" s="50">
        <v>36</v>
      </c>
      <c r="N75" s="50">
        <v>16.2</v>
      </c>
      <c r="O75" s="50">
        <v>21.6</v>
      </c>
      <c r="P75" s="50">
        <v>0.72</v>
      </c>
      <c r="Q75" s="50">
        <v>300</v>
      </c>
      <c r="R75" s="50">
        <v>12</v>
      </c>
      <c r="S75" s="50">
        <v>0</v>
      </c>
      <c r="T75" s="50">
        <v>0</v>
      </c>
      <c r="U75" s="46" t="s">
        <v>100</v>
      </c>
      <c r="V75" s="46">
        <v>2017</v>
      </c>
      <c r="W75" s="47"/>
    </row>
    <row r="76" spans="1:23" s="48" customFormat="1" ht="12.2" customHeight="1">
      <c r="A76" s="51" t="s">
        <v>39</v>
      </c>
      <c r="B76" s="52">
        <f>SUM(B73:B75)</f>
        <v>315</v>
      </c>
      <c r="C76" s="53">
        <f t="shared" ref="C76:T76" si="8">SUM(C73:C75)</f>
        <v>11.06</v>
      </c>
      <c r="D76" s="53">
        <f t="shared" si="8"/>
        <v>11.33</v>
      </c>
      <c r="E76" s="53">
        <f t="shared" si="8"/>
        <v>49.995000000000005</v>
      </c>
      <c r="F76" s="53">
        <f t="shared" si="8"/>
        <v>343.98</v>
      </c>
      <c r="G76" s="53">
        <f t="shared" si="8"/>
        <v>0.08</v>
      </c>
      <c r="H76" s="53">
        <f t="shared" si="8"/>
        <v>1.6800000000000002</v>
      </c>
      <c r="I76" s="53">
        <f t="shared" si="8"/>
        <v>0.04</v>
      </c>
      <c r="J76" s="53">
        <f t="shared" si="8"/>
        <v>1.53</v>
      </c>
      <c r="K76" s="53">
        <f t="shared" si="8"/>
        <v>0.02</v>
      </c>
      <c r="L76" s="53">
        <f t="shared" si="8"/>
        <v>7.0000000000000007E-2</v>
      </c>
      <c r="M76" s="53">
        <f t="shared" si="8"/>
        <v>144.26</v>
      </c>
      <c r="N76" s="53">
        <f t="shared" si="8"/>
        <v>25.869999999999997</v>
      </c>
      <c r="O76" s="53">
        <f t="shared" si="8"/>
        <v>110.03</v>
      </c>
      <c r="P76" s="53">
        <f t="shared" si="8"/>
        <v>1.19</v>
      </c>
      <c r="Q76" s="53">
        <f t="shared" si="8"/>
        <v>359.28</v>
      </c>
      <c r="R76" s="53">
        <f t="shared" si="8"/>
        <v>12.74</v>
      </c>
      <c r="S76" s="53">
        <f t="shared" si="8"/>
        <v>0.01</v>
      </c>
      <c r="T76" s="53">
        <f t="shared" si="8"/>
        <v>0.01</v>
      </c>
      <c r="U76" s="54"/>
      <c r="V76" s="54"/>
      <c r="W76" s="47"/>
    </row>
    <row r="77" spans="1:23" s="7" customFormat="1" ht="28.35" customHeight="1">
      <c r="A77" s="119" t="s">
        <v>237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</row>
    <row r="78" spans="1:23" s="48" customFormat="1" ht="13.35" customHeight="1">
      <c r="A78" s="117" t="s">
        <v>1</v>
      </c>
      <c r="B78" s="111" t="s">
        <v>2</v>
      </c>
      <c r="C78" s="113" t="s">
        <v>3</v>
      </c>
      <c r="D78" s="114"/>
      <c r="E78" s="115"/>
      <c r="F78" s="116" t="s">
        <v>4</v>
      </c>
      <c r="G78" s="77" t="s">
        <v>5</v>
      </c>
      <c r="H78" s="113" t="s">
        <v>6</v>
      </c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5"/>
      <c r="U78" s="111" t="s">
        <v>7</v>
      </c>
      <c r="V78" s="111" t="s">
        <v>8</v>
      </c>
    </row>
    <row r="79" spans="1:23" s="48" customFormat="1" ht="26.65" customHeight="1">
      <c r="A79" s="118"/>
      <c r="B79" s="112"/>
      <c r="C79" s="61" t="s">
        <v>9</v>
      </c>
      <c r="D79" s="61" t="s">
        <v>10</v>
      </c>
      <c r="E79" s="61" t="s">
        <v>11</v>
      </c>
      <c r="F79" s="112"/>
      <c r="G79" s="61" t="s">
        <v>12</v>
      </c>
      <c r="H79" s="61" t="s">
        <v>13</v>
      </c>
      <c r="I79" s="61" t="s">
        <v>14</v>
      </c>
      <c r="J79" s="61" t="s">
        <v>15</v>
      </c>
      <c r="K79" s="61" t="s">
        <v>16</v>
      </c>
      <c r="L79" s="61" t="s">
        <v>17</v>
      </c>
      <c r="M79" s="61" t="s">
        <v>18</v>
      </c>
      <c r="N79" s="61" t="s">
        <v>19</v>
      </c>
      <c r="O79" s="61" t="s">
        <v>20</v>
      </c>
      <c r="P79" s="61" t="s">
        <v>21</v>
      </c>
      <c r="Q79" s="61" t="s">
        <v>22</v>
      </c>
      <c r="R79" s="61" t="s">
        <v>23</v>
      </c>
      <c r="S79" s="61" t="s">
        <v>24</v>
      </c>
      <c r="T79" s="61" t="s">
        <v>25</v>
      </c>
      <c r="U79" s="112"/>
      <c r="V79" s="112"/>
    </row>
    <row r="80" spans="1:23" s="48" customFormat="1" ht="14.65" customHeight="1">
      <c r="A80" s="98" t="s">
        <v>52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5"/>
      <c r="W80" s="47"/>
    </row>
    <row r="81" spans="1:23" s="48" customFormat="1" ht="12.2" customHeight="1">
      <c r="A81" s="43" t="s">
        <v>200</v>
      </c>
      <c r="B81" s="44">
        <v>150</v>
      </c>
      <c r="C81" s="49">
        <v>7.9</v>
      </c>
      <c r="D81" s="49">
        <v>12.3</v>
      </c>
      <c r="E81" s="49">
        <v>25.1</v>
      </c>
      <c r="F81" s="49">
        <v>257.60000000000002</v>
      </c>
      <c r="G81" s="50">
        <v>7.0000000000000007E-2</v>
      </c>
      <c r="H81" s="50">
        <v>0.14000000000000001</v>
      </c>
      <c r="I81" s="50">
        <v>0.1</v>
      </c>
      <c r="J81" s="50">
        <v>2.81</v>
      </c>
      <c r="K81" s="50">
        <v>0.67</v>
      </c>
      <c r="L81" s="50">
        <v>0.14000000000000001</v>
      </c>
      <c r="M81" s="50">
        <v>52.99</v>
      </c>
      <c r="N81" s="50">
        <v>12.12</v>
      </c>
      <c r="O81" s="50">
        <v>94.02</v>
      </c>
      <c r="P81" s="50">
        <v>1.3</v>
      </c>
      <c r="Q81" s="50">
        <v>122.1</v>
      </c>
      <c r="R81" s="50">
        <v>8.0399999999999991</v>
      </c>
      <c r="S81" s="50">
        <v>0.02</v>
      </c>
      <c r="T81" s="50">
        <v>0.02</v>
      </c>
      <c r="U81" s="46" t="s">
        <v>111</v>
      </c>
      <c r="V81" s="46" t="s">
        <v>29</v>
      </c>
      <c r="W81" s="47"/>
    </row>
    <row r="82" spans="1:23" s="48" customFormat="1" ht="12.2" customHeight="1">
      <c r="A82" s="43" t="s">
        <v>70</v>
      </c>
      <c r="B82" s="44">
        <v>180</v>
      </c>
      <c r="C82" s="49">
        <v>0.14000000000000001</v>
      </c>
      <c r="D82" s="49">
        <v>0.14000000000000001</v>
      </c>
      <c r="E82" s="49">
        <v>25.09</v>
      </c>
      <c r="F82" s="49">
        <v>103.14</v>
      </c>
      <c r="G82" s="50">
        <v>0.01</v>
      </c>
      <c r="H82" s="50">
        <v>1.44</v>
      </c>
      <c r="I82" s="50">
        <v>0</v>
      </c>
      <c r="J82" s="50">
        <v>0.23</v>
      </c>
      <c r="K82" s="50">
        <v>0</v>
      </c>
      <c r="L82" s="50">
        <v>0.01</v>
      </c>
      <c r="M82" s="50">
        <v>11.84</v>
      </c>
      <c r="N82" s="50">
        <v>3.99</v>
      </c>
      <c r="O82" s="50">
        <v>3.56</v>
      </c>
      <c r="P82" s="50">
        <v>0.71</v>
      </c>
      <c r="Q82" s="50">
        <v>101.19</v>
      </c>
      <c r="R82" s="50">
        <v>0.72</v>
      </c>
      <c r="S82" s="50">
        <v>0</v>
      </c>
      <c r="T82" s="50">
        <v>0</v>
      </c>
      <c r="U82" s="46" t="s">
        <v>71</v>
      </c>
      <c r="V82" s="46">
        <v>2017</v>
      </c>
      <c r="W82" s="47"/>
    </row>
    <row r="83" spans="1:23" s="48" customFormat="1" ht="12.2" customHeight="1">
      <c r="A83" s="51" t="s">
        <v>39</v>
      </c>
      <c r="B83" s="52">
        <f t="shared" ref="B83:T83" si="9">SUM(B81:B82)</f>
        <v>330</v>
      </c>
      <c r="C83" s="53">
        <f t="shared" si="9"/>
        <v>8.0400000000000009</v>
      </c>
      <c r="D83" s="53">
        <f t="shared" si="9"/>
        <v>12.440000000000001</v>
      </c>
      <c r="E83" s="53">
        <f t="shared" si="9"/>
        <v>50.19</v>
      </c>
      <c r="F83" s="53">
        <f t="shared" si="9"/>
        <v>360.74</v>
      </c>
      <c r="G83" s="53">
        <f t="shared" si="9"/>
        <v>0.08</v>
      </c>
      <c r="H83" s="53">
        <f t="shared" si="9"/>
        <v>1.58</v>
      </c>
      <c r="I83" s="53">
        <f t="shared" si="9"/>
        <v>0.1</v>
      </c>
      <c r="J83" s="53">
        <f t="shared" si="9"/>
        <v>3.04</v>
      </c>
      <c r="K83" s="53">
        <f t="shared" si="9"/>
        <v>0.67</v>
      </c>
      <c r="L83" s="53">
        <f t="shared" si="9"/>
        <v>0.15000000000000002</v>
      </c>
      <c r="M83" s="53">
        <f t="shared" si="9"/>
        <v>64.83</v>
      </c>
      <c r="N83" s="53">
        <f t="shared" si="9"/>
        <v>16.11</v>
      </c>
      <c r="O83" s="53">
        <f t="shared" si="9"/>
        <v>97.58</v>
      </c>
      <c r="P83" s="53">
        <f t="shared" si="9"/>
        <v>2.0099999999999998</v>
      </c>
      <c r="Q83" s="53">
        <f t="shared" si="9"/>
        <v>223.29</v>
      </c>
      <c r="R83" s="53">
        <f t="shared" si="9"/>
        <v>8.76</v>
      </c>
      <c r="S83" s="53">
        <f t="shared" si="9"/>
        <v>0.02</v>
      </c>
      <c r="T83" s="53">
        <f t="shared" si="9"/>
        <v>0.02</v>
      </c>
      <c r="U83" s="54"/>
      <c r="V83" s="54"/>
      <c r="W83" s="47"/>
    </row>
    <row r="85" spans="1:23" s="3" customFormat="1" ht="57">
      <c r="A85" s="40" t="s">
        <v>284</v>
      </c>
      <c r="B85" s="2" t="s">
        <v>215</v>
      </c>
      <c r="C85" s="120" t="s">
        <v>3</v>
      </c>
      <c r="D85" s="99"/>
      <c r="E85" s="100"/>
      <c r="F85" s="4" t="s">
        <v>4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8"/>
      <c r="V85" s="8"/>
    </row>
    <row r="86" spans="1:23" s="3" customFormat="1" ht="28.5">
      <c r="A86" s="41"/>
      <c r="B86" s="9"/>
      <c r="C86" s="10" t="s">
        <v>9</v>
      </c>
      <c r="D86" s="10" t="s">
        <v>10</v>
      </c>
      <c r="E86" s="10" t="s">
        <v>11</v>
      </c>
      <c r="F86" s="10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8"/>
      <c r="V86" s="8"/>
    </row>
    <row r="87" spans="1:23" s="21" customFormat="1" ht="15">
      <c r="A87" s="23" t="s">
        <v>216</v>
      </c>
      <c r="B87" s="24">
        <f>B83+B76+B68+B60+B52+B43+B35+B28+B20+B12</f>
        <v>3575</v>
      </c>
      <c r="C87" s="24">
        <f>C83+C76+C68+C60+C52+C43+C35+C28+C20+C12</f>
        <v>97.912029304029303</v>
      </c>
      <c r="D87" s="24">
        <f>D83+D76+D68+D60+D52+D43+D35+D28+D20+D12</f>
        <v>106.62594798534799</v>
      </c>
      <c r="E87" s="25">
        <f>E83+E76+E68+E60+E52+E43+E35+E28+E20+E12</f>
        <v>467.18043809523812</v>
      </c>
      <c r="F87" s="25">
        <f>F83+F76+F68+F60+F52+F43+F35+F28+F20+F12</f>
        <v>3412.3154578754575</v>
      </c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7"/>
      <c r="V87" s="27"/>
    </row>
    <row r="88" spans="1:23" s="21" customFormat="1" ht="15">
      <c r="A88" s="23" t="s">
        <v>217</v>
      </c>
      <c r="B88" s="24">
        <f>B87/10</f>
        <v>357.5</v>
      </c>
      <c r="C88" s="25">
        <f>C87/10</f>
        <v>9.79120293040293</v>
      </c>
      <c r="D88" s="25">
        <f t="shared" ref="D88:F88" si="10">D87/10</f>
        <v>10.6625947985348</v>
      </c>
      <c r="E88" s="25">
        <f t="shared" si="10"/>
        <v>46.718043809523813</v>
      </c>
      <c r="F88" s="25">
        <f t="shared" si="10"/>
        <v>341.23154578754577</v>
      </c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7"/>
      <c r="V88" s="27"/>
    </row>
  </sheetData>
  <mergeCells count="95">
    <mergeCell ref="A29:V29"/>
    <mergeCell ref="A36:V36"/>
    <mergeCell ref="V45:V46"/>
    <mergeCell ref="A54:A55"/>
    <mergeCell ref="U54:U55"/>
    <mergeCell ref="U45:U46"/>
    <mergeCell ref="B54:B55"/>
    <mergeCell ref="C54:E54"/>
    <mergeCell ref="F54:F55"/>
    <mergeCell ref="H54:T54"/>
    <mergeCell ref="A44:V44"/>
    <mergeCell ref="A53:V53"/>
    <mergeCell ref="A24:V24"/>
    <mergeCell ref="U62:U63"/>
    <mergeCell ref="V62:V63"/>
    <mergeCell ref="A56:V56"/>
    <mergeCell ref="A47:V47"/>
    <mergeCell ref="A39:V39"/>
    <mergeCell ref="A32:V32"/>
    <mergeCell ref="A30:A31"/>
    <mergeCell ref="B30:B31"/>
    <mergeCell ref="C30:E30"/>
    <mergeCell ref="F30:F31"/>
    <mergeCell ref="A37:A38"/>
    <mergeCell ref="B37:B38"/>
    <mergeCell ref="A62:A63"/>
    <mergeCell ref="B62:B63"/>
    <mergeCell ref="C62:E62"/>
    <mergeCell ref="F62:F63"/>
    <mergeCell ref="H62:T62"/>
    <mergeCell ref="A64:V64"/>
    <mergeCell ref="A78:A79"/>
    <mergeCell ref="B78:B79"/>
    <mergeCell ref="C78:E78"/>
    <mergeCell ref="F78:F79"/>
    <mergeCell ref="H78:T78"/>
    <mergeCell ref="A70:A71"/>
    <mergeCell ref="B70:B71"/>
    <mergeCell ref="C70:E70"/>
    <mergeCell ref="F70:F71"/>
    <mergeCell ref="H70:T70"/>
    <mergeCell ref="U70:U71"/>
    <mergeCell ref="A69:V69"/>
    <mergeCell ref="A77:V77"/>
    <mergeCell ref="H14:T14"/>
    <mergeCell ref="U14:U15"/>
    <mergeCell ref="V14:V15"/>
    <mergeCell ref="A22:A23"/>
    <mergeCell ref="B22:B23"/>
    <mergeCell ref="C22:E22"/>
    <mergeCell ref="F22:F23"/>
    <mergeCell ref="H22:T22"/>
    <mergeCell ref="U22:U23"/>
    <mergeCell ref="V22:V23"/>
    <mergeCell ref="A16:V16"/>
    <mergeCell ref="A14:A15"/>
    <mergeCell ref="B14:B15"/>
    <mergeCell ref="C14:E14"/>
    <mergeCell ref="F14:F15"/>
    <mergeCell ref="A21:V21"/>
    <mergeCell ref="A13:V13"/>
    <mergeCell ref="A4:V4"/>
    <mergeCell ref="A1:C1"/>
    <mergeCell ref="K1:V2"/>
    <mergeCell ref="A3:V3"/>
    <mergeCell ref="A5:V5"/>
    <mergeCell ref="H6:T6"/>
    <mergeCell ref="U6:U7"/>
    <mergeCell ref="V6:V7"/>
    <mergeCell ref="A8:V8"/>
    <mergeCell ref="A6:A7"/>
    <mergeCell ref="B6:B7"/>
    <mergeCell ref="C6:E6"/>
    <mergeCell ref="F6:F7"/>
    <mergeCell ref="A61:V61"/>
    <mergeCell ref="H30:T30"/>
    <mergeCell ref="U30:U31"/>
    <mergeCell ref="V30:V31"/>
    <mergeCell ref="F37:F38"/>
    <mergeCell ref="H37:T37"/>
    <mergeCell ref="U37:U38"/>
    <mergeCell ref="V37:V38"/>
    <mergeCell ref="A45:A46"/>
    <mergeCell ref="V54:V55"/>
    <mergeCell ref="B45:B46"/>
    <mergeCell ref="C45:E45"/>
    <mergeCell ref="F45:F46"/>
    <mergeCell ref="H45:T45"/>
    <mergeCell ref="C37:E37"/>
    <mergeCell ref="C85:E85"/>
    <mergeCell ref="V70:V71"/>
    <mergeCell ref="U78:U79"/>
    <mergeCell ref="V78:V79"/>
    <mergeCell ref="A80:V80"/>
    <mergeCell ref="A72:V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общее цикл меню</vt:lpstr>
      <vt:lpstr>завтраки</vt:lpstr>
      <vt:lpstr>обеды</vt:lpstr>
      <vt:lpstr>полдники</vt:lpstr>
      <vt:lpstr>'общее цикл меню'!Область_печати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cp:lastPrinted>2023-08-25T12:42:51Z</cp:lastPrinted>
  <dcterms:created xsi:type="dcterms:W3CDTF">2023-07-23T13:11:23Z</dcterms:created>
  <dcterms:modified xsi:type="dcterms:W3CDTF">2023-08-25T12:42:55Z</dcterms:modified>
</cp:coreProperties>
</file>