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7" i="1" l="1"/>
  <c r="G187" i="1"/>
  <c r="I186" i="1"/>
  <c r="H186" i="1"/>
  <c r="G186" i="1"/>
  <c r="J177" i="1"/>
  <c r="I177" i="1"/>
  <c r="G177" i="1"/>
  <c r="J160" i="1"/>
  <c r="I160" i="1"/>
  <c r="H160" i="1"/>
  <c r="J158" i="1"/>
  <c r="I158" i="1"/>
  <c r="H158" i="1"/>
  <c r="G158" i="1"/>
  <c r="J154" i="1"/>
  <c r="I154" i="1"/>
  <c r="H154" i="1"/>
  <c r="G154" i="1"/>
  <c r="J149" i="1"/>
  <c r="J147" i="1"/>
  <c r="G150" i="1"/>
  <c r="I149" i="1"/>
  <c r="G149" i="1"/>
  <c r="I148" i="1"/>
  <c r="G148" i="1"/>
  <c r="I147" i="1"/>
  <c r="H147" i="1"/>
  <c r="G147" i="1"/>
  <c r="J141" i="1"/>
  <c r="I141" i="1"/>
  <c r="H141" i="1"/>
  <c r="G141" i="1"/>
  <c r="J135" i="1" l="1"/>
  <c r="I135" i="1"/>
  <c r="G135" i="1"/>
  <c r="J130" i="1"/>
  <c r="J129" i="1"/>
  <c r="I130" i="1"/>
  <c r="H130" i="1"/>
  <c r="G130" i="1"/>
  <c r="I129" i="1"/>
  <c r="H129" i="1"/>
  <c r="G129" i="1"/>
  <c r="J126" i="1"/>
  <c r="I126" i="1"/>
  <c r="H126" i="1"/>
  <c r="G126" i="1"/>
  <c r="J112" i="1"/>
  <c r="I112" i="1"/>
  <c r="H112" i="1"/>
  <c r="G112" i="1"/>
  <c r="J111" i="1"/>
  <c r="J110" i="1"/>
  <c r="I111" i="1"/>
  <c r="H111" i="1"/>
  <c r="G111" i="1"/>
  <c r="I110" i="1"/>
  <c r="H110" i="1"/>
  <c r="G110" i="1"/>
  <c r="G106" i="1"/>
  <c r="J88" i="1" l="1"/>
  <c r="I88" i="1"/>
  <c r="H88" i="1"/>
  <c r="G88" i="1"/>
  <c r="J82" i="1"/>
  <c r="I82" i="1"/>
  <c r="H82" i="1"/>
  <c r="G82" i="1"/>
  <c r="J73" i="1"/>
  <c r="I73" i="1"/>
  <c r="H73" i="1"/>
  <c r="G73" i="1"/>
  <c r="G67" i="1"/>
  <c r="J63" i="1"/>
  <c r="J70" i="1" s="1"/>
  <c r="J81" i="1" s="1"/>
  <c r="J56" i="1"/>
  <c r="J55" i="1"/>
  <c r="I55" i="1"/>
  <c r="H55" i="1"/>
  <c r="G55" i="1"/>
  <c r="J54" i="1"/>
  <c r="I54" i="1"/>
  <c r="H54" i="1"/>
  <c r="G54" i="1"/>
  <c r="J53" i="1"/>
  <c r="J61" i="1" s="1"/>
  <c r="I53" i="1"/>
  <c r="H53" i="1"/>
  <c r="H61" i="1" s="1"/>
  <c r="G53" i="1"/>
  <c r="J49" i="1"/>
  <c r="I49" i="1"/>
  <c r="H49" i="1"/>
  <c r="G49" i="1"/>
  <c r="H46" i="1"/>
  <c r="J34" i="1"/>
  <c r="I34" i="1"/>
  <c r="H34" i="1"/>
  <c r="G34" i="1"/>
  <c r="G42" i="1" s="1"/>
  <c r="J30" i="1"/>
  <c r="I30" i="1"/>
  <c r="H30" i="1"/>
  <c r="G30" i="1"/>
  <c r="J26" i="1"/>
  <c r="J32" i="1" s="1"/>
  <c r="I26" i="1"/>
  <c r="H26" i="1"/>
  <c r="G26" i="1"/>
  <c r="G32" i="1" s="1"/>
  <c r="J18" i="1"/>
  <c r="I18" i="1"/>
  <c r="H18" i="1"/>
  <c r="G18" i="1"/>
  <c r="J17" i="1"/>
  <c r="I17" i="1"/>
  <c r="H17" i="1"/>
  <c r="G17" i="1"/>
  <c r="J15" i="1"/>
  <c r="I15" i="1"/>
  <c r="I23" i="1" s="1"/>
  <c r="H15" i="1"/>
  <c r="H23" i="1" s="1"/>
  <c r="G15" i="1"/>
  <c r="K14" i="1"/>
  <c r="J8" i="1"/>
  <c r="J13" i="1" s="1"/>
  <c r="J24" i="1" s="1"/>
  <c r="H8" i="1"/>
  <c r="G8" i="1"/>
  <c r="G13" i="1" s="1"/>
  <c r="J6" i="1"/>
  <c r="I6" i="1"/>
  <c r="H6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I70" i="1"/>
  <c r="H70" i="1"/>
  <c r="G70" i="1"/>
  <c r="F70" i="1"/>
  <c r="F81" i="1" s="1"/>
  <c r="B62" i="1"/>
  <c r="A62" i="1"/>
  <c r="L61" i="1"/>
  <c r="I61" i="1"/>
  <c r="G61" i="1"/>
  <c r="F61" i="1"/>
  <c r="B52" i="1"/>
  <c r="A52" i="1"/>
  <c r="L51" i="1"/>
  <c r="J51" i="1"/>
  <c r="I51" i="1"/>
  <c r="G51" i="1"/>
  <c r="F51" i="1"/>
  <c r="B43" i="1"/>
  <c r="A43" i="1"/>
  <c r="L42" i="1"/>
  <c r="J42" i="1"/>
  <c r="I42" i="1"/>
  <c r="H42" i="1"/>
  <c r="F42" i="1"/>
  <c r="B33" i="1"/>
  <c r="A33" i="1"/>
  <c r="L32" i="1"/>
  <c r="I32" i="1"/>
  <c r="F32" i="1"/>
  <c r="B24" i="1"/>
  <c r="A24" i="1"/>
  <c r="L23" i="1"/>
  <c r="J23" i="1"/>
  <c r="G23" i="1"/>
  <c r="F23" i="1"/>
  <c r="B14" i="1"/>
  <c r="A14" i="1"/>
  <c r="L13" i="1"/>
  <c r="I13" i="1"/>
  <c r="H13" i="1"/>
  <c r="F13" i="1"/>
  <c r="H51" i="1" l="1"/>
  <c r="H32" i="1"/>
  <c r="H43" i="1" s="1"/>
  <c r="H81" i="1"/>
  <c r="G81" i="1"/>
  <c r="J195" i="1"/>
  <c r="F195" i="1"/>
  <c r="L195" i="1"/>
  <c r="I195" i="1"/>
  <c r="F176" i="1"/>
  <c r="J176" i="1"/>
  <c r="I176" i="1"/>
  <c r="L176" i="1"/>
  <c r="H176" i="1"/>
  <c r="L157" i="1"/>
  <c r="I157" i="1"/>
  <c r="J138" i="1"/>
  <c r="L138" i="1"/>
  <c r="I138" i="1"/>
  <c r="F138" i="1"/>
  <c r="G119" i="1"/>
  <c r="J119" i="1"/>
  <c r="F119" i="1"/>
  <c r="L100" i="1"/>
  <c r="J100" i="1"/>
  <c r="I100" i="1"/>
  <c r="L81" i="1"/>
  <c r="I81" i="1"/>
  <c r="L62" i="1"/>
  <c r="I62" i="1"/>
  <c r="G62" i="1"/>
  <c r="J62" i="1"/>
  <c r="H62" i="1"/>
  <c r="F62" i="1"/>
  <c r="G43" i="1"/>
  <c r="J43" i="1"/>
  <c r="I43" i="1"/>
  <c r="L43" i="1"/>
  <c r="F43" i="1"/>
  <c r="I24" i="1"/>
  <c r="H24" i="1"/>
  <c r="F24" i="1"/>
  <c r="L24" i="1"/>
  <c r="G24" i="1"/>
  <c r="J196" i="1" l="1"/>
  <c r="G196" i="1"/>
  <c r="I196" i="1"/>
  <c r="H196" i="1"/>
  <c r="L196" i="1"/>
  <c r="F196" i="1"/>
</calcChain>
</file>

<file path=xl/sharedStrings.xml><?xml version="1.0" encoding="utf-8"?>
<sst xmlns="http://schemas.openxmlformats.org/spreadsheetml/2006/main" count="399" uniqueCount="159">
  <si>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</si>
  <si>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</si>
  <si>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</si>
  <si>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</si>
  <si>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</si>
  <si>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</si>
  <si>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</si>
  <si>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</si>
  <si>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</si>
  <si>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</si>
  <si>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</si>
  <si>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</si>
  <si>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</si>
  <si>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</si>
  <si>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</si>
  <si>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</si>
  <si>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</si>
  <si>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</si>
  <si>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</si>
  <si>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</si>
  <si>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</si>
  <si>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</si>
  <si>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</si>
  <si>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</si>
  <si>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</si>
  <si>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</si>
  <si>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</si>
  <si>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</si>
  <si>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</si>
  <si>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</si>
  <si>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</si>
  <si>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</si>
  <si>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</si>
  <si>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</si>
  <si>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</si>
  <si>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</si>
  <si>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</si>
  <si>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</si>
  <si>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</si>
  <si>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</si>
  <si>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175</t>
  </si>
  <si>
    <t xml:space="preserve">ЧАЙ С МОЛОКОМ </t>
  </si>
  <si>
    <t>хлеб ржаной</t>
  </si>
  <si>
    <t>пп</t>
  </si>
  <si>
    <t>БУТЕРБРОД С СЫРОМ И МАСЛОМ</t>
  </si>
  <si>
    <t>бутерброд</t>
  </si>
  <si>
    <t>яблоко</t>
  </si>
  <si>
    <t>ИКРА КАБАЧКОВАЯ КОНСЕРВИРОВАННАЯ</t>
  </si>
  <si>
    <t>СУП КАРТОФЕЛЬНЫЙ С МАКАРОННЫМИ ИЗДЕЛИЯМИ</t>
  </si>
  <si>
    <t>103</t>
  </si>
  <si>
    <t>КОТЛЕТЫ  РЫБНЫЕ /СОУС МОЛОЧНЫЙ   90/25</t>
  </si>
  <si>
    <t>ПЮРЕ КАРТОФЕЛЬНОЕ</t>
  </si>
  <si>
    <t>КИСЕЛЬ ИЗ ЯБЛОК СУШЕНЫХ</t>
  </si>
  <si>
    <t>354</t>
  </si>
  <si>
    <t>хлеб пшеничный</t>
  </si>
  <si>
    <t>КАША ЯЧНЕВАЯ РАССЫПЧАТАЯ ПО-КУПЕЧЕСКИ</t>
  </si>
  <si>
    <t>ТТК 3</t>
  </si>
  <si>
    <t>СОК ФРУКТОВЫЙ /ЯБЛОЧНЫЙ/</t>
  </si>
  <si>
    <t>389</t>
  </si>
  <si>
    <t>хлеб пшеничный/хлеб ржаной</t>
  </si>
  <si>
    <t>КОТЛЕТЫ ДОМАШНИЕ С МАСЛОМ 90/5</t>
  </si>
  <si>
    <t>271</t>
  </si>
  <si>
    <t>огурцы</t>
  </si>
  <si>
    <t>71</t>
  </si>
  <si>
    <t>САЛАТ ИЗ СВЕКЛЫ С  ИЗЮМОМ</t>
  </si>
  <si>
    <t>ЩИ ИЗ СВЕЖЕЙ КАПУСТЫ</t>
  </si>
  <si>
    <t>87</t>
  </si>
  <si>
    <t>ПЛОВ ИЗ ЦЫПЛЕНКА</t>
  </si>
  <si>
    <t>291</t>
  </si>
  <si>
    <t>АПЕЛЬСИН</t>
  </si>
  <si>
    <t>ТТК 23</t>
  </si>
  <si>
    <t>пшеничный</t>
  </si>
  <si>
    <t>ржаной</t>
  </si>
  <si>
    <t>КИСЛОМОЛОЧНЫЙ НАПИТОК КЕФИР</t>
  </si>
  <si>
    <t>Молоко для детского питания 2,5% 200 г т/п</t>
  </si>
  <si>
    <t>ГРАТЕН ИЗ ПЕЧЕНИ С КАРТОФЕЛЕМ</t>
  </si>
  <si>
    <t>ТТК 5</t>
  </si>
  <si>
    <t>КОМПОТ ИЗ СМЕСИ СУХОФРУКТОВ</t>
  </si>
  <si>
    <t>САЛАТ ИЗ БЕЛОКОЧАННОЙ КАПУСТЫ С ЯБЛОКАМИ</t>
  </si>
  <si>
    <t>46</t>
  </si>
  <si>
    <t>ТОМАТЫ</t>
  </si>
  <si>
    <t>СУП КРЕСТЬЯНСКИЙ С КРУПОЙ</t>
  </si>
  <si>
    <t xml:space="preserve">БИТОЧКИ РЫБНЫЕ </t>
  </si>
  <si>
    <t>РАГУ ИЗ ОВОЩЕЙ</t>
  </si>
  <si>
    <t>сок виноградный</t>
  </si>
  <si>
    <t>ЗАПЕКАНКА ИЗ ТВОРОГА/ПОВИДЛО 150/10</t>
  </si>
  <si>
    <t>ТТК 21</t>
  </si>
  <si>
    <t>кефир</t>
  </si>
  <si>
    <t>БОРЩ С ФАСОЛЬЮ И КАРТОФЕЛЕМ</t>
  </si>
  <si>
    <t>ЖАРКОЕ ПО-ДОМАШНЕМУ</t>
  </si>
  <si>
    <t>хлеб черный</t>
  </si>
  <si>
    <t>КАКАО С МОЛОКОМ</t>
  </si>
  <si>
    <t>печенье</t>
  </si>
  <si>
    <t>кондитерское изделие</t>
  </si>
  <si>
    <t>КОМПОТ ИЗ СВЕЖИХ ПЛОДОВ (1-ЫЙ ВАРИАНТ) ЯБЛОЧНЫЙ</t>
  </si>
  <si>
    <t>342.1</t>
  </si>
  <si>
    <t>томаты</t>
  </si>
  <si>
    <t>ТЕФТЕЛИ РЫБНЫЕ/ СОУС ТОМАТНЫЙ С ОВОЩАМИ  90/15</t>
  </si>
  <si>
    <t>239/ТТК20</t>
  </si>
  <si>
    <t>САЛАТ ИЗ КАПУСТЫ Б/К С МОРКОВЬЮ</t>
  </si>
  <si>
    <t>СУП ИЗ ОВОЩЕЙ С ФРИКАДЕЛЬКАМИ 150/50</t>
  </si>
  <si>
    <t xml:space="preserve">МАКАРОНЫ, ЗАПЕЧЕННЫЕ С ЯЙЦОМ И СЫРОМ </t>
  </si>
  <si>
    <t>ТТК 24</t>
  </si>
  <si>
    <t>сок фруктовый вишневый</t>
  </si>
  <si>
    <t>молоко</t>
  </si>
  <si>
    <t>МЮСЛИ С МОЛОКОМ</t>
  </si>
  <si>
    <t>КОФЕЙНЫЙ НАПИТОК С МОЛОКОМ</t>
  </si>
  <si>
    <t>БУТЕРБРОД С ПОВИДЛОМ И МАСЛОМ</t>
  </si>
  <si>
    <t xml:space="preserve">СУП КАРТОФЕЛЬНЫЙ С БОБОВЫМИ </t>
  </si>
  <si>
    <t>ТЕФТЕЛИ МЯСНЫЕ  110/20</t>
  </si>
  <si>
    <t>КАПУСТА, ТУШЕННАЯ С ЯБЛОКАМИ</t>
  </si>
  <si>
    <t>Кисломолочный напиток кефир</t>
  </si>
  <si>
    <t>апельсин</t>
  </si>
  <si>
    <t>КАРТОФЕЛЬ ЗАПЕЧЕННЫЙ С ОВОЩАМИ И ЯЙЦОМ</t>
  </si>
  <si>
    <t>ТТК 8</t>
  </si>
  <si>
    <t>кисломолочный напиток Снежок</t>
  </si>
  <si>
    <t>морковные палочки</t>
  </si>
  <si>
    <t>ТТК 7</t>
  </si>
  <si>
    <t>КОТЛЕТЫ РУБЛЕННЫЕ ИЗ ЦЫПЛЕНКА</t>
  </si>
  <si>
    <t>котлета</t>
  </si>
  <si>
    <t xml:space="preserve">САЛАТ ВИТАМИННЫЙ </t>
  </si>
  <si>
    <t>РАССОЛЬНИК ЛЕНИНГРАДСКИЙ</t>
  </si>
  <si>
    <t>ЗАПЕКАНКА ИЗ ТВОРОГА / МОЛОКО СГУЩ 160/20</t>
  </si>
  <si>
    <t xml:space="preserve">ТТК 9 </t>
  </si>
  <si>
    <t xml:space="preserve">хлеб пшеничный </t>
  </si>
  <si>
    <t>сок фруктовый виноградный</t>
  </si>
  <si>
    <t>ПАСТА С КУРИЦЕЙ 120/80</t>
  </si>
  <si>
    <t>ТТК 10</t>
  </si>
  <si>
    <t xml:space="preserve">ИКРА МОРКОВНАЯ </t>
  </si>
  <si>
    <t xml:space="preserve">ИКРА СВЕКОЛЬНАЯ </t>
  </si>
  <si>
    <t>СУП-ЛАПША ДОМАШНЯЯ</t>
  </si>
  <si>
    <t>КАША РАССЫПЧАТАЯ ПЕРЛОВАЯ</t>
  </si>
  <si>
    <t>171.3</t>
  </si>
  <si>
    <t>ЧАЙ С САХАРОМ</t>
  </si>
  <si>
    <t>АЗУ</t>
  </si>
  <si>
    <t xml:space="preserve">КАКАО С МОЛОКОМ </t>
  </si>
  <si>
    <t>ХЛЕБ ПШЕНИЧНЫЙ</t>
  </si>
  <si>
    <t>ЯБЛОКИ, ЗАПЕЧЕННЫЕ  ПО-КУБАНСКИ</t>
  </si>
  <si>
    <t>ТТК 12</t>
  </si>
  <si>
    <t>САЛАТ "КУБАНОЧКА"</t>
  </si>
  <si>
    <t>БОРЩ ПО-КУБАНСКИ</t>
  </si>
  <si>
    <t>КОТЛЕТЫ  КУРИНЫЕ "КАЗАЧОК"</t>
  </si>
  <si>
    <t>КАРТОФЕЛЬ  ПО-ХУТОРСКИ</t>
  </si>
  <si>
    <t>ТТК 13</t>
  </si>
  <si>
    <t>ТТК 14</t>
  </si>
  <si>
    <t>ТТК 15</t>
  </si>
  <si>
    <t xml:space="preserve">УЗВАР ИЗ СУХОФРУКТОВ И   ПЛОДОВ ШИПОВНИКА </t>
  </si>
  <si>
    <t>ттк 17</t>
  </si>
  <si>
    <t>КАПУСТА ТУШЕНАЯ</t>
  </si>
  <si>
    <t>СОК ФРУКТОВЫЙ ЯБЛОЧНЫЙ</t>
  </si>
  <si>
    <t>ОВОЩИ НАТУРАЛЬНЫЕ МОРКОВНЫЕ ПАЛОЧКИ</t>
  </si>
  <si>
    <t>КОТЛЕТЫ РЫБНЫЕ ЛЮБИТЕЛЬСКИЕ</t>
  </si>
  <si>
    <t xml:space="preserve">СУП ИЗ ОВОЩЕЙ </t>
  </si>
  <si>
    <t>ЗАПЕКАНКА ИЗ ПЕЧЕНИ  ПО-ЦАРСКИ</t>
  </si>
  <si>
    <t>ТТК 19</t>
  </si>
  <si>
    <t xml:space="preserve">СОУС ТОМАТНЫЙ С ОВОЩАМИ </t>
  </si>
  <si>
    <t>ТТК 20</t>
  </si>
  <si>
    <t>О.В. Колесникова</t>
  </si>
  <si>
    <t>Согласовал директор МБОУСОШ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</si>
</sst>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2" fontId="0" fillId="5" borderId="4" xfId="0" applyNumberFormat="1" applyFill="1" applyBorder="1" applyProtection="1"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2" fontId="0" fillId="5" borderId="5" xfId="0" applyNumberFormat="1" applyFill="1" applyBorder="1" applyProtection="1">
      <protection locked="0"/>
    </xf>
    <xf numFmtId="0" fontId="0" fillId="5" borderId="3" xfId="0" applyFill="1" applyBorder="1" applyAlignment="1" applyProtection="1">
      <alignment horizontal="center"/>
      <protection locked="0"/>
    </xf>
    <xf numFmtId="2" fontId="0" fillId="5" borderId="3" xfId="0" applyNumberFormat="1" applyFill="1" applyBorder="1" applyProtection="1"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" fontId="0" fillId="5" borderId="16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4" fontId="11" fillId="4" borderId="22" xfId="0" applyNumberFormat="1" applyFont="1" applyFill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left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1" fontId="0" fillId="5" borderId="23" xfId="0" applyNumberFormat="1" applyFill="1" applyBorder="1" applyAlignment="1" applyProtection="1">
      <alignment horizontal="center" vertical="center"/>
      <protection locked="0"/>
    </xf>
    <xf numFmtId="0" fontId="11" fillId="4" borderId="22" xfId="0" applyNumberFormat="1" applyFont="1" applyFill="1" applyBorder="1" applyAlignment="1" applyProtection="1">
      <alignment horizontal="center" wrapText="1"/>
      <protection locked="0"/>
    </xf>
    <xf numFmtId="0" fontId="0" fillId="5" borderId="4" xfId="0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158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6" t="s">
        <v>157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150</v>
      </c>
      <c r="G6" s="50">
        <v>6.08</v>
      </c>
      <c r="H6" s="50">
        <f>11.18*150/210</f>
        <v>7.9857142857142858</v>
      </c>
      <c r="I6" s="50">
        <f>33.48*150/210</f>
        <v>23.914285714285711</v>
      </c>
      <c r="J6" s="50">
        <f>260*150/210</f>
        <v>185.71428571428572</v>
      </c>
      <c r="K6" s="51" t="s">
        <v>40</v>
      </c>
      <c r="L6" s="52">
        <v>30</v>
      </c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22</v>
      </c>
      <c r="E8" s="48" t="s">
        <v>41</v>
      </c>
      <c r="F8" s="49">
        <v>180</v>
      </c>
      <c r="G8" s="50">
        <f>1.52*180/200</f>
        <v>1.3680000000000001</v>
      </c>
      <c r="H8" s="50">
        <f>1.35*180/200</f>
        <v>1.2150000000000001</v>
      </c>
      <c r="I8" s="50">
        <v>14.31</v>
      </c>
      <c r="J8" s="50">
        <f>81*180/200</f>
        <v>72.900000000000006</v>
      </c>
      <c r="K8" s="51" t="s">
        <v>40</v>
      </c>
      <c r="L8" s="53">
        <v>10</v>
      </c>
    </row>
    <row r="9" spans="1:12" ht="15" x14ac:dyDescent="0.25">
      <c r="A9" s="23"/>
      <c r="B9" s="15"/>
      <c r="C9" s="11"/>
      <c r="D9" s="7" t="s">
        <v>23</v>
      </c>
      <c r="E9" s="54" t="s">
        <v>42</v>
      </c>
      <c r="F9" s="49">
        <v>20</v>
      </c>
      <c r="G9" s="50">
        <v>1.1200000000000001</v>
      </c>
      <c r="H9" s="50">
        <v>1.1200000000000001</v>
      </c>
      <c r="I9" s="50">
        <v>9.8800000000000008</v>
      </c>
      <c r="J9" s="50">
        <v>45.98</v>
      </c>
      <c r="K9" s="55" t="s">
        <v>43</v>
      </c>
      <c r="L9" s="53">
        <v>2</v>
      </c>
    </row>
    <row r="10" spans="1:12" ht="15" x14ac:dyDescent="0.25">
      <c r="A10" s="23"/>
      <c r="B10" s="15"/>
      <c r="C10" s="11"/>
      <c r="D10" s="7" t="s">
        <v>24</v>
      </c>
      <c r="E10" s="54" t="s">
        <v>46</v>
      </c>
      <c r="F10" s="49">
        <v>100</v>
      </c>
      <c r="G10" s="50">
        <v>0.4</v>
      </c>
      <c r="H10" s="50">
        <v>0.4</v>
      </c>
      <c r="I10" s="50">
        <v>9.8000000000000007</v>
      </c>
      <c r="J10" s="50">
        <v>47</v>
      </c>
      <c r="K10" s="55">
        <v>338</v>
      </c>
      <c r="L10" s="53">
        <v>10</v>
      </c>
    </row>
    <row r="11" spans="1:12" ht="15" x14ac:dyDescent="0.25">
      <c r="A11" s="23"/>
      <c r="B11" s="15"/>
      <c r="C11" s="11"/>
      <c r="D11" s="6" t="s">
        <v>45</v>
      </c>
      <c r="E11" s="48" t="s">
        <v>44</v>
      </c>
      <c r="F11" s="49">
        <v>50</v>
      </c>
      <c r="G11" s="50">
        <v>6.27</v>
      </c>
      <c r="H11" s="50">
        <v>7.86</v>
      </c>
      <c r="I11" s="50">
        <v>14.83</v>
      </c>
      <c r="J11" s="50">
        <v>180</v>
      </c>
      <c r="K11" s="55">
        <v>3</v>
      </c>
      <c r="L11" s="53">
        <v>25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15.238000000000001</v>
      </c>
      <c r="H13" s="19">
        <f t="shared" si="0"/>
        <v>18.580714285714286</v>
      </c>
      <c r="I13" s="19">
        <f t="shared" si="0"/>
        <v>72.734285714285718</v>
      </c>
      <c r="J13" s="19">
        <f t="shared" si="0"/>
        <v>531.59428571428577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47</v>
      </c>
      <c r="F14" s="49">
        <v>60</v>
      </c>
      <c r="G14" s="50">
        <v>1.5</v>
      </c>
      <c r="H14" s="50">
        <v>7.3</v>
      </c>
      <c r="I14" s="50">
        <v>4.5999999999999996</v>
      </c>
      <c r="J14" s="50">
        <v>71.400000000000006</v>
      </c>
      <c r="K14" s="50">
        <f>69.82*0.2</f>
        <v>13.963999999999999</v>
      </c>
      <c r="L14" s="56">
        <v>10</v>
      </c>
    </row>
    <row r="15" spans="1:12" ht="15" x14ac:dyDescent="0.25">
      <c r="A15" s="23"/>
      <c r="B15" s="15"/>
      <c r="C15" s="11"/>
      <c r="D15" s="7" t="s">
        <v>27</v>
      </c>
      <c r="E15" s="48" t="s">
        <v>48</v>
      </c>
      <c r="F15" s="49">
        <v>200</v>
      </c>
      <c r="G15" s="50">
        <f>10.75*0.2</f>
        <v>2.15</v>
      </c>
      <c r="H15" s="50">
        <f>11.35*0.2</f>
        <v>2.27</v>
      </c>
      <c r="I15" s="50">
        <f>69.82*0.2</f>
        <v>13.963999999999999</v>
      </c>
      <c r="J15" s="50">
        <f>473*0.2</f>
        <v>94.600000000000009</v>
      </c>
      <c r="K15" s="51" t="s">
        <v>49</v>
      </c>
      <c r="L15" s="53">
        <v>25</v>
      </c>
    </row>
    <row r="16" spans="1:12" ht="15" x14ac:dyDescent="0.25">
      <c r="A16" s="23"/>
      <c r="B16" s="15"/>
      <c r="C16" s="11"/>
      <c r="D16" s="7" t="s">
        <v>28</v>
      </c>
      <c r="E16" s="48" t="s">
        <v>50</v>
      </c>
      <c r="F16" s="49">
        <v>115</v>
      </c>
      <c r="G16" s="50">
        <v>9.4700000000000006</v>
      </c>
      <c r="H16" s="50">
        <v>8.11</v>
      </c>
      <c r="I16" s="50">
        <v>13.48</v>
      </c>
      <c r="J16" s="50">
        <v>165.31</v>
      </c>
      <c r="K16" s="49">
        <v>234</v>
      </c>
      <c r="L16" s="53">
        <v>42.62</v>
      </c>
    </row>
    <row r="17" spans="1:12" ht="15" x14ac:dyDescent="0.25">
      <c r="A17" s="23"/>
      <c r="B17" s="15"/>
      <c r="C17" s="11"/>
      <c r="D17" s="7" t="s">
        <v>29</v>
      </c>
      <c r="E17" s="48" t="s">
        <v>51</v>
      </c>
      <c r="F17" s="49">
        <v>150</v>
      </c>
      <c r="G17" s="50">
        <f>20.43*0.15</f>
        <v>3.0644999999999998</v>
      </c>
      <c r="H17" s="50">
        <f>32.01*0.15</f>
        <v>4.8014999999999999</v>
      </c>
      <c r="I17" s="50">
        <f>136*0.15</f>
        <v>20.399999999999999</v>
      </c>
      <c r="J17" s="50">
        <f>915*0.15</f>
        <v>137.25</v>
      </c>
      <c r="K17" s="49">
        <v>312</v>
      </c>
      <c r="L17" s="53">
        <v>20</v>
      </c>
    </row>
    <row r="18" spans="1:12" ht="15" x14ac:dyDescent="0.25">
      <c r="A18" s="23"/>
      <c r="B18" s="15"/>
      <c r="C18" s="11"/>
      <c r="D18" s="7" t="s">
        <v>30</v>
      </c>
      <c r="E18" s="48" t="s">
        <v>52</v>
      </c>
      <c r="F18" s="49">
        <v>200</v>
      </c>
      <c r="G18" s="50">
        <f>1.16*0.2</f>
        <v>0.23199999999999998</v>
      </c>
      <c r="H18" s="50">
        <f>0.06*0.2</f>
        <v>1.2E-2</v>
      </c>
      <c r="I18" s="50">
        <f>164.1*0.2</f>
        <v>32.82</v>
      </c>
      <c r="J18" s="50">
        <f>756*0.2</f>
        <v>151.20000000000002</v>
      </c>
      <c r="K18" s="51" t="s">
        <v>53</v>
      </c>
      <c r="L18" s="53">
        <v>10</v>
      </c>
    </row>
    <row r="19" spans="1:12" ht="15" x14ac:dyDescent="0.25">
      <c r="A19" s="23"/>
      <c r="B19" s="15"/>
      <c r="C19" s="11"/>
      <c r="D19" s="7" t="s">
        <v>31</v>
      </c>
      <c r="E19" s="54" t="s">
        <v>54</v>
      </c>
      <c r="F19" s="49">
        <v>40</v>
      </c>
      <c r="G19" s="50">
        <v>3.05</v>
      </c>
      <c r="H19" s="50">
        <v>0.25</v>
      </c>
      <c r="I19" s="50">
        <v>20.07</v>
      </c>
      <c r="J19" s="50">
        <v>94.73</v>
      </c>
      <c r="K19" s="57" t="s">
        <v>43</v>
      </c>
      <c r="L19" s="53">
        <v>4</v>
      </c>
    </row>
    <row r="20" spans="1:12" ht="15" x14ac:dyDescent="0.25">
      <c r="A20" s="23"/>
      <c r="B20" s="15"/>
      <c r="C20" s="11"/>
      <c r="D20" s="7" t="s">
        <v>32</v>
      </c>
      <c r="E20" s="54" t="s">
        <v>42</v>
      </c>
      <c r="F20" s="49">
        <v>40</v>
      </c>
      <c r="G20" s="50">
        <v>2.65</v>
      </c>
      <c r="H20" s="50">
        <v>0.35</v>
      </c>
      <c r="I20" s="50">
        <v>16.96</v>
      </c>
      <c r="J20" s="50">
        <v>0.25</v>
      </c>
      <c r="K20" s="57" t="s">
        <v>43</v>
      </c>
      <c r="L20" s="53">
        <v>4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22.116499999999998</v>
      </c>
      <c r="H23" s="19">
        <f t="shared" si="2"/>
        <v>23.093500000000002</v>
      </c>
      <c r="I23" s="19">
        <f t="shared" si="2"/>
        <v>122.29400000000001</v>
      </c>
      <c r="J23" s="19">
        <f t="shared" si="2"/>
        <v>714.74</v>
      </c>
      <c r="K23" s="25"/>
      <c r="L23" s="19">
        <f t="shared" ref="L23" si="3">SUM(L14:L22)</f>
        <v>115.62</v>
      </c>
    </row>
    <row r="24" spans="1:12" ht="15" x14ac:dyDescent="0.2">
      <c r="A24" s="29">
        <f>A6</f>
        <v>1</v>
      </c>
      <c r="B24" s="30">
        <f>B6</f>
        <v>1</v>
      </c>
      <c r="C24" s="87" t="s">
        <v>4</v>
      </c>
      <c r="D24" s="88"/>
      <c r="E24" s="31"/>
      <c r="F24" s="32">
        <f>F13+F23</f>
        <v>1305</v>
      </c>
      <c r="G24" s="32">
        <f t="shared" ref="G24:J24" si="4">G13+G23</f>
        <v>37.354500000000002</v>
      </c>
      <c r="H24" s="32">
        <f t="shared" si="4"/>
        <v>41.674214285714285</v>
      </c>
      <c r="I24" s="32">
        <f t="shared" si="4"/>
        <v>195.02828571428574</v>
      </c>
      <c r="J24" s="32">
        <f t="shared" si="4"/>
        <v>1246.3342857142857</v>
      </c>
      <c r="K24" s="32"/>
      <c r="L24" s="32">
        <f t="shared" ref="L24" si="5">L13+L23</f>
        <v>192.62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55</v>
      </c>
      <c r="F25" s="49">
        <v>150</v>
      </c>
      <c r="G25" s="50">
        <v>3.8</v>
      </c>
      <c r="H25" s="50">
        <v>4.3</v>
      </c>
      <c r="I25" s="50">
        <v>27.6</v>
      </c>
      <c r="J25" s="50">
        <v>142.5</v>
      </c>
      <c r="K25" s="51" t="s">
        <v>56</v>
      </c>
      <c r="L25" s="52">
        <v>18</v>
      </c>
    </row>
    <row r="26" spans="1:12" ht="15" x14ac:dyDescent="0.25">
      <c r="A26" s="14"/>
      <c r="B26" s="15"/>
      <c r="C26" s="11"/>
      <c r="D26" s="6"/>
      <c r="E26" s="48" t="s">
        <v>60</v>
      </c>
      <c r="F26" s="49">
        <v>95</v>
      </c>
      <c r="G26" s="50">
        <f>4.59*95/46</f>
        <v>9.4793478260869559</v>
      </c>
      <c r="H26" s="50">
        <f>7.68*95/46</f>
        <v>15.860869565217392</v>
      </c>
      <c r="I26" s="50">
        <f>4.21*95/46</f>
        <v>8.6945652173913039</v>
      </c>
      <c r="J26" s="50">
        <f>105*95/46</f>
        <v>216.84782608695653</v>
      </c>
      <c r="K26" s="51" t="s">
        <v>61</v>
      </c>
      <c r="L26" s="53">
        <v>42</v>
      </c>
    </row>
    <row r="27" spans="1:12" ht="15" x14ac:dyDescent="0.25">
      <c r="A27" s="14"/>
      <c r="B27" s="15"/>
      <c r="C27" s="11"/>
      <c r="D27" s="7" t="s">
        <v>22</v>
      </c>
      <c r="E27" s="48" t="s">
        <v>57</v>
      </c>
      <c r="F27" s="49">
        <v>200</v>
      </c>
      <c r="G27" s="50">
        <v>1</v>
      </c>
      <c r="H27" s="50">
        <v>0</v>
      </c>
      <c r="I27" s="50">
        <v>20.2</v>
      </c>
      <c r="J27" s="50">
        <v>84.8</v>
      </c>
      <c r="K27" s="51" t="s">
        <v>58</v>
      </c>
      <c r="L27" s="53">
        <v>10</v>
      </c>
    </row>
    <row r="28" spans="1:12" ht="15" x14ac:dyDescent="0.25">
      <c r="A28" s="14"/>
      <c r="B28" s="15"/>
      <c r="C28" s="11"/>
      <c r="D28" s="7" t="s">
        <v>23</v>
      </c>
      <c r="E28" s="54" t="s">
        <v>59</v>
      </c>
      <c r="F28" s="58">
        <v>40</v>
      </c>
      <c r="G28" s="58">
        <v>2.65</v>
      </c>
      <c r="H28" s="59">
        <v>0.34</v>
      </c>
      <c r="I28" s="50">
        <v>20.2</v>
      </c>
      <c r="J28" s="58">
        <v>93.34</v>
      </c>
      <c r="K28" s="57" t="s">
        <v>43</v>
      </c>
      <c r="L28" s="53">
        <v>4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 t="s">
        <v>26</v>
      </c>
      <c r="E30" s="54" t="s">
        <v>62</v>
      </c>
      <c r="F30" s="49">
        <v>60</v>
      </c>
      <c r="G30" s="50">
        <f>0.35*60/50</f>
        <v>0.42</v>
      </c>
      <c r="H30" s="50">
        <f>0.05*60/50</f>
        <v>0.06</v>
      </c>
      <c r="I30" s="50">
        <f>0.95*60/50</f>
        <v>1.1399999999999999</v>
      </c>
      <c r="J30" s="50">
        <f>6*60/50</f>
        <v>7.2</v>
      </c>
      <c r="K30" s="51" t="s">
        <v>63</v>
      </c>
      <c r="L30" s="53">
        <v>10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17.349347826086955</v>
      </c>
      <c r="H32" s="19">
        <f t="shared" ref="H32" si="7">SUM(H25:H31)</f>
        <v>20.560869565217391</v>
      </c>
      <c r="I32" s="19">
        <f t="shared" ref="I32" si="8">SUM(I25:I31)</f>
        <v>77.834565217391315</v>
      </c>
      <c r="J32" s="19">
        <f t="shared" ref="J32:L32" si="9">SUM(J25:J31)</f>
        <v>544.68782608695653</v>
      </c>
      <c r="K32" s="25"/>
      <c r="L32" s="19">
        <f t="shared" si="9"/>
        <v>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64</v>
      </c>
      <c r="F33" s="49">
        <v>60</v>
      </c>
      <c r="G33" s="50">
        <v>0.9</v>
      </c>
      <c r="H33" s="50">
        <v>4.7</v>
      </c>
      <c r="I33" s="50">
        <v>11.4</v>
      </c>
      <c r="J33" s="50">
        <v>74.5</v>
      </c>
      <c r="K33" s="51" t="s">
        <v>56</v>
      </c>
      <c r="L33" s="56">
        <v>10</v>
      </c>
    </row>
    <row r="34" spans="1:12" ht="15" x14ac:dyDescent="0.25">
      <c r="A34" s="14"/>
      <c r="B34" s="15"/>
      <c r="C34" s="11"/>
      <c r="D34" s="7" t="s">
        <v>27</v>
      </c>
      <c r="E34" s="48" t="s">
        <v>65</v>
      </c>
      <c r="F34" s="49">
        <v>200</v>
      </c>
      <c r="G34" s="50">
        <f>7.02*0.2</f>
        <v>1.4039999999999999</v>
      </c>
      <c r="H34" s="50">
        <f>19.54*0.2</f>
        <v>3.9079999999999999</v>
      </c>
      <c r="I34" s="50">
        <f>23.6*0.2</f>
        <v>4.7200000000000006</v>
      </c>
      <c r="J34" s="50">
        <f>320*0.2</f>
        <v>64</v>
      </c>
      <c r="K34" s="51" t="s">
        <v>66</v>
      </c>
      <c r="L34" s="53">
        <v>20</v>
      </c>
    </row>
    <row r="35" spans="1:12" ht="15" x14ac:dyDescent="0.25">
      <c r="A35" s="14"/>
      <c r="B35" s="15"/>
      <c r="C35" s="11"/>
      <c r="D35" s="7" t="s">
        <v>28</v>
      </c>
      <c r="E35" s="48" t="s">
        <v>67</v>
      </c>
      <c r="F35" s="49">
        <v>150</v>
      </c>
      <c r="G35" s="50">
        <v>13.91</v>
      </c>
      <c r="H35" s="50">
        <v>8.0500000000000007</v>
      </c>
      <c r="I35" s="50">
        <v>27.34</v>
      </c>
      <c r="J35" s="50">
        <v>237</v>
      </c>
      <c r="K35" s="51" t="s">
        <v>68</v>
      </c>
      <c r="L35" s="53">
        <v>39.619999999999997</v>
      </c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48" t="s">
        <v>73</v>
      </c>
      <c r="F37" s="49">
        <v>180</v>
      </c>
      <c r="G37" s="50">
        <v>5.22</v>
      </c>
      <c r="H37" s="50">
        <v>4.5</v>
      </c>
      <c r="I37" s="50">
        <v>7.2</v>
      </c>
      <c r="J37" s="50">
        <v>95.4</v>
      </c>
      <c r="K37" s="55" t="s">
        <v>43</v>
      </c>
      <c r="L37" s="53">
        <v>10</v>
      </c>
    </row>
    <row r="38" spans="1:12" ht="15" x14ac:dyDescent="0.25">
      <c r="A38" s="14"/>
      <c r="B38" s="15"/>
      <c r="C38" s="11"/>
      <c r="D38" s="7" t="s">
        <v>31</v>
      </c>
      <c r="E38" s="54" t="s">
        <v>71</v>
      </c>
      <c r="F38" s="49">
        <v>30</v>
      </c>
      <c r="G38" s="50">
        <v>2.2999999999999998</v>
      </c>
      <c r="H38" s="50">
        <v>0.19</v>
      </c>
      <c r="I38" s="50">
        <v>15.05</v>
      </c>
      <c r="J38" s="50">
        <v>71.05</v>
      </c>
      <c r="K38" s="55" t="s">
        <v>43</v>
      </c>
      <c r="L38" s="53">
        <v>3</v>
      </c>
    </row>
    <row r="39" spans="1:12" ht="15" x14ac:dyDescent="0.25">
      <c r="A39" s="14"/>
      <c r="B39" s="15"/>
      <c r="C39" s="11"/>
      <c r="D39" s="7" t="s">
        <v>32</v>
      </c>
      <c r="E39" s="54" t="s">
        <v>72</v>
      </c>
      <c r="F39" s="49">
        <v>30</v>
      </c>
      <c r="G39" s="50">
        <v>1.99</v>
      </c>
      <c r="H39" s="50">
        <v>0.26</v>
      </c>
      <c r="I39" s="50">
        <v>12.72</v>
      </c>
      <c r="J39" s="50">
        <v>61.19</v>
      </c>
      <c r="K39" s="55" t="s">
        <v>43</v>
      </c>
      <c r="L39" s="53">
        <v>3</v>
      </c>
    </row>
    <row r="40" spans="1:12" ht="15" x14ac:dyDescent="0.25">
      <c r="A40" s="14"/>
      <c r="B40" s="15"/>
      <c r="C40" s="11"/>
      <c r="D40" s="6" t="s">
        <v>24</v>
      </c>
      <c r="E40" s="48" t="s">
        <v>69</v>
      </c>
      <c r="F40" s="49">
        <v>150</v>
      </c>
      <c r="G40" s="50">
        <v>1.35</v>
      </c>
      <c r="H40" s="50">
        <v>0.3</v>
      </c>
      <c r="I40" s="50">
        <v>12.15</v>
      </c>
      <c r="J40" s="50">
        <v>64.5</v>
      </c>
      <c r="K40" s="51" t="s">
        <v>70</v>
      </c>
      <c r="L40" s="60">
        <v>15</v>
      </c>
    </row>
    <row r="41" spans="1:12" ht="15.75" thickBot="1" x14ac:dyDescent="0.3">
      <c r="A41" s="14"/>
      <c r="B41" s="15"/>
      <c r="C41" s="11"/>
      <c r="D41" s="6"/>
      <c r="E41" s="48" t="s">
        <v>74</v>
      </c>
      <c r="F41" s="49">
        <v>200</v>
      </c>
      <c r="G41" s="50">
        <v>5.8</v>
      </c>
      <c r="H41" s="50">
        <v>5</v>
      </c>
      <c r="I41" s="50">
        <v>9.6</v>
      </c>
      <c r="J41" s="50">
        <v>107</v>
      </c>
      <c r="K41" s="61" t="s">
        <v>43</v>
      </c>
      <c r="L41" s="62">
        <v>20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1000</v>
      </c>
      <c r="G42" s="19">
        <f t="shared" ref="G42" si="10">SUM(G33:G41)</f>
        <v>32.873999999999995</v>
      </c>
      <c r="H42" s="19">
        <f t="shared" ref="H42" si="11">SUM(H33:H41)</f>
        <v>26.908000000000005</v>
      </c>
      <c r="I42" s="19">
        <f t="shared" ref="I42" si="12">SUM(I33:I41)</f>
        <v>100.18</v>
      </c>
      <c r="J42" s="19">
        <f t="shared" ref="J42:L42" si="13">SUM(J33:J41)</f>
        <v>774.63999999999987</v>
      </c>
      <c r="K42" s="25"/>
      <c r="L42" s="19">
        <f t="shared" si="13"/>
        <v>120.62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7" t="s">
        <v>4</v>
      </c>
      <c r="D43" s="88"/>
      <c r="E43" s="31"/>
      <c r="F43" s="32">
        <f>F32+F42</f>
        <v>1545</v>
      </c>
      <c r="G43" s="32">
        <f t="shared" ref="G43" si="14">G32+G42</f>
        <v>50.22334782608695</v>
      </c>
      <c r="H43" s="32">
        <f t="shared" ref="H43" si="15">H32+H42</f>
        <v>47.468869565217396</v>
      </c>
      <c r="I43" s="32">
        <f t="shared" ref="I43" si="16">I32+I42</f>
        <v>178.01456521739132</v>
      </c>
      <c r="J43" s="32">
        <f t="shared" ref="J43:L43" si="17">J32+J42</f>
        <v>1319.3278260869565</v>
      </c>
      <c r="K43" s="32"/>
      <c r="L43" s="32">
        <f t="shared" si="17"/>
        <v>204.62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75</v>
      </c>
      <c r="F44" s="49">
        <v>200</v>
      </c>
      <c r="G44" s="50">
        <v>15.2</v>
      </c>
      <c r="H44" s="50">
        <v>16.100000000000001</v>
      </c>
      <c r="I44" s="50">
        <v>23.3</v>
      </c>
      <c r="J44" s="50">
        <v>307.39999999999998</v>
      </c>
      <c r="K44" s="51" t="s">
        <v>76</v>
      </c>
      <c r="L44" s="52">
        <v>48</v>
      </c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22</v>
      </c>
      <c r="E46" s="48" t="s">
        <v>77</v>
      </c>
      <c r="F46" s="49">
        <v>200</v>
      </c>
      <c r="G46" s="50">
        <v>0.59</v>
      </c>
      <c r="H46" s="50">
        <f>0.45*0.18</f>
        <v>8.1000000000000003E-2</v>
      </c>
      <c r="I46" s="50">
        <v>28.92</v>
      </c>
      <c r="J46" s="50">
        <v>119.52</v>
      </c>
      <c r="K46" s="57">
        <v>349</v>
      </c>
      <c r="L46" s="53">
        <v>10</v>
      </c>
    </row>
    <row r="47" spans="1:12" ht="15" x14ac:dyDescent="0.25">
      <c r="A47" s="23"/>
      <c r="B47" s="15"/>
      <c r="C47" s="11"/>
      <c r="D47" s="7" t="s">
        <v>23</v>
      </c>
      <c r="E47" s="54" t="s">
        <v>59</v>
      </c>
      <c r="F47" s="59">
        <v>40</v>
      </c>
      <c r="G47" s="59">
        <v>2.65</v>
      </c>
      <c r="H47" s="59">
        <v>0.34</v>
      </c>
      <c r="I47" s="63">
        <v>19.920000000000002</v>
      </c>
      <c r="J47" s="59">
        <v>93.34</v>
      </c>
      <c r="K47" s="57" t="s">
        <v>43</v>
      </c>
      <c r="L47" s="53">
        <v>4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 t="s">
        <v>26</v>
      </c>
      <c r="E49" s="48" t="s">
        <v>78</v>
      </c>
      <c r="F49" s="49">
        <v>60</v>
      </c>
      <c r="G49" s="50">
        <f>1.22*0.06</f>
        <v>7.3200000000000001E-2</v>
      </c>
      <c r="H49" s="50">
        <f>51.04*0.06</f>
        <v>3.0623999999999998</v>
      </c>
      <c r="I49" s="50">
        <f>111.65*0.06</f>
        <v>6.6989999999999998</v>
      </c>
      <c r="J49" s="50">
        <f>901*0.06</f>
        <v>54.059999999999995</v>
      </c>
      <c r="K49" s="51" t="s">
        <v>79</v>
      </c>
      <c r="L49" s="53">
        <v>10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18.513199999999998</v>
      </c>
      <c r="H51" s="19">
        <f t="shared" ref="H51" si="19">SUM(H44:H50)</f>
        <v>19.583400000000001</v>
      </c>
      <c r="I51" s="19">
        <f t="shared" ref="I51" si="20">SUM(I44:I50)</f>
        <v>78.838999999999999</v>
      </c>
      <c r="J51" s="19">
        <f t="shared" ref="J51:L51" si="21">SUM(J44:J50)</f>
        <v>574.31999999999994</v>
      </c>
      <c r="K51" s="25"/>
      <c r="L51" s="19">
        <f t="shared" si="21"/>
        <v>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 t="s">
        <v>80</v>
      </c>
      <c r="F52" s="49">
        <v>60</v>
      </c>
      <c r="G52" s="50">
        <v>0.67</v>
      </c>
      <c r="H52" s="50">
        <v>0.12</v>
      </c>
      <c r="I52" s="50">
        <v>2.2799999999999998</v>
      </c>
      <c r="J52" s="50">
        <v>13.2</v>
      </c>
      <c r="K52" s="64">
        <v>71</v>
      </c>
      <c r="L52" s="56">
        <v>10</v>
      </c>
    </row>
    <row r="53" spans="1:12" ht="15" x14ac:dyDescent="0.25">
      <c r="A53" s="23"/>
      <c r="B53" s="15"/>
      <c r="C53" s="11"/>
      <c r="D53" s="7" t="s">
        <v>27</v>
      </c>
      <c r="E53" s="48" t="s">
        <v>81</v>
      </c>
      <c r="F53" s="49">
        <v>200</v>
      </c>
      <c r="G53" s="50">
        <f>5.93*0.2</f>
        <v>1.1859999999999999</v>
      </c>
      <c r="H53" s="50">
        <f>19.67*0.2</f>
        <v>3.9340000000000006</v>
      </c>
      <c r="I53" s="50">
        <f>44.36*0.2</f>
        <v>8.8719999999999999</v>
      </c>
      <c r="J53" s="50">
        <f>305*0.2</f>
        <v>61</v>
      </c>
      <c r="K53" s="57">
        <v>98</v>
      </c>
      <c r="L53" s="53">
        <v>20</v>
      </c>
    </row>
    <row r="54" spans="1:12" ht="15" x14ac:dyDescent="0.25">
      <c r="A54" s="23"/>
      <c r="B54" s="15"/>
      <c r="C54" s="11"/>
      <c r="D54" s="7" t="s">
        <v>28</v>
      </c>
      <c r="E54" s="48" t="s">
        <v>82</v>
      </c>
      <c r="F54" s="49">
        <v>90</v>
      </c>
      <c r="G54" s="50">
        <f>6.94*90/55</f>
        <v>11.356363636363637</v>
      </c>
      <c r="H54" s="50">
        <f>7.51*90/55</f>
        <v>12.289090909090909</v>
      </c>
      <c r="I54" s="50">
        <f>7.41*90/55</f>
        <v>12.125454545454545</v>
      </c>
      <c r="J54" s="50">
        <f>122*90/55</f>
        <v>199.63636363636363</v>
      </c>
      <c r="K54" s="57">
        <v>234</v>
      </c>
      <c r="L54" s="53">
        <v>42.62</v>
      </c>
    </row>
    <row r="55" spans="1:12" ht="15" x14ac:dyDescent="0.25">
      <c r="A55" s="23"/>
      <c r="B55" s="15"/>
      <c r="C55" s="11"/>
      <c r="D55" s="7" t="s">
        <v>29</v>
      </c>
      <c r="E55" s="48" t="s">
        <v>83</v>
      </c>
      <c r="F55" s="50">
        <v>150</v>
      </c>
      <c r="G55" s="50">
        <f>2.77*150/105</f>
        <v>3.9571428571428573</v>
      </c>
      <c r="H55" s="50">
        <f>6.99*150/105</f>
        <v>9.9857142857142858</v>
      </c>
      <c r="I55" s="50">
        <f>11.6*150/105</f>
        <v>16.571428571428573</v>
      </c>
      <c r="J55" s="50">
        <f>142*150/105</f>
        <v>202.85714285714286</v>
      </c>
      <c r="K55" s="49">
        <v>150</v>
      </c>
      <c r="L55" s="53">
        <v>20</v>
      </c>
    </row>
    <row r="56" spans="1:12" ht="15" x14ac:dyDescent="0.25">
      <c r="A56" s="23"/>
      <c r="B56" s="15"/>
      <c r="C56" s="11"/>
      <c r="D56" s="7" t="s">
        <v>30</v>
      </c>
      <c r="E56" s="54" t="s">
        <v>84</v>
      </c>
      <c r="F56" s="49">
        <v>200</v>
      </c>
      <c r="G56" s="50">
        <v>0.6</v>
      </c>
      <c r="H56" s="50">
        <v>0.4</v>
      </c>
      <c r="I56" s="50">
        <v>32.6</v>
      </c>
      <c r="J56" s="50">
        <f>682*0.2</f>
        <v>136.4</v>
      </c>
      <c r="K56" s="57" t="s">
        <v>43</v>
      </c>
      <c r="L56" s="53">
        <v>10</v>
      </c>
    </row>
    <row r="57" spans="1:12" ht="15" x14ac:dyDescent="0.25">
      <c r="A57" s="23"/>
      <c r="B57" s="15"/>
      <c r="C57" s="11"/>
      <c r="D57" s="7" t="s">
        <v>31</v>
      </c>
      <c r="E57" s="54" t="s">
        <v>54</v>
      </c>
      <c r="F57" s="49">
        <v>40</v>
      </c>
      <c r="G57" s="50">
        <v>3.05</v>
      </c>
      <c r="H57" s="50">
        <v>0.25</v>
      </c>
      <c r="I57" s="50">
        <v>20.07</v>
      </c>
      <c r="J57" s="50">
        <v>94.73</v>
      </c>
      <c r="K57" s="57" t="s">
        <v>43</v>
      </c>
      <c r="L57" s="53">
        <v>4</v>
      </c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 t="s">
        <v>24</v>
      </c>
      <c r="E59" s="65" t="s">
        <v>46</v>
      </c>
      <c r="F59" s="49">
        <v>100</v>
      </c>
      <c r="G59" s="50">
        <v>0.4</v>
      </c>
      <c r="H59" s="50">
        <v>0.4</v>
      </c>
      <c r="I59" s="50">
        <v>9.8000000000000007</v>
      </c>
      <c r="J59" s="50">
        <v>47</v>
      </c>
      <c r="K59" s="66">
        <v>338</v>
      </c>
      <c r="L59" s="60">
        <v>10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21.219506493506497</v>
      </c>
      <c r="H61" s="19">
        <f t="shared" ref="H61" si="23">SUM(H52:H60)</f>
        <v>27.378805194805196</v>
      </c>
      <c r="I61" s="19">
        <f t="shared" ref="I61" si="24">SUM(I52:I60)</f>
        <v>102.3188831168831</v>
      </c>
      <c r="J61" s="19">
        <f t="shared" ref="J61:L61" si="25">SUM(J52:J60)</f>
        <v>754.82350649350644</v>
      </c>
      <c r="K61" s="25"/>
      <c r="L61" s="19">
        <f t="shared" si="25"/>
        <v>116.62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7" t="s">
        <v>4</v>
      </c>
      <c r="D62" s="88"/>
      <c r="E62" s="31"/>
      <c r="F62" s="32">
        <f>F51+F61</f>
        <v>1340</v>
      </c>
      <c r="G62" s="32">
        <f t="shared" ref="G62" si="26">G51+G61</f>
        <v>39.732706493506498</v>
      </c>
      <c r="H62" s="32">
        <f t="shared" ref="H62" si="27">H51+H61</f>
        <v>46.962205194805193</v>
      </c>
      <c r="I62" s="32">
        <f t="shared" ref="I62" si="28">I51+I61</f>
        <v>181.15788311688311</v>
      </c>
      <c r="J62" s="32">
        <f t="shared" ref="J62:L62" si="29">J51+J61</f>
        <v>1329.1435064935063</v>
      </c>
      <c r="K62" s="32"/>
      <c r="L62" s="32">
        <f t="shared" si="29"/>
        <v>188.62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85</v>
      </c>
      <c r="F63" s="49">
        <v>160</v>
      </c>
      <c r="G63" s="50">
        <v>10.76</v>
      </c>
      <c r="H63" s="50">
        <v>14.48</v>
      </c>
      <c r="I63" s="50">
        <v>29.7</v>
      </c>
      <c r="J63" s="50">
        <f>138*150/80</f>
        <v>258.75</v>
      </c>
      <c r="K63" s="67" t="s">
        <v>86</v>
      </c>
      <c r="L63" s="52">
        <v>55</v>
      </c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22</v>
      </c>
      <c r="E65" s="54" t="s">
        <v>87</v>
      </c>
      <c r="F65" s="49">
        <v>180</v>
      </c>
      <c r="G65" s="50">
        <v>5.8</v>
      </c>
      <c r="H65" s="50">
        <v>5</v>
      </c>
      <c r="I65" s="50">
        <v>8</v>
      </c>
      <c r="J65" s="50">
        <v>106</v>
      </c>
      <c r="K65" s="57">
        <v>386</v>
      </c>
      <c r="L65" s="53">
        <v>10</v>
      </c>
    </row>
    <row r="66" spans="1:12" ht="15" x14ac:dyDescent="0.25">
      <c r="A66" s="23"/>
      <c r="B66" s="15"/>
      <c r="C66" s="11"/>
      <c r="D66" s="7" t="s">
        <v>23</v>
      </c>
      <c r="E66" s="54" t="s">
        <v>59</v>
      </c>
      <c r="F66" s="50">
        <v>50</v>
      </c>
      <c r="G66" s="58">
        <v>3.42</v>
      </c>
      <c r="H66" s="58">
        <v>0.41</v>
      </c>
      <c r="I66" s="68">
        <v>24.93</v>
      </c>
      <c r="J66" s="58">
        <v>117.03</v>
      </c>
      <c r="K66" s="57" t="s">
        <v>43</v>
      </c>
      <c r="L66" s="53">
        <v>12</v>
      </c>
    </row>
    <row r="67" spans="1:12" ht="15" x14ac:dyDescent="0.25">
      <c r="A67" s="23"/>
      <c r="B67" s="15"/>
      <c r="C67" s="11"/>
      <c r="D67" s="7" t="s">
        <v>24</v>
      </c>
      <c r="E67" s="54" t="s">
        <v>46</v>
      </c>
      <c r="F67" s="50">
        <v>120</v>
      </c>
      <c r="G67" s="50">
        <f>0.4*120/100</f>
        <v>0.48</v>
      </c>
      <c r="H67" s="50">
        <v>0.48</v>
      </c>
      <c r="I67" s="50">
        <v>9.8000000000000007</v>
      </c>
      <c r="J67" s="50">
        <v>47</v>
      </c>
      <c r="K67" s="57">
        <v>338</v>
      </c>
      <c r="L67" s="53">
        <v>10</v>
      </c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20.459999999999997</v>
      </c>
      <c r="H70" s="19">
        <f t="shared" ref="H70" si="31">SUM(H63:H69)</f>
        <v>20.37</v>
      </c>
      <c r="I70" s="19">
        <f t="shared" ref="I70" si="32">SUM(I63:I69)</f>
        <v>72.430000000000007</v>
      </c>
      <c r="J70" s="19">
        <f t="shared" ref="J70:L70" si="33">SUM(J63:J69)</f>
        <v>528.78</v>
      </c>
      <c r="K70" s="25"/>
      <c r="L70" s="19">
        <f t="shared" si="33"/>
        <v>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9" t="s">
        <v>62</v>
      </c>
      <c r="F71" s="70">
        <v>60</v>
      </c>
      <c r="G71" s="50">
        <v>0.4</v>
      </c>
      <c r="H71" s="50">
        <v>0.1</v>
      </c>
      <c r="I71" s="50">
        <v>1</v>
      </c>
      <c r="J71" s="50">
        <v>6</v>
      </c>
      <c r="K71" s="71">
        <v>71</v>
      </c>
      <c r="L71" s="56">
        <v>10</v>
      </c>
    </row>
    <row r="72" spans="1:12" ht="15" x14ac:dyDescent="0.25">
      <c r="A72" s="23"/>
      <c r="B72" s="15"/>
      <c r="C72" s="11"/>
      <c r="D72" s="7" t="s">
        <v>27</v>
      </c>
      <c r="E72" s="48" t="s">
        <v>88</v>
      </c>
      <c r="F72" s="49">
        <v>200</v>
      </c>
      <c r="G72" s="50">
        <v>3</v>
      </c>
      <c r="H72" s="50">
        <v>4.7</v>
      </c>
      <c r="I72" s="50">
        <v>12.9</v>
      </c>
      <c r="J72" s="50">
        <v>107.3</v>
      </c>
      <c r="K72" s="55">
        <v>84</v>
      </c>
      <c r="L72" s="53">
        <v>20</v>
      </c>
    </row>
    <row r="73" spans="1:12" ht="15" x14ac:dyDescent="0.25">
      <c r="A73" s="23"/>
      <c r="B73" s="15"/>
      <c r="C73" s="11"/>
      <c r="D73" s="7" t="s">
        <v>28</v>
      </c>
      <c r="E73" s="48" t="s">
        <v>89</v>
      </c>
      <c r="F73" s="49">
        <v>170</v>
      </c>
      <c r="G73" s="50">
        <f>12.3*170/175</f>
        <v>11.948571428571428</v>
      </c>
      <c r="H73" s="50">
        <f>23.5*170/175</f>
        <v>22.828571428571429</v>
      </c>
      <c r="I73" s="50">
        <f>16.58*170/175</f>
        <v>16.106285714285715</v>
      </c>
      <c r="J73" s="50">
        <f>323*170/175</f>
        <v>313.77142857142854</v>
      </c>
      <c r="K73" s="55">
        <v>259</v>
      </c>
      <c r="L73" s="53">
        <v>55.62</v>
      </c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54" t="s">
        <v>54</v>
      </c>
      <c r="F76" s="58">
        <v>40</v>
      </c>
      <c r="G76" s="50">
        <v>3.05</v>
      </c>
      <c r="H76" s="50">
        <v>0.25</v>
      </c>
      <c r="I76" s="50">
        <v>20.07</v>
      </c>
      <c r="J76" s="50">
        <v>94.73</v>
      </c>
      <c r="K76" s="57" t="s">
        <v>43</v>
      </c>
      <c r="L76" s="53">
        <v>4</v>
      </c>
    </row>
    <row r="77" spans="1:12" ht="15" x14ac:dyDescent="0.25">
      <c r="A77" s="23"/>
      <c r="B77" s="15"/>
      <c r="C77" s="11"/>
      <c r="D77" s="7" t="s">
        <v>32</v>
      </c>
      <c r="E77" s="54" t="s">
        <v>90</v>
      </c>
      <c r="F77" s="58">
        <v>20</v>
      </c>
      <c r="G77" s="50">
        <v>1.1200000000000001</v>
      </c>
      <c r="H77" s="50">
        <v>0.22</v>
      </c>
      <c r="I77" s="50">
        <v>9.8800000000000008</v>
      </c>
      <c r="J77" s="59">
        <v>45.98</v>
      </c>
      <c r="K77" s="57" t="s">
        <v>43</v>
      </c>
      <c r="L77" s="53">
        <v>2</v>
      </c>
    </row>
    <row r="78" spans="1:12" ht="15" x14ac:dyDescent="0.25">
      <c r="A78" s="23"/>
      <c r="B78" s="15"/>
      <c r="C78" s="11"/>
      <c r="D78" s="6" t="s">
        <v>30</v>
      </c>
      <c r="E78" s="48" t="s">
        <v>91</v>
      </c>
      <c r="F78" s="49">
        <v>180</v>
      </c>
      <c r="G78" s="50">
        <v>2.65</v>
      </c>
      <c r="H78" s="50">
        <v>3.19</v>
      </c>
      <c r="I78" s="50">
        <v>15.82</v>
      </c>
      <c r="J78" s="50">
        <v>106.74</v>
      </c>
      <c r="K78" s="55">
        <v>382</v>
      </c>
      <c r="L78" s="53">
        <v>10</v>
      </c>
    </row>
    <row r="79" spans="1:12" ht="15" x14ac:dyDescent="0.25">
      <c r="A79" s="23"/>
      <c r="B79" s="15"/>
      <c r="C79" s="11"/>
      <c r="D79" s="6" t="s">
        <v>93</v>
      </c>
      <c r="E79" s="65" t="s">
        <v>92</v>
      </c>
      <c r="F79" s="49">
        <v>30</v>
      </c>
      <c r="G79" s="50">
        <v>2</v>
      </c>
      <c r="H79" s="50">
        <v>3</v>
      </c>
      <c r="I79" s="50">
        <v>22</v>
      </c>
      <c r="J79" s="50">
        <v>125.1</v>
      </c>
      <c r="K79" s="66" t="s">
        <v>43</v>
      </c>
      <c r="L79" s="60">
        <v>6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24.168571428571429</v>
      </c>
      <c r="H80" s="19">
        <f t="shared" ref="H80" si="35">SUM(H71:H79)</f>
        <v>34.28857142857143</v>
      </c>
      <c r="I80" s="19">
        <f t="shared" ref="I80" si="36">SUM(I71:I79)</f>
        <v>97.77628571428572</v>
      </c>
      <c r="J80" s="19">
        <f t="shared" ref="J80:L80" si="37">SUM(J71:J79)</f>
        <v>799.62142857142862</v>
      </c>
      <c r="K80" s="25"/>
      <c r="L80" s="19">
        <f t="shared" si="37"/>
        <v>107.62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7" t="s">
        <v>4</v>
      </c>
      <c r="D81" s="88"/>
      <c r="E81" s="31"/>
      <c r="F81" s="32">
        <f>F70+F80</f>
        <v>1210</v>
      </c>
      <c r="G81" s="32">
        <f t="shared" ref="G81" si="38">G70+G80</f>
        <v>44.628571428571426</v>
      </c>
      <c r="H81" s="32">
        <f t="shared" ref="H81" si="39">H70+H80</f>
        <v>54.658571428571435</v>
      </c>
      <c r="I81" s="32">
        <f t="shared" ref="I81" si="40">I70+I80</f>
        <v>170.20628571428574</v>
      </c>
      <c r="J81" s="32">
        <f t="shared" ref="J81:L81" si="41">J70+J80</f>
        <v>1328.4014285714286</v>
      </c>
      <c r="K81" s="32"/>
      <c r="L81" s="32">
        <f t="shared" si="41"/>
        <v>194.62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51</v>
      </c>
      <c r="F82" s="49">
        <v>150</v>
      </c>
      <c r="G82" s="50">
        <f>20.43*0.15</f>
        <v>3.0644999999999998</v>
      </c>
      <c r="H82" s="50">
        <f>32.01*0.15</f>
        <v>4.8014999999999999</v>
      </c>
      <c r="I82" s="50">
        <f>136*0.15</f>
        <v>20.399999999999999</v>
      </c>
      <c r="J82" s="50">
        <f>915*0.15</f>
        <v>137.25</v>
      </c>
      <c r="K82" s="67">
        <v>312</v>
      </c>
      <c r="L82" s="52">
        <v>20</v>
      </c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25.5" x14ac:dyDescent="0.25">
      <c r="A84" s="23"/>
      <c r="B84" s="15"/>
      <c r="C84" s="11"/>
      <c r="D84" s="7" t="s">
        <v>22</v>
      </c>
      <c r="E84" s="48" t="s">
        <v>94</v>
      </c>
      <c r="F84" s="49">
        <v>180</v>
      </c>
      <c r="G84" s="50">
        <v>0.14000000000000001</v>
      </c>
      <c r="H84" s="50">
        <v>0.14000000000000001</v>
      </c>
      <c r="I84" s="50">
        <v>25.09</v>
      </c>
      <c r="J84" s="50">
        <v>103.14</v>
      </c>
      <c r="K84" s="57" t="s">
        <v>95</v>
      </c>
      <c r="L84" s="53">
        <v>10</v>
      </c>
    </row>
    <row r="85" spans="1:12" ht="15" x14ac:dyDescent="0.25">
      <c r="A85" s="23"/>
      <c r="B85" s="15"/>
      <c r="C85" s="11"/>
      <c r="D85" s="7" t="s">
        <v>23</v>
      </c>
      <c r="E85" s="54" t="s">
        <v>54</v>
      </c>
      <c r="F85" s="49">
        <v>30</v>
      </c>
      <c r="G85" s="50">
        <v>2.2999999999999998</v>
      </c>
      <c r="H85" s="50">
        <v>0.19</v>
      </c>
      <c r="I85" s="50">
        <v>15.05</v>
      </c>
      <c r="J85" s="50">
        <v>71.05</v>
      </c>
      <c r="K85" s="57" t="s">
        <v>43</v>
      </c>
      <c r="L85" s="53">
        <v>3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 t="s">
        <v>26</v>
      </c>
      <c r="E87" s="54" t="s">
        <v>96</v>
      </c>
      <c r="F87" s="59">
        <v>60</v>
      </c>
      <c r="G87" s="50">
        <v>0.67</v>
      </c>
      <c r="H87" s="50">
        <v>0.12</v>
      </c>
      <c r="I87" s="50">
        <v>2.2799999999999998</v>
      </c>
      <c r="J87" s="50">
        <v>13.2</v>
      </c>
      <c r="K87" s="57">
        <v>71</v>
      </c>
      <c r="L87" s="53">
        <v>10</v>
      </c>
    </row>
    <row r="88" spans="1:12" ht="15" x14ac:dyDescent="0.25">
      <c r="A88" s="23"/>
      <c r="B88" s="15"/>
      <c r="C88" s="11"/>
      <c r="D88" s="6"/>
      <c r="E88" s="48" t="s">
        <v>97</v>
      </c>
      <c r="F88" s="49">
        <v>105</v>
      </c>
      <c r="G88" s="50">
        <f>7.61*105/80</f>
        <v>9.9881250000000001</v>
      </c>
      <c r="H88" s="50">
        <f>8.44*105/80</f>
        <v>11.077499999999999</v>
      </c>
      <c r="I88" s="50">
        <f>9.41*105/80</f>
        <v>12.350625000000001</v>
      </c>
      <c r="J88" s="50">
        <f>122*105/80</f>
        <v>160.125</v>
      </c>
      <c r="K88" s="51" t="s">
        <v>98</v>
      </c>
      <c r="L88" s="53">
        <v>42.62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16.162624999999998</v>
      </c>
      <c r="H89" s="19">
        <f t="shared" ref="H89" si="43">SUM(H82:H88)</f>
        <v>16.329000000000001</v>
      </c>
      <c r="I89" s="19">
        <f t="shared" ref="I89" si="44">SUM(I82:I88)</f>
        <v>75.170625000000001</v>
      </c>
      <c r="J89" s="19">
        <f t="shared" ref="J89:L89" si="45">SUM(J82:J88)</f>
        <v>484.76499999999999</v>
      </c>
      <c r="K89" s="25"/>
      <c r="L89" s="19">
        <f t="shared" si="45"/>
        <v>85.62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8" t="s">
        <v>99</v>
      </c>
      <c r="F90" s="49">
        <v>60</v>
      </c>
      <c r="G90" s="50">
        <v>0.9</v>
      </c>
      <c r="H90" s="50">
        <v>3.06</v>
      </c>
      <c r="I90" s="50">
        <v>5.55</v>
      </c>
      <c r="J90" s="50">
        <v>53.88</v>
      </c>
      <c r="K90" s="64">
        <v>47</v>
      </c>
      <c r="L90" s="56">
        <v>10</v>
      </c>
    </row>
    <row r="91" spans="1:12" ht="15" x14ac:dyDescent="0.25">
      <c r="A91" s="23"/>
      <c r="B91" s="15"/>
      <c r="C91" s="11"/>
      <c r="D91" s="7" t="s">
        <v>27</v>
      </c>
      <c r="E91" s="48" t="s">
        <v>100</v>
      </c>
      <c r="F91" s="49">
        <v>200</v>
      </c>
      <c r="G91" s="50">
        <v>7.7</v>
      </c>
      <c r="H91" s="50">
        <v>12.7</v>
      </c>
      <c r="I91" s="50">
        <v>6.1</v>
      </c>
      <c r="J91" s="50">
        <v>232.9</v>
      </c>
      <c r="K91" s="57" t="s">
        <v>102</v>
      </c>
      <c r="L91" s="53">
        <v>30</v>
      </c>
    </row>
    <row r="92" spans="1:12" ht="15" x14ac:dyDescent="0.25">
      <c r="A92" s="23"/>
      <c r="B92" s="15"/>
      <c r="C92" s="11"/>
      <c r="D92" s="7" t="s">
        <v>28</v>
      </c>
      <c r="E92" s="48" t="s">
        <v>101</v>
      </c>
      <c r="F92" s="49">
        <v>150</v>
      </c>
      <c r="G92" s="50">
        <v>6.8</v>
      </c>
      <c r="H92" s="50">
        <v>6.8</v>
      </c>
      <c r="I92" s="50">
        <v>33.200000000000003</v>
      </c>
      <c r="J92" s="50">
        <v>216.9</v>
      </c>
      <c r="K92" s="57" t="s">
        <v>86</v>
      </c>
      <c r="L92" s="53">
        <v>36</v>
      </c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54" t="s">
        <v>54</v>
      </c>
      <c r="F95" s="59">
        <v>30</v>
      </c>
      <c r="G95" s="50">
        <v>2.2999999999999998</v>
      </c>
      <c r="H95" s="50">
        <v>0.19</v>
      </c>
      <c r="I95" s="50">
        <v>15.05</v>
      </c>
      <c r="J95" s="50">
        <v>71.05</v>
      </c>
      <c r="K95" s="57" t="s">
        <v>43</v>
      </c>
      <c r="L95" s="53">
        <v>3</v>
      </c>
    </row>
    <row r="96" spans="1:12" ht="15" x14ac:dyDescent="0.25">
      <c r="A96" s="23"/>
      <c r="B96" s="15"/>
      <c r="C96" s="11"/>
      <c r="D96" s="7" t="s">
        <v>32</v>
      </c>
      <c r="E96" s="54" t="s">
        <v>42</v>
      </c>
      <c r="F96" s="59">
        <v>20</v>
      </c>
      <c r="G96" s="50">
        <v>1.1200000000000001</v>
      </c>
      <c r="H96" s="50">
        <v>0.22</v>
      </c>
      <c r="I96" s="50">
        <v>9.8800000000000008</v>
      </c>
      <c r="J96" s="50">
        <v>45.98</v>
      </c>
      <c r="K96" s="57" t="s">
        <v>43</v>
      </c>
      <c r="L96" s="53">
        <v>2</v>
      </c>
    </row>
    <row r="97" spans="1:12" ht="15" x14ac:dyDescent="0.25">
      <c r="A97" s="23"/>
      <c r="B97" s="15"/>
      <c r="C97" s="11"/>
      <c r="D97" s="72" t="s">
        <v>30</v>
      </c>
      <c r="E97" s="54" t="s">
        <v>103</v>
      </c>
      <c r="F97" s="49">
        <v>200</v>
      </c>
      <c r="G97" s="50">
        <v>1.4</v>
      </c>
      <c r="H97" s="50">
        <v>0.4</v>
      </c>
      <c r="I97" s="50">
        <v>22.8</v>
      </c>
      <c r="J97" s="50">
        <v>100.4</v>
      </c>
      <c r="K97" s="57" t="s">
        <v>43</v>
      </c>
      <c r="L97" s="53">
        <v>10</v>
      </c>
    </row>
    <row r="98" spans="1:12" ht="15" x14ac:dyDescent="0.25">
      <c r="A98" s="23"/>
      <c r="B98" s="15"/>
      <c r="C98" s="11"/>
      <c r="D98" s="72" t="s">
        <v>104</v>
      </c>
      <c r="E98" s="48" t="s">
        <v>74</v>
      </c>
      <c r="F98" s="49">
        <v>200</v>
      </c>
      <c r="G98" s="50">
        <v>5.8</v>
      </c>
      <c r="H98" s="50">
        <v>5</v>
      </c>
      <c r="I98" s="50">
        <v>9.6</v>
      </c>
      <c r="J98" s="50">
        <v>107</v>
      </c>
      <c r="K98" s="66" t="s">
        <v>43</v>
      </c>
      <c r="L98" s="60">
        <v>25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26.02</v>
      </c>
      <c r="H99" s="19">
        <f t="shared" ref="H99" si="47">SUM(H90:H98)</f>
        <v>28.369999999999997</v>
      </c>
      <c r="I99" s="19">
        <f t="shared" ref="I99" si="48">SUM(I90:I98)</f>
        <v>102.17999999999999</v>
      </c>
      <c r="J99" s="19">
        <f t="shared" ref="J99:L99" si="49">SUM(J90:J98)</f>
        <v>828.11</v>
      </c>
      <c r="K99" s="25"/>
      <c r="L99" s="19">
        <f t="shared" si="49"/>
        <v>116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7" t="s">
        <v>4</v>
      </c>
      <c r="D100" s="88"/>
      <c r="E100" s="31"/>
      <c r="F100" s="32">
        <f>F89+F99</f>
        <v>1385</v>
      </c>
      <c r="G100" s="32">
        <f t="shared" ref="G100" si="50">G89+G99</f>
        <v>42.182625000000002</v>
      </c>
      <c r="H100" s="32">
        <f t="shared" ref="H100" si="51">H89+H99</f>
        <v>44.698999999999998</v>
      </c>
      <c r="I100" s="32">
        <f t="shared" ref="I100" si="52">I89+I99</f>
        <v>177.35062499999998</v>
      </c>
      <c r="J100" s="32">
        <f t="shared" ref="J100:L100" si="53">J89+J99</f>
        <v>1312.875</v>
      </c>
      <c r="K100" s="32"/>
      <c r="L100" s="32">
        <f t="shared" si="53"/>
        <v>201.62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105</v>
      </c>
      <c r="F101" s="49">
        <v>205</v>
      </c>
      <c r="G101" s="50">
        <v>11.11</v>
      </c>
      <c r="H101" s="50">
        <v>8.35</v>
      </c>
      <c r="I101" s="50">
        <v>40.270000000000003</v>
      </c>
      <c r="J101" s="50">
        <v>206.52</v>
      </c>
      <c r="K101" s="73">
        <v>179</v>
      </c>
      <c r="L101" s="52">
        <v>40</v>
      </c>
    </row>
    <row r="102" spans="1:12" ht="15" x14ac:dyDescent="0.25">
      <c r="A102" s="23"/>
      <c r="B102" s="15"/>
      <c r="C102" s="11"/>
      <c r="D102" s="6"/>
      <c r="E102" s="48"/>
      <c r="F102" s="49"/>
      <c r="G102" s="50"/>
      <c r="H102" s="50"/>
      <c r="I102" s="50"/>
      <c r="J102" s="50"/>
      <c r="K102" s="41"/>
      <c r="L102" s="40"/>
    </row>
    <row r="103" spans="1:12" ht="15" x14ac:dyDescent="0.25">
      <c r="A103" s="23"/>
      <c r="B103" s="15"/>
      <c r="C103" s="11"/>
      <c r="D103" s="7" t="s">
        <v>22</v>
      </c>
      <c r="E103" s="48" t="s">
        <v>106</v>
      </c>
      <c r="F103" s="49">
        <v>200</v>
      </c>
      <c r="G103" s="50">
        <v>3.17</v>
      </c>
      <c r="H103" s="50">
        <v>2.7</v>
      </c>
      <c r="I103" s="50">
        <v>15.94</v>
      </c>
      <c r="J103" s="50">
        <v>100.06</v>
      </c>
      <c r="K103" s="74">
        <v>379</v>
      </c>
      <c r="L103" s="53">
        <v>10</v>
      </c>
    </row>
    <row r="104" spans="1:12" ht="15" x14ac:dyDescent="0.25">
      <c r="A104" s="23"/>
      <c r="B104" s="15"/>
      <c r="C104" s="11"/>
      <c r="D104" s="7" t="s">
        <v>23</v>
      </c>
      <c r="E104" s="54" t="s">
        <v>42</v>
      </c>
      <c r="F104" s="49">
        <v>20</v>
      </c>
      <c r="G104" s="50">
        <v>1.1200000000000001</v>
      </c>
      <c r="H104" s="50">
        <v>0.22</v>
      </c>
      <c r="I104" s="50">
        <v>9.8800000000000008</v>
      </c>
      <c r="J104" s="50">
        <v>45.98</v>
      </c>
      <c r="K104" s="74" t="s">
        <v>43</v>
      </c>
      <c r="L104" s="53">
        <v>2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 t="s">
        <v>45</v>
      </c>
      <c r="E106" s="48" t="s">
        <v>107</v>
      </c>
      <c r="F106" s="49">
        <v>75</v>
      </c>
      <c r="G106" s="50">
        <f>3.2</f>
        <v>3.2</v>
      </c>
      <c r="H106" s="50">
        <v>3.95</v>
      </c>
      <c r="I106" s="50">
        <v>29.3</v>
      </c>
      <c r="J106" s="50">
        <v>185</v>
      </c>
      <c r="K106" s="74">
        <v>2</v>
      </c>
      <c r="L106" s="53">
        <v>25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18.599999999999998</v>
      </c>
      <c r="H108" s="19">
        <f t="shared" si="54"/>
        <v>15.220000000000002</v>
      </c>
      <c r="I108" s="19">
        <f t="shared" si="54"/>
        <v>95.39</v>
      </c>
      <c r="J108" s="19">
        <f t="shared" si="54"/>
        <v>537.56000000000006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47</v>
      </c>
      <c r="F109" s="49">
        <v>60</v>
      </c>
      <c r="G109" s="50">
        <v>1.5</v>
      </c>
      <c r="H109" s="50">
        <v>7.3</v>
      </c>
      <c r="I109" s="50">
        <v>4.5999999999999996</v>
      </c>
      <c r="J109" s="50">
        <v>71.400000000000006</v>
      </c>
      <c r="K109" s="64" t="s">
        <v>43</v>
      </c>
      <c r="L109" s="56">
        <v>10</v>
      </c>
    </row>
    <row r="110" spans="1:12" ht="15" x14ac:dyDescent="0.25">
      <c r="A110" s="23"/>
      <c r="B110" s="15"/>
      <c r="C110" s="11"/>
      <c r="D110" s="7" t="s">
        <v>27</v>
      </c>
      <c r="E110" s="48" t="s">
        <v>108</v>
      </c>
      <c r="F110" s="49">
        <v>200</v>
      </c>
      <c r="G110" s="50">
        <f>19.96*0.2</f>
        <v>3.9920000000000004</v>
      </c>
      <c r="H110" s="50">
        <f>21.08*0.2</f>
        <v>4.2160000000000002</v>
      </c>
      <c r="I110" s="50">
        <f>66.14*0.2</f>
        <v>13.228000000000002</v>
      </c>
      <c r="J110" s="50">
        <f>593*0.2</f>
        <v>118.60000000000001</v>
      </c>
      <c r="K110" s="57">
        <v>102</v>
      </c>
      <c r="L110" s="53">
        <v>20</v>
      </c>
    </row>
    <row r="111" spans="1:12" ht="15" x14ac:dyDescent="0.25">
      <c r="A111" s="23"/>
      <c r="B111" s="15"/>
      <c r="C111" s="11"/>
      <c r="D111" s="7" t="s">
        <v>28</v>
      </c>
      <c r="E111" s="48" t="s">
        <v>109</v>
      </c>
      <c r="F111" s="49">
        <v>130</v>
      </c>
      <c r="G111" s="50">
        <f>7.46*130/110</f>
        <v>8.8163636363636364</v>
      </c>
      <c r="H111" s="50">
        <f>6.29*130/110</f>
        <v>7.4336363636363645</v>
      </c>
      <c r="I111" s="50">
        <f>13.44*130/110</f>
        <v>15.883636363636365</v>
      </c>
      <c r="J111" s="50">
        <f>142*130/110</f>
        <v>167.81818181818181</v>
      </c>
      <c r="K111" s="57">
        <v>278</v>
      </c>
      <c r="L111" s="53">
        <v>43.62</v>
      </c>
    </row>
    <row r="112" spans="1:12" ht="15" x14ac:dyDescent="0.25">
      <c r="A112" s="23"/>
      <c r="B112" s="15"/>
      <c r="C112" s="11"/>
      <c r="D112" s="7" t="s">
        <v>29</v>
      </c>
      <c r="E112" s="48" t="s">
        <v>110</v>
      </c>
      <c r="F112" s="49">
        <v>150</v>
      </c>
      <c r="G112" s="50">
        <f>17.76*0.15</f>
        <v>2.6640000000000001</v>
      </c>
      <c r="H112" s="50">
        <f>33.38*0.15</f>
        <v>5.0070000000000006</v>
      </c>
      <c r="I112" s="50">
        <f>83.13*0.15</f>
        <v>12.469499999999998</v>
      </c>
      <c r="J112" s="50">
        <f>884*0.15</f>
        <v>132.6</v>
      </c>
      <c r="K112" s="57">
        <v>322</v>
      </c>
      <c r="L112" s="53">
        <v>18</v>
      </c>
    </row>
    <row r="113" spans="1:12" ht="15" x14ac:dyDescent="0.25">
      <c r="A113" s="23"/>
      <c r="B113" s="15"/>
      <c r="C113" s="11"/>
      <c r="D113" s="7" t="s">
        <v>30</v>
      </c>
      <c r="E113" s="54" t="s">
        <v>111</v>
      </c>
      <c r="F113" s="49">
        <v>180</v>
      </c>
      <c r="G113" s="50">
        <v>5.2</v>
      </c>
      <c r="H113" s="50">
        <v>4.5</v>
      </c>
      <c r="I113" s="50">
        <v>7.2</v>
      </c>
      <c r="J113" s="50">
        <v>95.4</v>
      </c>
      <c r="K113" s="57" t="s">
        <v>43</v>
      </c>
      <c r="L113" s="53">
        <v>10</v>
      </c>
    </row>
    <row r="114" spans="1:12" ht="15" x14ac:dyDescent="0.25">
      <c r="A114" s="23"/>
      <c r="B114" s="15"/>
      <c r="C114" s="11"/>
      <c r="D114" s="7" t="s">
        <v>31</v>
      </c>
      <c r="E114" s="54" t="s">
        <v>54</v>
      </c>
      <c r="F114" s="59">
        <v>20</v>
      </c>
      <c r="G114" s="50">
        <v>1.53</v>
      </c>
      <c r="H114" s="50">
        <v>0.12</v>
      </c>
      <c r="I114" s="50">
        <v>10.039999999999999</v>
      </c>
      <c r="J114" s="50">
        <v>47.36</v>
      </c>
      <c r="K114" s="57" t="s">
        <v>43</v>
      </c>
      <c r="L114" s="53">
        <v>2</v>
      </c>
    </row>
    <row r="115" spans="1:12" ht="15" x14ac:dyDescent="0.25">
      <c r="A115" s="23"/>
      <c r="B115" s="15"/>
      <c r="C115" s="11"/>
      <c r="D115" s="7" t="s">
        <v>32</v>
      </c>
      <c r="E115" s="54" t="s">
        <v>42</v>
      </c>
      <c r="F115" s="59">
        <v>30</v>
      </c>
      <c r="G115" s="50">
        <v>1.99</v>
      </c>
      <c r="H115" s="50">
        <v>0.26</v>
      </c>
      <c r="I115" s="50">
        <v>12.72</v>
      </c>
      <c r="J115" s="50">
        <v>61.19</v>
      </c>
      <c r="K115" s="57" t="s">
        <v>43</v>
      </c>
      <c r="L115" s="53">
        <v>3</v>
      </c>
    </row>
    <row r="116" spans="1:12" ht="15" x14ac:dyDescent="0.25">
      <c r="A116" s="23"/>
      <c r="B116" s="15"/>
      <c r="C116" s="11"/>
      <c r="D116" s="66" t="s">
        <v>24</v>
      </c>
      <c r="E116" s="65" t="s">
        <v>112</v>
      </c>
      <c r="F116" s="49">
        <v>150</v>
      </c>
      <c r="G116" s="50">
        <v>1.35</v>
      </c>
      <c r="H116" s="50">
        <v>0.3</v>
      </c>
      <c r="I116" s="50">
        <v>12.15</v>
      </c>
      <c r="J116" s="50">
        <v>64.5</v>
      </c>
      <c r="K116" s="66" t="s">
        <v>70</v>
      </c>
      <c r="L116" s="60">
        <v>15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920</v>
      </c>
      <c r="G118" s="19">
        <f t="shared" ref="G118:J118" si="56">SUM(G109:G117)</f>
        <v>27.042363636363639</v>
      </c>
      <c r="H118" s="19">
        <f t="shared" si="56"/>
        <v>29.13663636363637</v>
      </c>
      <c r="I118" s="19">
        <f t="shared" si="56"/>
        <v>88.291136363636369</v>
      </c>
      <c r="J118" s="19">
        <f t="shared" si="56"/>
        <v>758.86818181818171</v>
      </c>
      <c r="K118" s="25"/>
      <c r="L118" s="19">
        <f t="shared" ref="L118" si="57">SUM(L109:L117)</f>
        <v>121.62</v>
      </c>
    </row>
    <row r="119" spans="1:12" ht="15.75" thickBot="1" x14ac:dyDescent="0.25">
      <c r="A119" s="29">
        <f>A101</f>
        <v>2</v>
      </c>
      <c r="B119" s="30">
        <f>B101</f>
        <v>1</v>
      </c>
      <c r="C119" s="87" t="s">
        <v>4</v>
      </c>
      <c r="D119" s="88"/>
      <c r="E119" s="31"/>
      <c r="F119" s="32">
        <f>F108+F118</f>
        <v>1420</v>
      </c>
      <c r="G119" s="32">
        <f t="shared" ref="G119" si="58">G108+G118</f>
        <v>45.64236363636364</v>
      </c>
      <c r="H119" s="32">
        <f t="shared" ref="H119" si="59">H108+H118</f>
        <v>44.356636363636369</v>
      </c>
      <c r="I119" s="32">
        <f t="shared" ref="I119" si="60">I108+I118</f>
        <v>183.68113636363637</v>
      </c>
      <c r="J119" s="32">
        <f t="shared" ref="J119:L119" si="61">J108+J118</f>
        <v>1296.4281818181817</v>
      </c>
      <c r="K119" s="32"/>
      <c r="L119" s="32">
        <f t="shared" si="61"/>
        <v>198.62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113</v>
      </c>
      <c r="F120" s="49">
        <v>150</v>
      </c>
      <c r="G120" s="50">
        <v>3.6</v>
      </c>
      <c r="H120" s="50">
        <v>4.4000000000000004</v>
      </c>
      <c r="I120" s="50">
        <v>20.7</v>
      </c>
      <c r="J120" s="75">
        <v>156</v>
      </c>
      <c r="K120" s="73" t="s">
        <v>114</v>
      </c>
      <c r="L120" s="52">
        <v>25</v>
      </c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7" t="s">
        <v>22</v>
      </c>
      <c r="E122" s="54" t="s">
        <v>115</v>
      </c>
      <c r="F122" s="49">
        <v>180</v>
      </c>
      <c r="G122" s="50">
        <v>4.68</v>
      </c>
      <c r="H122" s="50">
        <v>4.05</v>
      </c>
      <c r="I122" s="50">
        <v>6.48</v>
      </c>
      <c r="J122" s="75">
        <v>85.86</v>
      </c>
      <c r="K122" s="74" t="s">
        <v>43</v>
      </c>
      <c r="L122" s="53">
        <v>10</v>
      </c>
    </row>
    <row r="123" spans="1:12" ht="15" x14ac:dyDescent="0.25">
      <c r="A123" s="14"/>
      <c r="B123" s="15"/>
      <c r="C123" s="11"/>
      <c r="D123" s="7" t="s">
        <v>23</v>
      </c>
      <c r="E123" s="54" t="s">
        <v>59</v>
      </c>
      <c r="F123" s="59">
        <v>40</v>
      </c>
      <c r="G123" s="59">
        <v>2.65</v>
      </c>
      <c r="H123" s="59">
        <v>0.34</v>
      </c>
      <c r="I123" s="63">
        <v>19.920000000000002</v>
      </c>
      <c r="J123" s="59">
        <v>93.34</v>
      </c>
      <c r="K123" s="74" t="s">
        <v>43</v>
      </c>
      <c r="L123" s="53">
        <v>4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 t="s">
        <v>26</v>
      </c>
      <c r="E125" s="54" t="s">
        <v>116</v>
      </c>
      <c r="F125" s="49">
        <v>60</v>
      </c>
      <c r="G125" s="50">
        <v>0.8</v>
      </c>
      <c r="H125" s="50">
        <v>0.1</v>
      </c>
      <c r="I125" s="50">
        <v>5.0999999999999996</v>
      </c>
      <c r="J125" s="75">
        <v>15</v>
      </c>
      <c r="K125" s="74" t="s">
        <v>117</v>
      </c>
      <c r="L125" s="53">
        <v>10</v>
      </c>
    </row>
    <row r="126" spans="1:12" ht="15" x14ac:dyDescent="0.25">
      <c r="A126" s="14"/>
      <c r="B126" s="15"/>
      <c r="C126" s="11"/>
      <c r="D126" s="6" t="s">
        <v>119</v>
      </c>
      <c r="E126" s="48" t="s">
        <v>118</v>
      </c>
      <c r="F126" s="49">
        <v>90</v>
      </c>
      <c r="G126" s="50">
        <f>4.55*90/55</f>
        <v>7.4454545454545453</v>
      </c>
      <c r="H126" s="50">
        <f>6.7*90/55</f>
        <v>10.963636363636363</v>
      </c>
      <c r="I126" s="50">
        <f>9.73*90/55</f>
        <v>15.921818181818182</v>
      </c>
      <c r="J126" s="75">
        <f>124*90/55</f>
        <v>202.90909090909091</v>
      </c>
      <c r="K126" s="76">
        <v>294</v>
      </c>
      <c r="L126" s="53">
        <v>40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19.175454545454546</v>
      </c>
      <c r="H127" s="19">
        <f t="shared" si="62"/>
        <v>19.853636363636362</v>
      </c>
      <c r="I127" s="19">
        <f t="shared" si="62"/>
        <v>68.121818181818185</v>
      </c>
      <c r="J127" s="19">
        <f t="shared" si="62"/>
        <v>553.10909090909092</v>
      </c>
      <c r="K127" s="25"/>
      <c r="L127" s="19">
        <f t="shared" ref="L127" si="63">SUM(L120:L126)</f>
        <v>89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120</v>
      </c>
      <c r="F128" s="70">
        <v>60</v>
      </c>
      <c r="G128" s="50">
        <v>0.7</v>
      </c>
      <c r="H128" s="50">
        <v>3.1</v>
      </c>
      <c r="I128" s="50">
        <v>5.7</v>
      </c>
      <c r="J128" s="50">
        <v>44</v>
      </c>
      <c r="K128" s="64" t="s">
        <v>123</v>
      </c>
      <c r="L128" s="56">
        <v>10</v>
      </c>
    </row>
    <row r="129" spans="1:12" ht="15" x14ac:dyDescent="0.25">
      <c r="A129" s="14"/>
      <c r="B129" s="15"/>
      <c r="C129" s="11"/>
      <c r="D129" s="7" t="s">
        <v>27</v>
      </c>
      <c r="E129" s="48" t="s">
        <v>121</v>
      </c>
      <c r="F129" s="49">
        <v>200</v>
      </c>
      <c r="G129" s="50">
        <f>8.07*0.2</f>
        <v>1.6140000000000001</v>
      </c>
      <c r="H129" s="50">
        <f>20.36*0.2</f>
        <v>4.0720000000000001</v>
      </c>
      <c r="I129" s="50">
        <f>47.32*0.2</f>
        <v>9.4640000000000004</v>
      </c>
      <c r="J129" s="50">
        <f>429*0.2</f>
        <v>85.800000000000011</v>
      </c>
      <c r="K129" s="57">
        <v>96</v>
      </c>
      <c r="L129" s="53">
        <v>24</v>
      </c>
    </row>
    <row r="130" spans="1:12" ht="15" x14ac:dyDescent="0.25">
      <c r="A130" s="14"/>
      <c r="B130" s="15"/>
      <c r="C130" s="11"/>
      <c r="D130" s="7" t="s">
        <v>28</v>
      </c>
      <c r="E130" s="48" t="s">
        <v>122</v>
      </c>
      <c r="F130" s="49">
        <v>180</v>
      </c>
      <c r="G130" s="50">
        <f>6.03*180/70</f>
        <v>15.505714285714287</v>
      </c>
      <c r="H130" s="50">
        <f>5.74*180/70</f>
        <v>14.76</v>
      </c>
      <c r="I130" s="50">
        <f>13.6*180/70</f>
        <v>34.971428571428568</v>
      </c>
      <c r="J130" s="50">
        <f>129*180/70</f>
        <v>331.71428571428572</v>
      </c>
      <c r="K130" s="57">
        <v>223</v>
      </c>
      <c r="L130" s="53">
        <v>57.62</v>
      </c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54" t="s">
        <v>124</v>
      </c>
      <c r="F133" s="58">
        <v>30</v>
      </c>
      <c r="G133" s="50">
        <v>2.2999999999999998</v>
      </c>
      <c r="H133" s="50">
        <v>0.19</v>
      </c>
      <c r="I133" s="50">
        <v>15.05</v>
      </c>
      <c r="J133" s="50">
        <v>71.05</v>
      </c>
      <c r="K133" s="57" t="s">
        <v>43</v>
      </c>
      <c r="L133" s="58">
        <v>3</v>
      </c>
    </row>
    <row r="134" spans="1:12" ht="15" x14ac:dyDescent="0.25">
      <c r="A134" s="14"/>
      <c r="B134" s="15"/>
      <c r="C134" s="11"/>
      <c r="D134" s="7" t="s">
        <v>32</v>
      </c>
      <c r="E134" s="54" t="s">
        <v>42</v>
      </c>
      <c r="F134" s="58">
        <v>20</v>
      </c>
      <c r="G134" s="50">
        <v>1.1200000000000001</v>
      </c>
      <c r="H134" s="50">
        <v>0.22</v>
      </c>
      <c r="I134" s="50">
        <v>9.8800000000000008</v>
      </c>
      <c r="J134" s="50">
        <v>45.98</v>
      </c>
      <c r="K134" s="57" t="s">
        <v>43</v>
      </c>
      <c r="L134" s="58">
        <v>2</v>
      </c>
    </row>
    <row r="135" spans="1:12" ht="15" x14ac:dyDescent="0.25">
      <c r="A135" s="14"/>
      <c r="B135" s="15"/>
      <c r="C135" s="11"/>
      <c r="D135" s="72" t="s">
        <v>30</v>
      </c>
      <c r="E135" s="54" t="s">
        <v>125</v>
      </c>
      <c r="F135" s="58">
        <v>200</v>
      </c>
      <c r="G135" s="50">
        <f>3*0.2</f>
        <v>0.60000000000000009</v>
      </c>
      <c r="H135" s="50">
        <v>0.4</v>
      </c>
      <c r="I135" s="50">
        <f>163*0.2</f>
        <v>32.6</v>
      </c>
      <c r="J135" s="50">
        <f>682*0.2</f>
        <v>136.4</v>
      </c>
      <c r="K135" s="57" t="s">
        <v>43</v>
      </c>
      <c r="L135" s="53">
        <v>10</v>
      </c>
    </row>
    <row r="136" spans="1:12" ht="15" x14ac:dyDescent="0.25">
      <c r="A136" s="14"/>
      <c r="B136" s="15"/>
      <c r="C136" s="11"/>
      <c r="D136" s="72" t="s">
        <v>104</v>
      </c>
      <c r="E136" s="48" t="s">
        <v>74</v>
      </c>
      <c r="F136" s="77">
        <v>200</v>
      </c>
      <c r="G136" s="50">
        <v>5.8</v>
      </c>
      <c r="H136" s="50">
        <v>5</v>
      </c>
      <c r="I136" s="78">
        <v>9.6</v>
      </c>
      <c r="J136" s="50">
        <v>107</v>
      </c>
      <c r="K136" s="66" t="s">
        <v>43</v>
      </c>
      <c r="L136" s="60">
        <v>20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27.639714285714291</v>
      </c>
      <c r="H137" s="19">
        <f t="shared" si="64"/>
        <v>27.742000000000001</v>
      </c>
      <c r="I137" s="19">
        <f t="shared" si="64"/>
        <v>117.26542857142857</v>
      </c>
      <c r="J137" s="19">
        <f t="shared" si="64"/>
        <v>821.94428571428568</v>
      </c>
      <c r="K137" s="25"/>
      <c r="L137" s="19">
        <f t="shared" ref="L137" si="65">SUM(L128:L136)</f>
        <v>126.62</v>
      </c>
    </row>
    <row r="138" spans="1:12" ht="15.75" thickBot="1" x14ac:dyDescent="0.25">
      <c r="A138" s="33">
        <f>A120</f>
        <v>2</v>
      </c>
      <c r="B138" s="33">
        <f>B120</f>
        <v>2</v>
      </c>
      <c r="C138" s="87" t="s">
        <v>4</v>
      </c>
      <c r="D138" s="88"/>
      <c r="E138" s="31"/>
      <c r="F138" s="32">
        <f>F127+F137</f>
        <v>1410</v>
      </c>
      <c r="G138" s="32">
        <f t="shared" ref="G138" si="66">G127+G137</f>
        <v>46.815168831168833</v>
      </c>
      <c r="H138" s="32">
        <f t="shared" ref="H138" si="67">H127+H137</f>
        <v>47.595636363636359</v>
      </c>
      <c r="I138" s="32">
        <f t="shared" ref="I138" si="68">I127+I137</f>
        <v>185.38724675324676</v>
      </c>
      <c r="J138" s="32">
        <f t="shared" ref="J138:L138" si="69">J127+J137</f>
        <v>1375.0533766233766</v>
      </c>
      <c r="K138" s="32"/>
      <c r="L138" s="32">
        <f t="shared" si="69"/>
        <v>215.62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126</v>
      </c>
      <c r="F139" s="79">
        <v>200</v>
      </c>
      <c r="G139" s="50">
        <v>14.1</v>
      </c>
      <c r="H139" s="50">
        <v>0.06</v>
      </c>
      <c r="I139" s="50">
        <v>21.1</v>
      </c>
      <c r="J139" s="50">
        <v>279.10000000000002</v>
      </c>
      <c r="K139" s="67" t="s">
        <v>127</v>
      </c>
      <c r="L139" s="52">
        <v>57.38</v>
      </c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22</v>
      </c>
      <c r="E141" s="48" t="s">
        <v>77</v>
      </c>
      <c r="F141" s="79">
        <v>200</v>
      </c>
      <c r="G141" s="50">
        <f>3.31*0.2</f>
        <v>0.66200000000000003</v>
      </c>
      <c r="H141" s="50">
        <f>0.46*0.2</f>
        <v>9.2000000000000012E-2</v>
      </c>
      <c r="I141" s="50">
        <f>160.07*0.2</f>
        <v>32.014000000000003</v>
      </c>
      <c r="J141" s="50">
        <f>664*0.2</f>
        <v>132.80000000000001</v>
      </c>
      <c r="K141" s="57">
        <v>349</v>
      </c>
      <c r="L141" s="53">
        <v>10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59</v>
      </c>
      <c r="F142" s="59">
        <v>40</v>
      </c>
      <c r="G142" s="59">
        <v>2.65</v>
      </c>
      <c r="H142" s="59">
        <v>0.34</v>
      </c>
      <c r="I142" s="63">
        <v>19.920000000000002</v>
      </c>
      <c r="J142" s="59">
        <v>93.34</v>
      </c>
      <c r="K142" s="57" t="s">
        <v>43</v>
      </c>
      <c r="L142" s="53">
        <v>4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 t="s">
        <v>26</v>
      </c>
      <c r="E144" s="48" t="s">
        <v>128</v>
      </c>
      <c r="F144" s="79">
        <v>60</v>
      </c>
      <c r="G144" s="50">
        <v>1.21</v>
      </c>
      <c r="H144" s="50">
        <v>16</v>
      </c>
      <c r="I144" s="50">
        <v>12.33</v>
      </c>
      <c r="J144" s="50">
        <v>54.77</v>
      </c>
      <c r="K144" s="57">
        <v>75</v>
      </c>
      <c r="L144" s="53">
        <v>10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18.622</v>
      </c>
      <c r="H146" s="19">
        <f t="shared" si="70"/>
        <v>16.492000000000001</v>
      </c>
      <c r="I146" s="19">
        <f t="shared" si="70"/>
        <v>85.364000000000004</v>
      </c>
      <c r="J146" s="19">
        <f t="shared" si="70"/>
        <v>560.01</v>
      </c>
      <c r="K146" s="25"/>
      <c r="L146" s="19">
        <f t="shared" ref="L146" si="71">SUM(L139:L145)</f>
        <v>81.38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8" t="s">
        <v>129</v>
      </c>
      <c r="F147" s="49">
        <v>60</v>
      </c>
      <c r="G147" s="50">
        <f>23.7*0.06</f>
        <v>1.4219999999999999</v>
      </c>
      <c r="H147" s="50">
        <f>1.02*0.06</f>
        <v>6.1199999999999997E-2</v>
      </c>
      <c r="I147" s="50">
        <f>228.71*0.06</f>
        <v>13.7226</v>
      </c>
      <c r="J147" s="50">
        <f>1853*0.06</f>
        <v>111.17999999999999</v>
      </c>
      <c r="K147" s="64">
        <v>75</v>
      </c>
      <c r="L147" s="56">
        <v>10</v>
      </c>
    </row>
    <row r="148" spans="1:12" ht="15" x14ac:dyDescent="0.25">
      <c r="A148" s="23"/>
      <c r="B148" s="15"/>
      <c r="C148" s="11"/>
      <c r="D148" s="7" t="s">
        <v>27</v>
      </c>
      <c r="E148" s="48" t="s">
        <v>130</v>
      </c>
      <c r="F148" s="49">
        <v>200</v>
      </c>
      <c r="G148" s="50">
        <f>10.26*0.2</f>
        <v>2.052</v>
      </c>
      <c r="H148" s="50">
        <v>6.43</v>
      </c>
      <c r="I148" s="50">
        <f>46.48*0.2</f>
        <v>9.2959999999999994</v>
      </c>
      <c r="J148" s="59">
        <v>92.6</v>
      </c>
      <c r="K148" s="57">
        <v>113</v>
      </c>
      <c r="L148" s="53">
        <v>20</v>
      </c>
    </row>
    <row r="149" spans="1:12" ht="15" x14ac:dyDescent="0.25">
      <c r="A149" s="23"/>
      <c r="B149" s="15"/>
      <c r="C149" s="11"/>
      <c r="D149" s="7" t="s">
        <v>28</v>
      </c>
      <c r="E149" s="48" t="s">
        <v>50</v>
      </c>
      <c r="F149" s="49">
        <v>115</v>
      </c>
      <c r="G149" s="50">
        <f>6.59*115/80</f>
        <v>9.4731249999999996</v>
      </c>
      <c r="H149" s="50">
        <v>9.11</v>
      </c>
      <c r="I149" s="50">
        <f>9.38*115/80</f>
        <v>13.483750000000001</v>
      </c>
      <c r="J149" s="50">
        <f>115*115/80</f>
        <v>165.3125</v>
      </c>
      <c r="K149" s="57">
        <v>234</v>
      </c>
      <c r="L149" s="53">
        <v>42.62</v>
      </c>
    </row>
    <row r="150" spans="1:12" ht="15" x14ac:dyDescent="0.25">
      <c r="A150" s="23"/>
      <c r="B150" s="15"/>
      <c r="C150" s="11"/>
      <c r="D150" s="7" t="s">
        <v>29</v>
      </c>
      <c r="E150" s="48" t="s">
        <v>131</v>
      </c>
      <c r="F150" s="49">
        <v>150</v>
      </c>
      <c r="G150" s="50">
        <f>4.84*150/160</f>
        <v>4.5374999999999996</v>
      </c>
      <c r="H150" s="50">
        <v>7.5</v>
      </c>
      <c r="I150" s="50">
        <v>30.1</v>
      </c>
      <c r="J150" s="50">
        <v>213.7</v>
      </c>
      <c r="K150" s="57" t="s">
        <v>132</v>
      </c>
      <c r="L150" s="53">
        <v>18</v>
      </c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54" t="s">
        <v>54</v>
      </c>
      <c r="F152" s="59">
        <v>50</v>
      </c>
      <c r="G152" s="50">
        <v>3.9</v>
      </c>
      <c r="H152" s="50">
        <v>0.31</v>
      </c>
      <c r="I152" s="50">
        <v>25.09</v>
      </c>
      <c r="J152" s="50">
        <v>118.41</v>
      </c>
      <c r="K152" s="57" t="s">
        <v>43</v>
      </c>
      <c r="L152" s="53">
        <v>5</v>
      </c>
    </row>
    <row r="153" spans="1:12" ht="15" x14ac:dyDescent="0.25">
      <c r="A153" s="23"/>
      <c r="B153" s="15"/>
      <c r="C153" s="11"/>
      <c r="D153" s="7" t="s">
        <v>32</v>
      </c>
      <c r="E153" s="54" t="s">
        <v>42</v>
      </c>
      <c r="F153" s="59">
        <v>30</v>
      </c>
      <c r="G153" s="50">
        <v>1.7</v>
      </c>
      <c r="H153" s="50">
        <v>0.26</v>
      </c>
      <c r="I153" s="50">
        <v>12.72</v>
      </c>
      <c r="J153" s="50">
        <v>61.19</v>
      </c>
      <c r="K153" s="57" t="s">
        <v>43</v>
      </c>
      <c r="L153" s="53">
        <v>3</v>
      </c>
    </row>
    <row r="154" spans="1:12" ht="15" x14ac:dyDescent="0.25">
      <c r="A154" s="23"/>
      <c r="B154" s="15"/>
      <c r="C154" s="11"/>
      <c r="D154" s="6"/>
      <c r="E154" s="48" t="s">
        <v>133</v>
      </c>
      <c r="F154" s="49">
        <v>180</v>
      </c>
      <c r="G154" s="50">
        <f>0.07*180/200</f>
        <v>6.3E-2</v>
      </c>
      <c r="H154" s="50">
        <f>0.02*180/200</f>
        <v>1.8000000000000002E-2</v>
      </c>
      <c r="I154" s="50">
        <f>15*180/200</f>
        <v>13.5</v>
      </c>
      <c r="J154" s="50">
        <f>60*180/200</f>
        <v>54</v>
      </c>
      <c r="K154" s="57">
        <v>376</v>
      </c>
      <c r="L154" s="53">
        <v>10</v>
      </c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785</v>
      </c>
      <c r="G156" s="19">
        <f t="shared" ref="G156:J156" si="72">SUM(G147:G155)</f>
        <v>23.147624999999998</v>
      </c>
      <c r="H156" s="19">
        <f t="shared" si="72"/>
        <v>23.6892</v>
      </c>
      <c r="I156" s="19">
        <f t="shared" si="72"/>
        <v>117.91235</v>
      </c>
      <c r="J156" s="19">
        <f t="shared" si="72"/>
        <v>816.39249999999993</v>
      </c>
      <c r="K156" s="25"/>
      <c r="L156" s="19">
        <f t="shared" ref="L156" si="73">SUM(L147:L155)</f>
        <v>108.62</v>
      </c>
    </row>
    <row r="157" spans="1:12" ht="15.75" thickBot="1" x14ac:dyDescent="0.25">
      <c r="A157" s="29">
        <f>A139</f>
        <v>2</v>
      </c>
      <c r="B157" s="30">
        <f>B139</f>
        <v>3</v>
      </c>
      <c r="C157" s="87" t="s">
        <v>4</v>
      </c>
      <c r="D157" s="88"/>
      <c r="E157" s="31"/>
      <c r="F157" s="32">
        <f>F146+F156</f>
        <v>1285</v>
      </c>
      <c r="G157" s="32">
        <f t="shared" ref="G157" si="74">G146+G156</f>
        <v>41.769624999999998</v>
      </c>
      <c r="H157" s="32">
        <f t="shared" ref="H157" si="75">H146+H156</f>
        <v>40.181200000000004</v>
      </c>
      <c r="I157" s="32">
        <f t="shared" ref="I157" si="76">I146+I156</f>
        <v>203.27635000000001</v>
      </c>
      <c r="J157" s="32">
        <f t="shared" ref="J157:L157" si="77">J146+J156</f>
        <v>1376.4024999999999</v>
      </c>
      <c r="K157" s="32"/>
      <c r="L157" s="32">
        <f t="shared" si="77"/>
        <v>190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134</v>
      </c>
      <c r="F158" s="49">
        <v>150</v>
      </c>
      <c r="G158" s="50">
        <f>14.2*150/175</f>
        <v>12.171428571428571</v>
      </c>
      <c r="H158" s="50">
        <f>16.9*150/175</f>
        <v>14.485714285714286</v>
      </c>
      <c r="I158" s="50">
        <f>16.58*150/175</f>
        <v>14.211428571428568</v>
      </c>
      <c r="J158" s="50">
        <f>295*150/175</f>
        <v>252.85714285714286</v>
      </c>
      <c r="K158" s="73">
        <v>259</v>
      </c>
      <c r="L158" s="52">
        <v>58</v>
      </c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22</v>
      </c>
      <c r="E160" s="48" t="s">
        <v>135</v>
      </c>
      <c r="F160" s="49">
        <v>200</v>
      </c>
      <c r="G160" s="50">
        <v>2.94</v>
      </c>
      <c r="H160" s="50">
        <f>17.72*0.2</f>
        <v>3.544</v>
      </c>
      <c r="I160" s="50">
        <f>87.89*0.2</f>
        <v>17.577999999999999</v>
      </c>
      <c r="J160" s="50">
        <f>593*0.2</f>
        <v>118.60000000000001</v>
      </c>
      <c r="K160" s="74">
        <v>382</v>
      </c>
      <c r="L160" s="53">
        <v>10</v>
      </c>
    </row>
    <row r="161" spans="1:12" ht="15" x14ac:dyDescent="0.25">
      <c r="A161" s="23"/>
      <c r="B161" s="15"/>
      <c r="C161" s="11"/>
      <c r="D161" s="7" t="s">
        <v>23</v>
      </c>
      <c r="E161" s="48" t="s">
        <v>136</v>
      </c>
      <c r="F161" s="49">
        <v>40</v>
      </c>
      <c r="G161" s="50">
        <v>3.05</v>
      </c>
      <c r="H161" s="50">
        <v>0.25</v>
      </c>
      <c r="I161" s="50">
        <v>20.07</v>
      </c>
      <c r="J161" s="50">
        <v>94.73</v>
      </c>
      <c r="K161" s="74" t="s">
        <v>43</v>
      </c>
      <c r="L161" s="53">
        <v>4</v>
      </c>
    </row>
    <row r="162" spans="1:12" ht="15" x14ac:dyDescent="0.25">
      <c r="A162" s="23"/>
      <c r="B162" s="15"/>
      <c r="C162" s="11"/>
      <c r="D162" s="7" t="s">
        <v>24</v>
      </c>
      <c r="E162" s="48" t="s">
        <v>137</v>
      </c>
      <c r="F162" s="49">
        <v>110</v>
      </c>
      <c r="G162" s="50">
        <v>0.5</v>
      </c>
      <c r="H162" s="50">
        <v>0.4</v>
      </c>
      <c r="I162" s="50">
        <v>26.7</v>
      </c>
      <c r="J162" s="50">
        <v>114.5</v>
      </c>
      <c r="K162" s="74" t="s">
        <v>138</v>
      </c>
      <c r="L162" s="53">
        <v>10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18.661428571428569</v>
      </c>
      <c r="H165" s="19">
        <f t="shared" si="78"/>
        <v>18.679714285714283</v>
      </c>
      <c r="I165" s="19">
        <f t="shared" si="78"/>
        <v>78.559428571428569</v>
      </c>
      <c r="J165" s="19">
        <f t="shared" si="78"/>
        <v>580.68714285714282</v>
      </c>
      <c r="K165" s="25"/>
      <c r="L165" s="19">
        <f t="shared" ref="L165" si="79">SUM(L158:L164)</f>
        <v>82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139</v>
      </c>
      <c r="F166" s="49">
        <v>60</v>
      </c>
      <c r="G166" s="50">
        <v>0.7</v>
      </c>
      <c r="H166" s="50">
        <v>2.5</v>
      </c>
      <c r="I166" s="50">
        <v>7.4</v>
      </c>
      <c r="J166" s="50">
        <v>51.9</v>
      </c>
      <c r="K166" s="80" t="s">
        <v>143</v>
      </c>
      <c r="L166" s="56">
        <v>10</v>
      </c>
    </row>
    <row r="167" spans="1:12" ht="15" x14ac:dyDescent="0.25">
      <c r="A167" s="23"/>
      <c r="B167" s="15"/>
      <c r="C167" s="11"/>
      <c r="D167" s="7" t="s">
        <v>27</v>
      </c>
      <c r="E167" s="48" t="s">
        <v>140</v>
      </c>
      <c r="F167" s="49">
        <v>200</v>
      </c>
      <c r="G167" s="50">
        <v>2.2000000000000002</v>
      </c>
      <c r="H167" s="50">
        <v>4.0999999999999996</v>
      </c>
      <c r="I167" s="50">
        <v>12.9</v>
      </c>
      <c r="J167" s="50">
        <v>88.4</v>
      </c>
      <c r="K167" s="74" t="s">
        <v>144</v>
      </c>
      <c r="L167" s="53">
        <v>20</v>
      </c>
    </row>
    <row r="168" spans="1:12" ht="15" x14ac:dyDescent="0.25">
      <c r="A168" s="23"/>
      <c r="B168" s="15"/>
      <c r="C168" s="11"/>
      <c r="D168" s="7" t="s">
        <v>28</v>
      </c>
      <c r="E168" s="48" t="s">
        <v>141</v>
      </c>
      <c r="F168" s="49">
        <v>90</v>
      </c>
      <c r="G168" s="50">
        <v>9.5</v>
      </c>
      <c r="H168" s="50">
        <v>10.199999999999999</v>
      </c>
      <c r="I168" s="50">
        <v>12</v>
      </c>
      <c r="J168" s="50">
        <v>190.1</v>
      </c>
      <c r="K168" s="74" t="s">
        <v>145</v>
      </c>
      <c r="L168" s="53">
        <v>42.69</v>
      </c>
    </row>
    <row r="169" spans="1:12" ht="15" x14ac:dyDescent="0.25">
      <c r="A169" s="23"/>
      <c r="B169" s="15"/>
      <c r="C169" s="11"/>
      <c r="D169" s="7" t="s">
        <v>29</v>
      </c>
      <c r="E169" s="48" t="s">
        <v>142</v>
      </c>
      <c r="F169" s="49">
        <v>150</v>
      </c>
      <c r="G169" s="50">
        <v>6</v>
      </c>
      <c r="H169" s="50">
        <v>9.4</v>
      </c>
      <c r="I169" s="50">
        <v>21.5</v>
      </c>
      <c r="J169" s="50">
        <v>197.2</v>
      </c>
      <c r="K169" s="74" t="s">
        <v>145</v>
      </c>
      <c r="L169" s="53">
        <v>20</v>
      </c>
    </row>
    <row r="170" spans="1:12" ht="15" x14ac:dyDescent="0.25">
      <c r="A170" s="23"/>
      <c r="B170" s="15"/>
      <c r="C170" s="11"/>
      <c r="D170" s="7" t="s">
        <v>30</v>
      </c>
      <c r="E170" s="48" t="s">
        <v>146</v>
      </c>
      <c r="F170" s="49">
        <v>180</v>
      </c>
      <c r="G170" s="50">
        <v>0.3</v>
      </c>
      <c r="H170" s="50">
        <v>0.1</v>
      </c>
      <c r="I170" s="50">
        <v>20.2</v>
      </c>
      <c r="J170" s="50">
        <v>89.5</v>
      </c>
      <c r="K170" s="72" t="s">
        <v>147</v>
      </c>
      <c r="L170" s="60">
        <v>10</v>
      </c>
    </row>
    <row r="171" spans="1:12" ht="15" x14ac:dyDescent="0.25">
      <c r="A171" s="23"/>
      <c r="B171" s="15"/>
      <c r="C171" s="11"/>
      <c r="D171" s="7" t="s">
        <v>31</v>
      </c>
      <c r="E171" s="54" t="s">
        <v>54</v>
      </c>
      <c r="F171" s="49">
        <v>50</v>
      </c>
      <c r="G171" s="50">
        <v>3.82</v>
      </c>
      <c r="H171" s="50">
        <v>0.31</v>
      </c>
      <c r="I171" s="50">
        <v>25.09</v>
      </c>
      <c r="J171" s="50">
        <v>118.41</v>
      </c>
      <c r="K171" s="74" t="s">
        <v>43</v>
      </c>
      <c r="L171" s="53">
        <v>5</v>
      </c>
    </row>
    <row r="172" spans="1:12" ht="15" x14ac:dyDescent="0.25">
      <c r="A172" s="23"/>
      <c r="B172" s="15"/>
      <c r="C172" s="11"/>
      <c r="D172" s="7" t="s">
        <v>32</v>
      </c>
      <c r="E172" s="54" t="s">
        <v>42</v>
      </c>
      <c r="F172" s="49">
        <v>40</v>
      </c>
      <c r="G172" s="50">
        <v>2.65</v>
      </c>
      <c r="H172" s="50">
        <v>0.35</v>
      </c>
      <c r="I172" s="50">
        <v>16.96</v>
      </c>
      <c r="J172" s="50">
        <v>81.58</v>
      </c>
      <c r="K172" s="74" t="s">
        <v>43</v>
      </c>
      <c r="L172" s="53">
        <v>4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25.169999999999998</v>
      </c>
      <c r="H175" s="19">
        <f t="shared" si="80"/>
        <v>26.959999999999997</v>
      </c>
      <c r="I175" s="19">
        <f t="shared" si="80"/>
        <v>116.05000000000001</v>
      </c>
      <c r="J175" s="19">
        <f t="shared" si="80"/>
        <v>817.08999999999992</v>
      </c>
      <c r="K175" s="25"/>
      <c r="L175" s="19">
        <f t="shared" ref="L175" si="81">SUM(L166:L174)</f>
        <v>111.69</v>
      </c>
    </row>
    <row r="176" spans="1:12" ht="15.75" thickBot="1" x14ac:dyDescent="0.25">
      <c r="A176" s="29">
        <f>A158</f>
        <v>2</v>
      </c>
      <c r="B176" s="30">
        <f>B158</f>
        <v>4</v>
      </c>
      <c r="C176" s="87" t="s">
        <v>4</v>
      </c>
      <c r="D176" s="88"/>
      <c r="E176" s="31"/>
      <c r="F176" s="32">
        <f>F165+F175</f>
        <v>1270</v>
      </c>
      <c r="G176" s="32">
        <f t="shared" ref="G176" si="82">G165+G175</f>
        <v>43.831428571428567</v>
      </c>
      <c r="H176" s="32">
        <f t="shared" ref="H176" si="83">H165+H175</f>
        <v>45.639714285714277</v>
      </c>
      <c r="I176" s="32">
        <f t="shared" ref="I176" si="84">I165+I175</f>
        <v>194.60942857142857</v>
      </c>
      <c r="J176" s="32">
        <f t="shared" ref="J176:L176" si="85">J165+J175</f>
        <v>1397.7771428571427</v>
      </c>
      <c r="K176" s="32"/>
      <c r="L176" s="32">
        <f t="shared" si="85"/>
        <v>193.69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148</v>
      </c>
      <c r="F177" s="49">
        <v>150</v>
      </c>
      <c r="G177" s="50">
        <f>20.65*0.15</f>
        <v>3.0974999999999997</v>
      </c>
      <c r="H177" s="50">
        <v>7.86</v>
      </c>
      <c r="I177" s="50">
        <f>94.27*0.15</f>
        <v>14.140499999999999</v>
      </c>
      <c r="J177" s="50">
        <f>851*0.15</f>
        <v>127.64999999999999</v>
      </c>
      <c r="K177" s="73">
        <v>321</v>
      </c>
      <c r="L177" s="52">
        <v>18</v>
      </c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22</v>
      </c>
      <c r="E179" s="48" t="s">
        <v>149</v>
      </c>
      <c r="F179" s="49">
        <v>200</v>
      </c>
      <c r="G179" s="50">
        <v>1</v>
      </c>
      <c r="H179" s="50">
        <v>0</v>
      </c>
      <c r="I179" s="50">
        <v>20.2</v>
      </c>
      <c r="J179" s="50">
        <v>84.8</v>
      </c>
      <c r="K179" s="74">
        <v>389</v>
      </c>
      <c r="L179" s="53">
        <v>10</v>
      </c>
    </row>
    <row r="180" spans="1:12" ht="15" x14ac:dyDescent="0.25">
      <c r="A180" s="23"/>
      <c r="B180" s="15"/>
      <c r="C180" s="11"/>
      <c r="D180" s="7" t="s">
        <v>23</v>
      </c>
      <c r="E180" s="54" t="s">
        <v>42</v>
      </c>
      <c r="F180" s="49">
        <v>20</v>
      </c>
      <c r="G180" s="50">
        <v>1.1200000000000001</v>
      </c>
      <c r="H180" s="50">
        <v>0.22</v>
      </c>
      <c r="I180" s="50">
        <v>9.8800000000000008</v>
      </c>
      <c r="J180" s="50">
        <v>45.98</v>
      </c>
      <c r="K180" s="74" t="s">
        <v>43</v>
      </c>
      <c r="L180" s="53">
        <v>2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 t="s">
        <v>26</v>
      </c>
      <c r="E182" s="48" t="s">
        <v>150</v>
      </c>
      <c r="F182" s="81">
        <v>60</v>
      </c>
      <c r="G182" s="50">
        <v>0.8</v>
      </c>
      <c r="H182" s="50">
        <v>0.1</v>
      </c>
      <c r="I182" s="50">
        <v>5.0999999999999996</v>
      </c>
      <c r="J182" s="50">
        <v>15</v>
      </c>
      <c r="K182" s="74" t="s">
        <v>117</v>
      </c>
      <c r="L182" s="53">
        <v>10</v>
      </c>
    </row>
    <row r="183" spans="1:12" ht="15.75" thickBot="1" x14ac:dyDescent="0.3">
      <c r="A183" s="23"/>
      <c r="B183" s="15"/>
      <c r="C183" s="11"/>
      <c r="D183" s="6"/>
      <c r="E183" s="48" t="s">
        <v>151</v>
      </c>
      <c r="F183" s="49">
        <v>90</v>
      </c>
      <c r="G183" s="50">
        <v>11.7</v>
      </c>
      <c r="H183" s="50">
        <v>10.9</v>
      </c>
      <c r="I183" s="50">
        <v>15.8</v>
      </c>
      <c r="J183" s="50">
        <v>197</v>
      </c>
      <c r="K183" s="82">
        <v>241</v>
      </c>
      <c r="L183" s="62">
        <v>45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17.717500000000001</v>
      </c>
      <c r="H184" s="19">
        <f t="shared" si="86"/>
        <v>19.079999999999998</v>
      </c>
      <c r="I184" s="19">
        <f t="shared" si="86"/>
        <v>65.120500000000007</v>
      </c>
      <c r="J184" s="19">
        <f t="shared" si="86"/>
        <v>470.43</v>
      </c>
      <c r="K184" s="25"/>
      <c r="L184" s="19">
        <f t="shared" ref="L184" si="87">SUM(L177:L183)</f>
        <v>85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9" t="s">
        <v>96</v>
      </c>
      <c r="F185" s="83">
        <v>60</v>
      </c>
      <c r="G185" s="50">
        <v>0.67</v>
      </c>
      <c r="H185" s="50">
        <v>0.12</v>
      </c>
      <c r="I185" s="50">
        <v>2.2799999999999998</v>
      </c>
      <c r="J185" s="83">
        <v>13.2</v>
      </c>
      <c r="K185" s="80">
        <v>71</v>
      </c>
      <c r="L185" s="56">
        <v>10</v>
      </c>
    </row>
    <row r="186" spans="1:12" ht="15" x14ac:dyDescent="0.25">
      <c r="A186" s="23"/>
      <c r="B186" s="15"/>
      <c r="C186" s="11"/>
      <c r="D186" s="7" t="s">
        <v>27</v>
      </c>
      <c r="E186" s="48" t="s">
        <v>152</v>
      </c>
      <c r="F186" s="49">
        <v>200</v>
      </c>
      <c r="G186" s="50">
        <f>6.35*0.2</f>
        <v>1.27</v>
      </c>
      <c r="H186" s="50">
        <f>19.95*0.2</f>
        <v>3.99</v>
      </c>
      <c r="I186" s="50">
        <f>36.55*0.2</f>
        <v>7.31</v>
      </c>
      <c r="J186" s="81">
        <v>76.2</v>
      </c>
      <c r="K186" s="74">
        <v>99</v>
      </c>
      <c r="L186" s="53">
        <v>20</v>
      </c>
    </row>
    <row r="187" spans="1:12" ht="15" x14ac:dyDescent="0.25">
      <c r="A187" s="23"/>
      <c r="B187" s="15"/>
      <c r="C187" s="11"/>
      <c r="D187" s="7" t="s">
        <v>28</v>
      </c>
      <c r="E187" s="48" t="s">
        <v>153</v>
      </c>
      <c r="F187" s="49">
        <v>150</v>
      </c>
      <c r="G187" s="50">
        <f>6.4*150/90</f>
        <v>10.666666666666666</v>
      </c>
      <c r="H187" s="50">
        <f>9.5*150/90</f>
        <v>15.833333333333334</v>
      </c>
      <c r="I187" s="50">
        <v>41.18</v>
      </c>
      <c r="J187" s="50">
        <v>296.25</v>
      </c>
      <c r="K187" s="74" t="s">
        <v>154</v>
      </c>
      <c r="L187" s="53">
        <v>45.17</v>
      </c>
    </row>
    <row r="188" spans="1:12" ht="15" x14ac:dyDescent="0.25">
      <c r="A188" s="23"/>
      <c r="B188" s="15"/>
      <c r="C188" s="11"/>
      <c r="D188" s="7" t="s">
        <v>29</v>
      </c>
      <c r="E188" s="48" t="s">
        <v>155</v>
      </c>
      <c r="F188" s="49">
        <v>25</v>
      </c>
      <c r="G188" s="50">
        <v>0.3</v>
      </c>
      <c r="H188" s="50">
        <v>2.7</v>
      </c>
      <c r="I188" s="50">
        <v>2.2999999999999998</v>
      </c>
      <c r="J188" s="50">
        <v>44</v>
      </c>
      <c r="K188" s="72" t="s">
        <v>156</v>
      </c>
      <c r="L188" s="60">
        <v>5</v>
      </c>
    </row>
    <row r="189" spans="1:12" ht="15.75" thickBot="1" x14ac:dyDescent="0.3">
      <c r="A189" s="23"/>
      <c r="B189" s="15"/>
      <c r="C189" s="11"/>
      <c r="D189" s="7" t="s">
        <v>30</v>
      </c>
      <c r="E189" s="48" t="s">
        <v>73</v>
      </c>
      <c r="F189" s="49">
        <v>180</v>
      </c>
      <c r="G189" s="50">
        <v>5.22</v>
      </c>
      <c r="H189" s="50">
        <v>4.5</v>
      </c>
      <c r="I189" s="50">
        <v>7.2</v>
      </c>
      <c r="J189" s="50">
        <v>95.4</v>
      </c>
      <c r="K189" s="82" t="s">
        <v>43</v>
      </c>
      <c r="L189" s="62">
        <v>10</v>
      </c>
    </row>
    <row r="190" spans="1:12" ht="15" x14ac:dyDescent="0.25">
      <c r="A190" s="23"/>
      <c r="B190" s="15"/>
      <c r="C190" s="11"/>
      <c r="D190" s="7" t="s">
        <v>31</v>
      </c>
      <c r="E190" s="54" t="s">
        <v>54</v>
      </c>
      <c r="F190" s="49">
        <v>40</v>
      </c>
      <c r="G190" s="50">
        <v>3.05</v>
      </c>
      <c r="H190" s="50">
        <v>0.25</v>
      </c>
      <c r="I190" s="50">
        <v>20.07</v>
      </c>
      <c r="J190" s="50">
        <v>94.73</v>
      </c>
      <c r="K190" s="74" t="s">
        <v>43</v>
      </c>
      <c r="L190" s="53">
        <v>4</v>
      </c>
    </row>
    <row r="191" spans="1:12" ht="15" x14ac:dyDescent="0.25">
      <c r="A191" s="23"/>
      <c r="B191" s="15"/>
      <c r="C191" s="11"/>
      <c r="D191" s="7" t="s">
        <v>32</v>
      </c>
      <c r="E191" s="54" t="s">
        <v>42</v>
      </c>
      <c r="F191" s="49">
        <v>20</v>
      </c>
      <c r="G191" s="50">
        <v>1.1200000000000001</v>
      </c>
      <c r="H191" s="50">
        <v>0.22</v>
      </c>
      <c r="I191" s="50">
        <v>9.8800000000000008</v>
      </c>
      <c r="J191" s="50">
        <v>45.98</v>
      </c>
      <c r="K191" s="74" t="s">
        <v>43</v>
      </c>
      <c r="L191" s="53">
        <v>2</v>
      </c>
    </row>
    <row r="192" spans="1:12" ht="15" x14ac:dyDescent="0.25">
      <c r="A192" s="23"/>
      <c r="B192" s="15"/>
      <c r="C192" s="11"/>
      <c r="D192" s="6" t="s">
        <v>24</v>
      </c>
      <c r="E192" s="48" t="s">
        <v>69</v>
      </c>
      <c r="F192" s="49">
        <v>150</v>
      </c>
      <c r="G192" s="50">
        <v>1.35</v>
      </c>
      <c r="H192" s="50">
        <v>0.3</v>
      </c>
      <c r="I192" s="50">
        <v>12.15</v>
      </c>
      <c r="J192" s="50">
        <v>64.5</v>
      </c>
      <c r="K192" s="74" t="s">
        <v>70</v>
      </c>
      <c r="L192" s="53">
        <v>15</v>
      </c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825</v>
      </c>
      <c r="G194" s="19">
        <f t="shared" ref="G194:J194" si="88">SUM(G185:G193)</f>
        <v>23.646666666666668</v>
      </c>
      <c r="H194" s="19">
        <f t="shared" si="88"/>
        <v>27.913333333333334</v>
      </c>
      <c r="I194" s="19">
        <f t="shared" si="88"/>
        <v>102.37</v>
      </c>
      <c r="J194" s="19">
        <f t="shared" si="88"/>
        <v>730.26</v>
      </c>
      <c r="K194" s="25"/>
      <c r="L194" s="19">
        <f t="shared" ref="L194" si="89">SUM(L185:L193)</f>
        <v>111.17</v>
      </c>
    </row>
    <row r="195" spans="1:12" ht="15" x14ac:dyDescent="0.2">
      <c r="A195" s="29">
        <f>A177</f>
        <v>2</v>
      </c>
      <c r="B195" s="30">
        <f>B177</f>
        <v>5</v>
      </c>
      <c r="C195" s="87" t="s">
        <v>4</v>
      </c>
      <c r="D195" s="88"/>
      <c r="E195" s="31"/>
      <c r="F195" s="32">
        <f>F184+F194</f>
        <v>1345</v>
      </c>
      <c r="G195" s="32">
        <f t="shared" ref="G195" si="90">G184+G194</f>
        <v>41.364166666666669</v>
      </c>
      <c r="H195" s="32">
        <f t="shared" ref="H195" si="91">H184+H194</f>
        <v>46.993333333333332</v>
      </c>
      <c r="I195" s="32">
        <f t="shared" ref="I195" si="92">I184+I194</f>
        <v>167.4905</v>
      </c>
      <c r="J195" s="32">
        <f t="shared" ref="J195:L195" si="93">J184+J194</f>
        <v>1200.69</v>
      </c>
      <c r="K195" s="32"/>
      <c r="L195" s="32">
        <f t="shared" si="93"/>
        <v>196.17000000000002</v>
      </c>
    </row>
    <row r="196" spans="1:12" x14ac:dyDescent="0.2">
      <c r="A196" s="27"/>
      <c r="B196" s="28"/>
      <c r="C196" s="89" t="s">
        <v>5</v>
      </c>
      <c r="D196" s="89"/>
      <c r="E196" s="89"/>
      <c r="F196" s="34">
        <f>(F24+F43+F62+F81+F100+F119+F138+F157+F176+F195)/(IF(F24=0,0,1)+IF(F43=0,0,1)+IF(F62=0,0,1)+IF(F81=0,0,1)+IF(F100=0,0,1)+IF(F119=0,0,1)+IF(F138=0,0,1)+IF(F157=0,0,1)+IF(F176=0,0,1)+IF(F195=0,0,1))</f>
        <v>1351.5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43.354450345379256</v>
      </c>
      <c r="H196" s="34">
        <f t="shared" si="94"/>
        <v>46.022938082062858</v>
      </c>
      <c r="I196" s="34">
        <f t="shared" si="94"/>
        <v>183.62023064511578</v>
      </c>
      <c r="J196" s="34">
        <f t="shared" si="94"/>
        <v>1318.243324816488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197.62000000000003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2023-10-13T13:41:29Z</dcterms:modified>
</cp:coreProperties>
</file>