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workbookProtection workbookPassword="EB34" lockStructure="1"/>
  <bookViews>
    <workbookView xWindow="-120" yWindow="-120" windowWidth="20730" windowHeight="11160" tabRatio="603" firstSheet="3" activeTab="6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G2" i="20" l="1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I43" i="31" l="1"/>
  <c r="I37" i="31"/>
  <c r="H16" i="17" l="1"/>
  <c r="R16" i="17"/>
  <c r="H15" i="17"/>
  <c r="R15" i="17"/>
  <c r="H9" i="19"/>
  <c r="H9" i="17"/>
  <c r="R9" i="17"/>
  <c r="I101" i="31"/>
  <c r="I70" i="31" l="1"/>
  <c r="I49" i="31" l="1"/>
  <c r="I31" i="31" l="1"/>
  <c r="I62" i="31" l="1"/>
  <c r="I24" i="27" l="1"/>
  <c r="I100" i="31" l="1"/>
  <c r="I23" i="27" l="1"/>
  <c r="I57" i="31" l="1"/>
  <c r="I99" i="31" l="1"/>
  <c r="I13" i="27" l="1"/>
  <c r="I98" i="31" l="1"/>
  <c r="I64" i="31" l="1"/>
  <c r="I89" i="31" l="1"/>
  <c r="I91" i="31"/>
  <c r="I97" i="31"/>
  <c r="I87" i="31"/>
  <c r="I17" i="31" l="1"/>
  <c r="I9" i="31" l="1"/>
  <c r="I22" i="27" l="1"/>
  <c r="I21" i="27" l="1"/>
  <c r="I20" i="27"/>
  <c r="I19" i="27"/>
  <c r="I18" i="27" l="1"/>
  <c r="I17" i="27"/>
  <c r="I16" i="27" l="1"/>
  <c r="I12" i="27" l="1"/>
  <c r="I11" i="27" l="1"/>
  <c r="H9" i="22" l="1"/>
  <c r="R9" i="22"/>
  <c r="I81" i="31" l="1"/>
  <c r="I84" i="31"/>
  <c r="I78" i="31"/>
  <c r="I9" i="27" l="1"/>
  <c r="I86" i="31" l="1"/>
  <c r="I77" i="31" l="1"/>
  <c r="I76" i="31"/>
  <c r="I75" i="31"/>
  <c r="I69" i="31" l="1"/>
  <c r="I56" i="31" l="1"/>
  <c r="I55" i="31" l="1"/>
  <c r="I25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<sst xmlns="http://schemas.openxmlformats.org/spreadsheetml/2006/main" count="845" uniqueCount="326">
  <si>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</si>
  <si>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</si>
  <si>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</si>
  <si>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</si>
  <si>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</si>
  <si>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</si>
  <si>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</si>
  <si>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</si>
  <si>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</si>
  <si>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</si>
  <si>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</si>
  <si>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</si>
  <si>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</si>
  <si>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</si>
  <si>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</si>
  <si>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</si>
  <si>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</si>
  <si>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</si>
  <si>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</si>
  <si>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</si>
  <si>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</si>
  <si>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</si>
  <si>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</si>
  <si>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</si>
  <si>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</si>
  <si>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</si>
  <si>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</si>
  <si>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</si>
  <si>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</si>
  <si>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</si>
  <si>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</si>
  <si>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</si>
  <si>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</si>
  <si>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</si>
  <si>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</si>
  <si>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</si>
  <si>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</si>
  <si>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</si>
  <si>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</si>
  <si>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</si>
  <si>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</si>
  <si>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</si>
  <si>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</si>
  <si>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</si>
  <si>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</si>
  <si>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</si>
  <si>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</si>
  <si>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</si>
  <si>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</si>
  <si>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</si>
  <si>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</si>
  <si>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</si>
  <si>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</si>
  <si>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</si>
  <si>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</si>
  <si>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</si>
  <si>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</si>
  <si>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</si>
  <si>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</si>
  <si>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</si>
  <si>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</si>
  <si>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</si>
  <si>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</si>
  <si>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</si>
  <si>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</si>
  <si>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</si>
  <si>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</si>
  <si>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</si>
  <si>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</si>
  <si>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</si>
  <si>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</si>
  <si>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</si>
  <si>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</si>
  <si>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</si>
  <si>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</si>
  <si>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</si>
  <si>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</si>
  <si>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</si>
  <si>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</si>
  <si>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</si>
  <si>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</si>
  <si>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</si>
  <si>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</si>
  <si>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</si>
  <si>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</si>
  <si>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</si>
  <si>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</si>
  <si>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</si>
  <si>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</si>
  <si>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</si>
  <si>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</si>
  <si>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</si>
  <si>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</si>
  <si>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</si>
  <si>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</si>
  <si>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</si>
  <si>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</si>
  <si>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</si>
  <si>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</si>
  <si>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</si>
  <si>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</si>
  <si>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</si>
  <si>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</si>
  <si>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</si>
  <si>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</si>
  <si>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</si>
  <si>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</si>
  <si>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</si>
  <si>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</si>
  <si>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</si>
  <si>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</si>
  <si>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</si>
  <si>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</si>
  <si>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</si>
  <si>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</si>
  <si>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</si>
  <si>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</si>
  <si>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</si>
  <si>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</si>
  <si>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</si>
  <si>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</si>
  <si>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</si>
  <si>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</si>
  <si>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</si>
  <si>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</si>
  <si>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</si>
  <si>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</si>
  <si>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</si>
  <si>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</si>
  <si>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</si>
  <si>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</si>
  <si>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</si>
  <si>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</si>
  <si>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</si>
  <si>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</si>
  <si>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</si>
  <si>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</si>
  <si>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</si>
  <si>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</si>
  <si>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</si>
  <si>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</si>
  <si>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</si>
  <si>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</si>
  <si>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</si>
  <si>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</si>
  <si>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</si>
  <si>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</si>
  <si>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</si>
  <si>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</si>
  <si>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</si>
  <si>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</si>
  <si>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</si>
  <si>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</si>
  <si>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</si>
  <si>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</si>
  <si>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</si>
  <si>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</si>
  <si>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</si>
  <si>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</si>
  <si>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</si>
  <si>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</si>
  <si>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</si>
  <si>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</si>
  <si>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</si>
  <si>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</si>
  <si>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</si>
  <si>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</si>
  <si>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</si>
  <si>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</si>
  <si>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</si>
  <si>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</si>
  <si>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</si>
  <si>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</si>
  <si>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</si>
  <si>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</si>
  <si>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</si>
  <si>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</si>
  <si>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</si>
  <si>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</si>
  <si>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</si>
  <si>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</si>
  <si>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</si>
  <si>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</si>
  <si>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</si>
  <si>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</si>
  <si>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</si>
  <si>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</si>
  <si>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</si>
  <si>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</si>
  <si>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</si>
  <si>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</si>
  <si>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</si>
  <si>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</si>
  <si>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</si>
  <si>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</si>
  <si>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</si>
  <si>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</si>
  <si>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</si>
  <si>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</si>
  <si>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</si>
  <si>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</si>
  <si>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</si>
  <si>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</si>
  <si>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</si>
  <si>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</si>
  <si>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</si>
  <si>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</si>
  <si>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</si>
  <si>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</si>
  <si>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</si>
  <si>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</si>
  <si>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</si>
  <si>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</si>
  <si>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</si>
  <si>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</si>
  <si>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</si>
  <si>
    <t>с 01.02.2024 по 31.12.2024</t>
  </si>
  <si>
    <t>21/24</t>
  </si>
  <si>
    <t>Систематическая дератизация</t>
  </si>
  <si>
    <t>ООО "Дезинфекция"</t>
  </si>
  <si>
    <t>Услуги по обучению охране труда</t>
  </si>
  <si>
    <t>Услуги по обучению ответственных за пожарную безопасность</t>
  </si>
  <si>
    <t>ЧОУ ДПО "Сигнал"</t>
  </si>
  <si>
    <t>с 29.01.2024 по 02.02.2024</t>
  </si>
  <si>
    <t>с 29.01.2024 по 30.01.2024</t>
  </si>
  <si>
    <t>21-ОШ</t>
  </si>
  <si>
    <t>21-ОВЗ</t>
  </si>
  <si>
    <t>Услуги по организации горячего питания обучающихся  с ОВЗ</t>
  </si>
  <si>
    <t>с 09.01.2024 по 22.03.2024</t>
  </si>
  <si>
    <t xml:space="preserve">Услуги по организации горячего питания обучающихся </t>
  </si>
  <si>
    <t>ИП Эжьбаев Ю.Н.</t>
  </si>
  <si>
    <t>с 09.01.2024 по 22.03.2025</t>
  </si>
  <si>
    <t>21-СВО</t>
  </si>
  <si>
    <t xml:space="preserve">Услуги по организации горячего питания обучающихся  из семей граждан, призванных на военную службу по мобилизации </t>
  </si>
  <si>
    <t>21-СВО/1</t>
  </si>
  <si>
    <t>с 01.03.2024 по 22.03.2024</t>
  </si>
  <si>
    <t>ООО "РООС"</t>
  </si>
  <si>
    <t>2369007754</t>
  </si>
  <si>
    <t>Откачка и вывоз ЖБО</t>
  </si>
  <si>
    <t>с 01.04.2024 по 31.12.2024</t>
  </si>
  <si>
    <t>в срок не превышающий 10 рабочих дней с даты подписания акта оказанных услуг</t>
  </si>
  <si>
    <t>2310132554</t>
  </si>
  <si>
    <t>ООО "Краснодарский учколлектор"</t>
  </si>
  <si>
    <t>до 12.08.2024г</t>
  </si>
  <si>
    <t>Услуги по организации горячего питания обучающихся 1- 4 классов</t>
  </si>
  <si>
    <t>с 01.04.2024 по 24.05.2024г.</t>
  </si>
  <si>
    <t>21-ош/1</t>
  </si>
  <si>
    <t>21/1</t>
  </si>
  <si>
    <t xml:space="preserve">Услуги по организации горячего питания обучающихся  с ОВЗ, инвалидов, обучающихся  из семей граждан, призванных на военную службу по мобилизации </t>
  </si>
  <si>
    <t>34550724/010040</t>
  </si>
  <si>
    <t>с 01.03.2024 по 30.06.2024</t>
  </si>
  <si>
    <t>Оказание услуг по подготовке журналов движения отходов на 2024 год</t>
  </si>
  <si>
    <t>2353023292</t>
  </si>
  <si>
    <t>ООО "Экопроект"</t>
  </si>
  <si>
    <t>Проверка работы и очистка вентиляции  пищеблока на объекте</t>
  </si>
  <si>
    <t>2353002302</t>
  </si>
  <si>
    <t>с момента заключения контракта по 31.12.2024г.</t>
  </si>
  <si>
    <t>с 17.04.2024г по 26.04.2024г.</t>
  </si>
  <si>
    <t>Неисключительное право использования программы для ЭВМ</t>
  </si>
  <si>
    <t>234602203000</t>
  </si>
  <si>
    <t>ИП Архангельский А.А.</t>
  </si>
  <si>
    <t>18.04.2024</t>
  </si>
  <si>
    <t>б/н от 04.04.2024</t>
  </si>
  <si>
    <t>б/н от 01.04.2024</t>
  </si>
  <si>
    <t>235304188742</t>
  </si>
  <si>
    <t>ИП Кушнаренко Л.В.</t>
  </si>
  <si>
    <t>В течение 10 рабочих дней со дня заключения договора</t>
  </si>
  <si>
    <t>Баннер</t>
  </si>
  <si>
    <t>В течение 7 дней с момента подписания документа о приемке оказанных услуг</t>
  </si>
  <si>
    <t>Учебно-педагогическая документация</t>
  </si>
  <si>
    <t>АТ00-022374</t>
  </si>
  <si>
    <t>ЭП ФИС "ФРС о документах об обучении"</t>
  </si>
  <si>
    <t>2311187588</t>
  </si>
  <si>
    <t>ООО "АйТи Мониторинг"</t>
  </si>
  <si>
    <t>В течение 12 месяцев с момента передачи сертификата</t>
  </si>
  <si>
    <t>А0099331</t>
  </si>
  <si>
    <t>Учебная литература</t>
  </si>
  <si>
    <t>АО Издательство "Просвещение"</t>
  </si>
  <si>
    <t>До 30.07.2024</t>
  </si>
  <si>
    <t>В течение 10 рабочих  дней со дня подписания акта о приемке товара</t>
  </si>
  <si>
    <t xml:space="preserve"> 3235301533324000003 </t>
  </si>
  <si>
    <t>б/н от 15.04.2024</t>
  </si>
  <si>
    <t>23-11474</t>
  </si>
  <si>
    <t>Полтграфическая прдукция</t>
  </si>
  <si>
    <t>7706526550</t>
  </si>
  <si>
    <t>ООО "СпецБланк-Москва"</t>
  </si>
  <si>
    <t>В течение 40 календарных дней после получения Поставщиком подписанного еонтракта от Заказчика</t>
  </si>
  <si>
    <t>21-24-К</t>
  </si>
  <si>
    <t>Профилактическая дезинсекция открытой территории школы апртив клешей и блох</t>
  </si>
  <si>
    <t>2353018870</t>
  </si>
  <si>
    <t>ООО "Дезинсекция"</t>
  </si>
  <si>
    <t>24.05.2024</t>
  </si>
  <si>
    <t>830</t>
  </si>
  <si>
    <t>Флагшток, флаг, герб</t>
  </si>
  <si>
    <t>ИП Бабенко А.С</t>
  </si>
  <si>
    <t>В течение 60 рабочих дней со дня подписания контракта</t>
  </si>
  <si>
    <t>в течение 10 рабочих дней с даты подписания акта приемки</t>
  </si>
  <si>
    <t>в течение 10 рабочих дней с даты подписания акта оказанных услуг поставленного товара</t>
  </si>
  <si>
    <t>Газонокосилка</t>
  </si>
  <si>
    <t>ИП Герасимова Е.Ю.</t>
  </si>
  <si>
    <t>В течение 10 календарных дней со дня подписания контракта</t>
  </si>
  <si>
    <t>Образовательная услуга (переподготовка водителей)</t>
  </si>
  <si>
    <t>2353017179</t>
  </si>
  <si>
    <t>РО КРО "ВОА"</t>
  </si>
  <si>
    <t xml:space="preserve">В течение 10 рабочих дней  с момента подписания документа о приемке </t>
  </si>
  <si>
    <t xml:space="preserve">В течение 10 рабочих дней  с момента подписания документа о приемке  </t>
  </si>
  <si>
    <t>21-1</t>
  </si>
  <si>
    <t>Организация питания детей в период летнего лагеря дневного пребывания</t>
  </si>
  <si>
    <t>с 27.05.2024 по 16.06.2024г</t>
  </si>
  <si>
    <t>в течение 10 рабочих дней с даты подписания акта приемки оказанных услуг</t>
  </si>
  <si>
    <t>ООО "РН-карт"</t>
  </si>
  <si>
    <t>с 01.07.2024г.по 30.09.2024г.</t>
  </si>
  <si>
    <t>243235301395323530100100090018010244</t>
  </si>
  <si>
    <t>0818300019924000189</t>
  </si>
  <si>
    <t>3235301533324000005</t>
  </si>
  <si>
    <t>08183000199240001890001</t>
  </si>
  <si>
    <t>2304067057</t>
  </si>
  <si>
    <t>24323530139532353010010010005629244</t>
  </si>
  <si>
    <t>0818300019924000194</t>
  </si>
  <si>
    <t>3235301533324000006</t>
  </si>
  <si>
    <t>08183000199240001940001</t>
  </si>
  <si>
    <t>с 27 июня 2024г по 25 сентября 2024г</t>
  </si>
  <si>
    <t>с 02 сентября 2024г. По 29 ноября 2024г.</t>
  </si>
  <si>
    <t>б/н от 04.06.2024</t>
  </si>
  <si>
    <t>б/н от  04.06.2024</t>
  </si>
  <si>
    <t>б/н от 09.04.2024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</si>
</sst>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10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" fontId="1" fillId="19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2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0" xfId="0" applyNumberFormat="1" applyFont="1" applyFill="1" applyBorder="1" applyAlignment="1">
      <alignment horizontal="center" vertical="center" wrapText="1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5" xfId="0" applyNumberFormat="1" applyFont="1" applyFill="1" applyBorder="1" applyAlignment="1">
      <alignment horizontal="center" vertical="center" wrapText="1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8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>
      <alignment horizontal="center" vertical="center" wrapText="1"/>
    </xf>
    <xf numFmtId="1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8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>
      <alignment horizontal="center" vertical="center" wrapText="1"/>
    </xf>
    <xf numFmtId="16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8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>
      <alignment horizontal="center" vertical="center" wrapText="1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9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5" fillId="19" borderId="79" xfId="0" applyNumberFormat="1" applyFont="1" applyFill="1" applyBorder="1" applyAlignment="1">
      <alignment horizontal="center" vertical="center" wrapText="1"/>
    </xf>
    <xf numFmtId="4" fontId="1" fillId="19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7" xfId="0" applyNumberFormat="1" applyFont="1" applyFill="1" applyBorder="1" applyAlignment="1" applyProtection="1">
      <alignment horizontal="center" vertical="center" wrapText="1"/>
      <protection locked="0"/>
    </xf>
    <xf numFmtId="49" fontId="17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3" xfId="0" applyNumberFormat="1" applyFont="1" applyFill="1" applyBorder="1" applyAlignment="1">
      <alignment horizontal="center" vertical="center" wrapText="1"/>
    </xf>
    <xf numFmtId="49" fontId="15" fillId="18" borderId="64" xfId="0" applyNumberFormat="1" applyFont="1" applyFill="1" applyBorder="1" applyAlignment="1">
      <alignment horizontal="center" vertical="center" wrapText="1"/>
    </xf>
    <xf numFmtId="49" fontId="15" fillId="18" borderId="65" xfId="0" applyNumberFormat="1" applyFont="1" applyFill="1" applyBorder="1" applyAlignment="1">
      <alignment horizontal="center" vertical="center" wrapText="1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8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 wrapText="1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>
      <alignment horizontal="center" vertical="center" wrapText="1"/>
    </xf>
    <xf numFmtId="4" fontId="1" fillId="18" borderId="90" xfId="0" applyNumberFormat="1" applyFont="1" applyFill="1" applyBorder="1" applyAlignment="1">
      <alignment horizontal="center" vertical="center" wrapText="1"/>
    </xf>
    <xf numFmtId="4" fontId="1" fillId="18" borderId="91" xfId="0" applyNumberFormat="1" applyFont="1" applyFill="1" applyBorder="1" applyAlignment="1">
      <alignment horizontal="center" vertical="center" wrapText="1"/>
    </xf>
    <xf numFmtId="16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9" xfId="0" applyNumberFormat="1" applyFont="1" applyFill="1" applyBorder="1" applyAlignment="1">
      <alignment horizontal="center" vertical="center" wrapText="1"/>
    </xf>
    <xf numFmtId="49" fontId="15" fillId="18" borderId="90" xfId="0" applyNumberFormat="1" applyFont="1" applyFill="1" applyBorder="1" applyAlignment="1">
      <alignment horizontal="center" vertical="center" wrapText="1"/>
    </xf>
    <xf numFmtId="49" fontId="15" fillId="18" borderId="91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>
      <alignment horizontal="center" vertical="center" wrapText="1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9" xfId="0" applyNumberFormat="1" applyFont="1" applyFill="1" applyBorder="1" applyAlignment="1">
      <alignment horizontal="center" vertical="center" wrapText="1"/>
    </xf>
    <xf numFmtId="49" fontId="15" fillId="18" borderId="60" xfId="0" applyNumberFormat="1" applyFont="1" applyFill="1" applyBorder="1" applyAlignment="1">
      <alignment horizontal="center" vertical="center" wrapText="1"/>
    </xf>
    <xf numFmtId="49" fontId="15" fillId="18" borderId="61" xfId="0" applyNumberFormat="1" applyFont="1" applyFill="1" applyBorder="1" applyAlignment="1">
      <alignment horizontal="center" vertical="center" wrapText="1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>
      <alignment horizontal="center" vertical="center" wrapText="1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7" xfId="0" applyNumberFormat="1" applyFont="1" applyFill="1" applyBorder="1" applyAlignment="1">
      <alignment horizontal="center" vertical="center" wrapText="1"/>
    </xf>
    <xf numFmtId="49" fontId="15" fillId="18" borderId="78" xfId="0" applyNumberFormat="1" applyFont="1" applyFill="1" applyBorder="1" applyAlignment="1">
      <alignment horizontal="center" vertical="center" wrapText="1"/>
    </xf>
    <xf numFmtId="49" fontId="15" fillId="18" borderId="79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49" fontId="15" fillId="18" borderId="69" xfId="0" applyNumberFormat="1" applyFont="1" applyFill="1" applyBorder="1" applyAlignment="1">
      <alignment horizontal="center" vertical="center" wrapText="1"/>
    </xf>
    <xf numFmtId="49" fontId="15" fillId="18" borderId="70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6" xfId="0" applyNumberFormat="1" applyFont="1" applyFill="1" applyBorder="1" applyAlignment="1">
      <alignment horizontal="center" vertical="center" wrapText="1"/>
    </xf>
    <xf numFmtId="49" fontId="15" fillId="18" borderId="67" xfId="0" applyNumberFormat="1" applyFont="1" applyFill="1" applyBorder="1" applyAlignment="1">
      <alignment horizontal="center" vertical="center" wrapText="1"/>
    </xf>
    <xf numFmtId="49" fontId="15" fillId="18" borderId="68" xfId="0" applyNumberFormat="1" applyFont="1" applyFill="1" applyBorder="1" applyAlignment="1">
      <alignment horizontal="center" vertical="center" wrapText="1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0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8" xfId="0" applyNumberFormat="1" applyFont="1" applyFill="1" applyBorder="1" applyAlignment="1">
      <alignment horizontal="center" vertical="center" wrapText="1"/>
    </xf>
    <xf numFmtId="49" fontId="15" fillId="18" borderId="49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8" xfId="0" applyNumberFormat="1" applyFont="1" applyFill="1" applyBorder="1" applyAlignment="1">
      <alignment horizontal="center" vertical="center" wrapText="1"/>
    </xf>
    <xf numFmtId="49" fontId="15" fillId="18" borderId="29" xfId="0" applyNumberFormat="1" applyFont="1" applyFill="1" applyBorder="1" applyAlignment="1">
      <alignment horizontal="center" vertical="center" wrapText="1"/>
    </xf>
    <xf numFmtId="49" fontId="15" fillId="18" borderId="30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4" xfId="0" applyNumberFormat="1" applyFont="1" applyFill="1" applyBorder="1" applyAlignment="1">
      <alignment horizontal="center" vertical="center" wrapText="1"/>
    </xf>
    <xf numFmtId="49" fontId="15" fillId="18" borderId="75" xfId="0" applyNumberFormat="1" applyFont="1" applyFill="1" applyBorder="1" applyAlignment="1">
      <alignment horizontal="center" vertical="center" wrapText="1"/>
    </xf>
    <xf numFmtId="49" fontId="15" fillId="18" borderId="76" xfId="0" applyNumberFormat="1" applyFont="1" applyFill="1" applyBorder="1" applyAlignment="1">
      <alignment horizontal="center" vertical="center" wrapText="1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49" fontId="15" fillId="18" borderId="56" xfId="0" applyNumberFormat="1" applyFont="1" applyFill="1" applyBorder="1" applyAlignment="1">
      <alignment horizontal="center" vertical="center" wrapText="1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2" xfId="0" applyNumberFormat="1" applyFont="1" applyFill="1" applyBorder="1" applyAlignment="1">
      <alignment horizontal="center" vertical="center" wrapText="1"/>
    </xf>
    <xf numFmtId="49" fontId="15" fillId="4" borderId="43" xfId="0" applyNumberFormat="1" applyFont="1" applyFill="1" applyBorder="1" applyAlignment="1">
      <alignment horizontal="center" vertical="center" wrapText="1"/>
    </xf>
    <xf numFmtId="49" fontId="15" fillId="4" borderId="44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5" xfId="0" applyNumberFormat="1" applyFont="1" applyFill="1" applyBorder="1" applyAlignment="1">
      <alignment horizontal="center" vertical="center" wrapText="1"/>
    </xf>
    <xf numFmtId="49" fontId="15" fillId="4" borderId="46" xfId="0" applyNumberFormat="1" applyFont="1" applyFill="1" applyBorder="1" applyAlignment="1">
      <alignment horizontal="center" vertical="center" wrapText="1"/>
    </xf>
    <xf numFmtId="49" fontId="15" fillId="4" borderId="47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4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1" xfId="0" applyNumberFormat="1" applyFont="1" applyFill="1" applyBorder="1" applyAlignment="1">
      <alignment horizontal="center" vertical="center" wrapText="1"/>
    </xf>
    <xf numFmtId="49" fontId="15" fillId="18" borderId="72" xfId="0" applyNumberFormat="1" applyFont="1" applyFill="1" applyBorder="1" applyAlignment="1">
      <alignment horizontal="center" vertical="center" wrapText="1"/>
    </xf>
    <xf numFmtId="49" fontId="15" fillId="18" borderId="73" xfId="0" applyNumberFormat="1" applyFont="1" applyFill="1" applyBorder="1" applyAlignment="1">
      <alignment horizontal="center" vertical="center" wrapText="1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>
      <alignment horizontal="center" vertical="center" wrapText="1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4" fontId="1" fillId="18" borderId="79" xfId="0" applyNumberFormat="1" applyFont="1" applyFill="1" applyBorder="1" applyAlignment="1">
      <alignment horizontal="center" vertical="center" wrapText="1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80" xfId="0" applyNumberFormat="1" applyFont="1" applyFill="1" applyBorder="1" applyAlignment="1">
      <alignment horizontal="center" vertical="center" wrapText="1"/>
    </xf>
    <xf numFmtId="49" fontId="1" fillId="18" borderId="86" xfId="0" applyNumberFormat="1" applyFont="1" applyFill="1" applyBorder="1" applyAlignment="1">
      <alignment horizontal="center" vertical="center" wrapText="1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18" borderId="87" xfId="0" applyNumberFormat="1" applyFont="1" applyFill="1" applyBorder="1" applyAlignment="1">
      <alignment horizontal="center" vertical="center" wrapText="1"/>
    </xf>
    <xf numFmtId="1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80" xfId="0" applyNumberFormat="1" applyFont="1" applyFill="1" applyBorder="1" applyAlignment="1">
      <alignment horizontal="center" vertical="center" wrapText="1"/>
    </xf>
    <xf numFmtId="49" fontId="15" fillId="4" borderId="83" xfId="0" applyNumberFormat="1" applyFont="1" applyFill="1" applyBorder="1" applyAlignment="1">
      <alignment horizontal="center" vertical="center" wrapText="1"/>
    </xf>
    <xf numFmtId="49" fontId="15" fillId="4" borderId="86" xfId="0" applyNumberFormat="1" applyFont="1" applyFill="1" applyBorder="1" applyAlignment="1">
      <alignment horizontal="center" vertical="center" wrapText="1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10" zoomScale="70" zoomScaleNormal="70" workbookViewId="0">
      <selection activeCell="K24" sqref="K24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510" t="s">
        <v>141</v>
      </c>
      <c r="B1" s="511"/>
      <c r="C1" s="511"/>
      <c r="D1" s="511"/>
      <c r="E1" s="512" t="s">
        <v>145</v>
      </c>
      <c r="F1" s="513"/>
      <c r="G1" s="513"/>
      <c r="H1" s="513"/>
      <c r="I1" s="513"/>
      <c r="J1" s="513"/>
      <c r="K1" s="513"/>
      <c r="L1" s="513"/>
      <c r="M1" s="513"/>
      <c r="N1" s="514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548" t="s">
        <v>25</v>
      </c>
      <c r="B4" s="549"/>
      <c r="C4" s="4">
        <v>6467753.04</v>
      </c>
      <c r="D4" s="5"/>
      <c r="E4" s="550" t="s">
        <v>140</v>
      </c>
      <c r="F4" s="551"/>
      <c r="G4" s="552"/>
      <c r="H4" s="553">
        <v>1818249.5</v>
      </c>
      <c r="I4" s="554"/>
      <c r="J4" s="555"/>
      <c r="K4" s="17"/>
      <c r="L4" s="76" t="s">
        <v>55</v>
      </c>
      <c r="M4" s="550">
        <v>2514312.7599999998</v>
      </c>
      <c r="N4" s="552"/>
    </row>
    <row r="5" spans="1:14" ht="30.75" customHeight="1" thickBot="1" x14ac:dyDescent="0.3">
      <c r="A5" s="548" t="s">
        <v>26</v>
      </c>
      <c r="B5" s="549"/>
      <c r="C5" s="6">
        <f>C4-G15+J15</f>
        <v>2414614.67</v>
      </c>
      <c r="D5" s="5"/>
      <c r="E5" s="550" t="s">
        <v>53</v>
      </c>
      <c r="F5" s="551"/>
      <c r="G5" s="552"/>
      <c r="H5" s="543">
        <f>H4-G12</f>
        <v>1437338.93</v>
      </c>
      <c r="I5" s="544"/>
      <c r="J5" s="545"/>
      <c r="K5" s="17"/>
      <c r="L5" s="76" t="s">
        <v>54</v>
      </c>
      <c r="M5" s="546">
        <f>M4-G13</f>
        <v>777674.05999999959</v>
      </c>
      <c r="N5" s="547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556" t="s">
        <v>27</v>
      </c>
      <c r="B8" s="557"/>
      <c r="C8" s="558"/>
      <c r="D8" s="556" t="s">
        <v>28</v>
      </c>
      <c r="E8" s="557"/>
      <c r="F8" s="558"/>
      <c r="G8" s="559" t="s">
        <v>29</v>
      </c>
      <c r="H8" s="560"/>
      <c r="I8" s="561"/>
      <c r="J8" s="559" t="s">
        <v>142</v>
      </c>
      <c r="K8" s="560"/>
      <c r="L8" s="561"/>
      <c r="M8" s="556" t="s">
        <v>30</v>
      </c>
      <c r="N8" s="558"/>
    </row>
    <row r="9" spans="1:14" ht="41.25" customHeight="1" thickBot="1" x14ac:dyDescent="0.3">
      <c r="A9" s="534" t="s">
        <v>31</v>
      </c>
      <c r="B9" s="535"/>
      <c r="C9" s="536"/>
      <c r="D9" s="533">
        <f>'Состоявшиеся аукционы'!G2</f>
        <v>1548849.06</v>
      </c>
      <c r="E9" s="533"/>
      <c r="F9" s="533"/>
      <c r="G9" s="533">
        <f>'Состоявшиеся аукционы'!Q2</f>
        <v>1071537.3400000001</v>
      </c>
      <c r="H9" s="533"/>
      <c r="I9" s="533"/>
      <c r="J9" s="530">
        <f>'Состоявшиеся аукционы'!AB2</f>
        <v>0</v>
      </c>
      <c r="K9" s="531"/>
      <c r="L9" s="532"/>
      <c r="M9" s="533">
        <f t="shared" ref="M9:M15" si="0">D9-G9</f>
        <v>477311.72</v>
      </c>
      <c r="N9" s="533"/>
    </row>
    <row r="10" spans="1:14" ht="78.75" customHeight="1" thickBot="1" x14ac:dyDescent="0.3">
      <c r="A10" s="534" t="s">
        <v>49</v>
      </c>
      <c r="B10" s="535"/>
      <c r="C10" s="536"/>
      <c r="D10" s="533">
        <f>'Несостоявшиеся аукционы'!G2</f>
        <v>359413.18</v>
      </c>
      <c r="E10" s="533"/>
      <c r="F10" s="533"/>
      <c r="G10" s="533">
        <f>'Несостоявшиеся аукционы'!Q2</f>
        <v>359413.18</v>
      </c>
      <c r="H10" s="533"/>
      <c r="I10" s="533"/>
      <c r="J10" s="530">
        <f>'Несостоявшиеся аукционы'!AB2</f>
        <v>5353.48</v>
      </c>
      <c r="K10" s="531"/>
      <c r="L10" s="532"/>
      <c r="M10" s="533">
        <f t="shared" si="0"/>
        <v>0</v>
      </c>
      <c r="N10" s="533"/>
    </row>
    <row r="11" spans="1:14" ht="40.5" customHeight="1" thickBot="1" x14ac:dyDescent="0.3">
      <c r="A11" s="534" t="s">
        <v>83</v>
      </c>
      <c r="B11" s="535"/>
      <c r="C11" s="536"/>
      <c r="D11" s="530">
        <f>'Иные конкурентные закупки'!G2</f>
        <v>0</v>
      </c>
      <c r="E11" s="531"/>
      <c r="F11" s="532"/>
      <c r="G11" s="530">
        <f>'Иные конкурентные закупки'!Q2</f>
        <v>0</v>
      </c>
      <c r="H11" s="531"/>
      <c r="I11" s="532"/>
      <c r="J11" s="530">
        <f>'Иные конкурентные закупки'!AB2</f>
        <v>0</v>
      </c>
      <c r="K11" s="531"/>
      <c r="L11" s="532"/>
      <c r="M11" s="530">
        <f t="shared" si="0"/>
        <v>0</v>
      </c>
      <c r="N11" s="532"/>
    </row>
    <row r="12" spans="1:14" ht="54.75" customHeight="1" thickBot="1" x14ac:dyDescent="0.3">
      <c r="A12" s="537" t="s">
        <v>50</v>
      </c>
      <c r="B12" s="538"/>
      <c r="C12" s="539"/>
      <c r="D12" s="533">
        <f>'Ед. поставщик п.4 ч.1'!H2</f>
        <v>380910.57000000007</v>
      </c>
      <c r="E12" s="533"/>
      <c r="F12" s="533"/>
      <c r="G12" s="533">
        <f>D12</f>
        <v>380910.57000000007</v>
      </c>
      <c r="H12" s="533"/>
      <c r="I12" s="533"/>
      <c r="J12" s="530">
        <f>'Ед. поставщик п.4 ч.1'!V2</f>
        <v>16082.5</v>
      </c>
      <c r="K12" s="531"/>
      <c r="L12" s="532"/>
      <c r="M12" s="533">
        <f t="shared" si="0"/>
        <v>0</v>
      </c>
      <c r="N12" s="533"/>
    </row>
    <row r="13" spans="1:14" ht="45.75" customHeight="1" thickBot="1" x14ac:dyDescent="0.3">
      <c r="A13" s="537" t="s">
        <v>51</v>
      </c>
      <c r="B13" s="538"/>
      <c r="C13" s="539"/>
      <c r="D13" s="533">
        <f>'Ед. поставщик п.5 ч.1'!H2</f>
        <v>1736638.7000000002</v>
      </c>
      <c r="E13" s="533"/>
      <c r="F13" s="533"/>
      <c r="G13" s="533">
        <f>D13</f>
        <v>1736638.7000000002</v>
      </c>
      <c r="H13" s="533"/>
      <c r="I13" s="533"/>
      <c r="J13" s="530">
        <f>'Ед. поставщик п.5 ч.1'!V2</f>
        <v>61869.939999999995</v>
      </c>
      <c r="K13" s="531"/>
      <c r="L13" s="532"/>
      <c r="M13" s="533">
        <f t="shared" si="0"/>
        <v>0</v>
      </c>
      <c r="N13" s="533"/>
    </row>
    <row r="14" spans="1:14" ht="45.75" customHeight="1" thickBot="1" x14ac:dyDescent="0.3">
      <c r="A14" s="527" t="s">
        <v>52</v>
      </c>
      <c r="B14" s="528"/>
      <c r="C14" s="529"/>
      <c r="D14" s="530">
        <f>'Ед.поставщик за искл. п.4,5 ч.1'!G2</f>
        <v>587944.5</v>
      </c>
      <c r="E14" s="531"/>
      <c r="F14" s="532"/>
      <c r="G14" s="530">
        <f>D14</f>
        <v>587944.5</v>
      </c>
      <c r="H14" s="531"/>
      <c r="I14" s="532"/>
      <c r="J14" s="530">
        <f>'Ед.поставщик за искл. п.4,5 ч.1'!T2</f>
        <v>0</v>
      </c>
      <c r="K14" s="531"/>
      <c r="L14" s="532"/>
      <c r="M14" s="533">
        <f t="shared" si="0"/>
        <v>0</v>
      </c>
      <c r="N14" s="533"/>
    </row>
    <row r="15" spans="1:14" ht="21" thickBot="1" x14ac:dyDescent="0.3">
      <c r="A15" s="540" t="s">
        <v>146</v>
      </c>
      <c r="B15" s="541"/>
      <c r="C15" s="542"/>
      <c r="D15" s="533">
        <f>SUM(D9:D14)</f>
        <v>4613756.01</v>
      </c>
      <c r="E15" s="533"/>
      <c r="F15" s="533"/>
      <c r="G15" s="530">
        <f>SUM(G9:G14)</f>
        <v>4136444.29</v>
      </c>
      <c r="H15" s="531"/>
      <c r="I15" s="532"/>
      <c r="J15" s="530">
        <f>SUM(J9:J14)</f>
        <v>83305.919999999998</v>
      </c>
      <c r="K15" s="531"/>
      <c r="L15" s="532"/>
      <c r="M15" s="533">
        <f t="shared" si="0"/>
        <v>477311.71999999974</v>
      </c>
      <c r="N15" s="533"/>
    </row>
    <row r="18" spans="1:12" ht="15.75" thickBot="1" x14ac:dyDescent="0.3"/>
    <row r="19" spans="1:12" ht="23.25" customHeight="1" x14ac:dyDescent="0.25">
      <c r="A19" s="515" t="s">
        <v>35</v>
      </c>
      <c r="B19" s="516"/>
      <c r="C19" s="517"/>
      <c r="D19" s="521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2948984.784</v>
      </c>
      <c r="E19" s="522"/>
      <c r="F19" s="522"/>
      <c r="G19" s="523"/>
      <c r="I19" s="15"/>
      <c r="J19" s="15"/>
      <c r="K19" s="15"/>
      <c r="L19" s="15"/>
    </row>
    <row r="20" spans="1:12" ht="24" customHeight="1" thickBot="1" x14ac:dyDescent="0.3">
      <c r="A20" s="518"/>
      <c r="B20" s="519"/>
      <c r="C20" s="520"/>
      <c r="D20" s="524"/>
      <c r="E20" s="525"/>
      <c r="F20" s="525"/>
      <c r="G20" s="526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25"/>
  <sheetViews>
    <sheetView showGridLines="0" topLeftCell="H1" zoomScale="50" zoomScaleNormal="50" workbookViewId="0">
      <pane ySplit="8" topLeftCell="A9" activePane="bottomLeft" state="frozen"/>
      <selection activeCell="I1" sqref="I1"/>
      <selection pane="bottomLeft" activeCell="T12" sqref="T12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380910.57000000007</v>
      </c>
      <c r="K2" s="585"/>
      <c r="L2" s="585"/>
      <c r="M2" s="585"/>
      <c r="N2" s="586" t="s">
        <v>137</v>
      </c>
      <c r="O2" s="588"/>
      <c r="P2" s="66">
        <f>SUM(P9:P9999)</f>
        <v>168987.5</v>
      </c>
      <c r="R2" s="65"/>
      <c r="S2" s="586" t="s">
        <v>45</v>
      </c>
      <c r="T2" s="587"/>
      <c r="U2" s="588"/>
      <c r="V2" s="67">
        <f>SUM(V9:V9999)</f>
        <v>16082.5</v>
      </c>
    </row>
    <row r="3" spans="1:24" x14ac:dyDescent="0.25">
      <c r="A3" s="585"/>
      <c r="B3" s="585"/>
      <c r="C3" s="585"/>
      <c r="D3" s="585"/>
      <c r="E3" s="585"/>
      <c r="N3" s="65"/>
    </row>
    <row r="4" spans="1:24" ht="39.950000000000003" customHeight="1" x14ac:dyDescent="0.25">
      <c r="J4" s="589"/>
      <c r="K4" s="589"/>
      <c r="M4" s="589"/>
      <c r="N4" s="589"/>
      <c r="O4" s="589"/>
      <c r="P4" s="589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14" customFormat="1" ht="90" customHeight="1" x14ac:dyDescent="0.25">
      <c r="A9" s="562">
        <v>1</v>
      </c>
      <c r="B9" s="568" t="s">
        <v>56</v>
      </c>
      <c r="C9" s="568" t="s">
        <v>147</v>
      </c>
      <c r="D9" s="568" t="s">
        <v>158</v>
      </c>
      <c r="E9" s="594" t="s">
        <v>190</v>
      </c>
      <c r="F9" s="564">
        <v>45288</v>
      </c>
      <c r="G9" s="568" t="s">
        <v>215</v>
      </c>
      <c r="H9" s="566">
        <v>70000</v>
      </c>
      <c r="I9" s="596">
        <f>IF(X9 = 2, H9 + SUM(S9:S10) - SUM(T9:T10) - SUM(P9:P10) - V9,0)</f>
        <v>0</v>
      </c>
      <c r="J9" s="568" t="s">
        <v>193</v>
      </c>
      <c r="K9" s="568" t="s">
        <v>191</v>
      </c>
      <c r="L9" s="568" t="s">
        <v>147</v>
      </c>
      <c r="M9" s="568" t="s">
        <v>192</v>
      </c>
      <c r="N9" s="168">
        <v>45322</v>
      </c>
      <c r="O9" s="564" t="s">
        <v>214</v>
      </c>
      <c r="P9" s="161">
        <v>21567</v>
      </c>
      <c r="Q9" s="162">
        <v>45328</v>
      </c>
      <c r="R9" s="163"/>
      <c r="S9" s="164"/>
      <c r="T9" s="164"/>
      <c r="U9" s="566" t="s">
        <v>325</v>
      </c>
      <c r="V9" s="590">
        <v>16082.5</v>
      </c>
      <c r="W9" s="592"/>
      <c r="X9" s="14">
        <v>2</v>
      </c>
    </row>
    <row r="10" spans="1:24" s="110" customFormat="1" x14ac:dyDescent="0.25">
      <c r="A10" s="563"/>
      <c r="B10" s="569"/>
      <c r="C10" s="569"/>
      <c r="D10" s="569"/>
      <c r="E10" s="595"/>
      <c r="F10" s="565"/>
      <c r="G10" s="569"/>
      <c r="H10" s="567"/>
      <c r="I10" s="597"/>
      <c r="J10" s="569"/>
      <c r="K10" s="569"/>
      <c r="L10" s="569"/>
      <c r="M10" s="569"/>
      <c r="N10" s="169">
        <v>45351</v>
      </c>
      <c r="O10" s="565"/>
      <c r="P10" s="194">
        <v>32350.5</v>
      </c>
      <c r="Q10" s="166">
        <v>45362</v>
      </c>
      <c r="R10" s="167"/>
      <c r="S10" s="165"/>
      <c r="T10" s="165"/>
      <c r="U10" s="567"/>
      <c r="V10" s="591"/>
      <c r="W10" s="593"/>
      <c r="X10" s="110">
        <v>2</v>
      </c>
    </row>
    <row r="11" spans="1:24" s="80" customFormat="1" ht="90" customHeight="1" x14ac:dyDescent="0.25">
      <c r="A11" s="201">
        <v>2</v>
      </c>
      <c r="B11" s="197" t="s">
        <v>56</v>
      </c>
      <c r="C11" s="197" t="s">
        <v>147</v>
      </c>
      <c r="D11" s="197" t="s">
        <v>158</v>
      </c>
      <c r="E11" s="229">
        <v>1</v>
      </c>
      <c r="F11" s="203">
        <v>45383</v>
      </c>
      <c r="G11" s="197" t="s">
        <v>238</v>
      </c>
      <c r="H11" s="199">
        <v>15000</v>
      </c>
      <c r="I11" s="196">
        <f>IF(X11 = 72, H11 + SUM(S11:S11) - SUM(T11:T11) - SUM(P11:P11) - V11,0)</f>
        <v>11500</v>
      </c>
      <c r="J11" s="197" t="s">
        <v>237</v>
      </c>
      <c r="K11" s="197" t="s">
        <v>236</v>
      </c>
      <c r="L11" s="197" t="s">
        <v>147</v>
      </c>
      <c r="M11" s="197" t="s">
        <v>239</v>
      </c>
      <c r="N11" s="203">
        <v>45383</v>
      </c>
      <c r="O11" s="203" t="s">
        <v>240</v>
      </c>
      <c r="P11" s="239">
        <v>3500</v>
      </c>
      <c r="Q11" s="198">
        <v>45385</v>
      </c>
      <c r="R11" s="197"/>
      <c r="S11" s="199"/>
      <c r="T11" s="199"/>
      <c r="U11" s="199"/>
      <c r="V11" s="202"/>
      <c r="W11" s="200"/>
      <c r="X11" s="80">
        <v>72</v>
      </c>
    </row>
    <row r="12" spans="1:24" s="80" customFormat="1" ht="93.75" x14ac:dyDescent="0.25">
      <c r="A12" s="209">
        <v>3</v>
      </c>
      <c r="B12" s="205" t="s">
        <v>56</v>
      </c>
      <c r="C12" s="205" t="s">
        <v>147</v>
      </c>
      <c r="D12" s="212" t="s">
        <v>158</v>
      </c>
      <c r="E12" s="229">
        <v>25</v>
      </c>
      <c r="F12" s="210">
        <v>45392</v>
      </c>
      <c r="G12" s="205" t="s">
        <v>269</v>
      </c>
      <c r="H12" s="207">
        <v>1585</v>
      </c>
      <c r="I12" s="204">
        <f>IF(X12 = 73, H12 + SUM(S12:S12) - SUM(T12:T12) - SUM(P12:P12) - V12,0)</f>
        <v>0</v>
      </c>
      <c r="J12" s="205" t="s">
        <v>241</v>
      </c>
      <c r="K12" s="205" t="s">
        <v>242</v>
      </c>
      <c r="L12" s="205" t="s">
        <v>147</v>
      </c>
      <c r="M12" s="205" t="s">
        <v>243</v>
      </c>
      <c r="N12" s="210">
        <v>45407</v>
      </c>
      <c r="O12" s="211" t="s">
        <v>214</v>
      </c>
      <c r="P12" s="239">
        <v>1585</v>
      </c>
      <c r="Q12" s="206">
        <v>45407</v>
      </c>
      <c r="R12" s="205"/>
      <c r="S12" s="207"/>
      <c r="T12" s="207"/>
      <c r="U12" s="207"/>
      <c r="V12" s="202"/>
      <c r="W12" s="208"/>
      <c r="X12" s="80">
        <v>73</v>
      </c>
    </row>
    <row r="13" spans="1:24" s="80" customFormat="1" ht="90" customHeight="1" x14ac:dyDescent="0.25">
      <c r="A13" s="570">
        <v>4</v>
      </c>
      <c r="B13" s="579" t="s">
        <v>56</v>
      </c>
      <c r="C13" s="579" t="s">
        <v>147</v>
      </c>
      <c r="D13" s="579" t="s">
        <v>158</v>
      </c>
      <c r="E13" s="582" t="s">
        <v>249</v>
      </c>
      <c r="F13" s="573">
        <v>45351</v>
      </c>
      <c r="G13" s="579" t="s">
        <v>215</v>
      </c>
      <c r="H13" s="576">
        <v>183649.91</v>
      </c>
      <c r="I13" s="601">
        <f>IF(X13 = 74, H13 + SUM(S13:S15) - SUM(T13:T15) - SUM(P13:P15) - V13,0)</f>
        <v>113130.41</v>
      </c>
      <c r="J13" s="579" t="s">
        <v>193</v>
      </c>
      <c r="K13" s="579" t="s">
        <v>191</v>
      </c>
      <c r="L13" s="579" t="s">
        <v>147</v>
      </c>
      <c r="M13" s="579" t="s">
        <v>250</v>
      </c>
      <c r="N13" s="354">
        <v>45382</v>
      </c>
      <c r="O13" s="573" t="s">
        <v>214</v>
      </c>
      <c r="P13" s="343">
        <v>22594</v>
      </c>
      <c r="Q13" s="344">
        <v>45390</v>
      </c>
      <c r="R13" s="345"/>
      <c r="S13" s="346"/>
      <c r="T13" s="346"/>
      <c r="U13" s="576"/>
      <c r="V13" s="604"/>
      <c r="W13" s="598"/>
      <c r="X13" s="80">
        <v>74</v>
      </c>
    </row>
    <row r="14" spans="1:24" s="110" customFormat="1" x14ac:dyDescent="0.25">
      <c r="A14" s="571"/>
      <c r="B14" s="580"/>
      <c r="C14" s="580"/>
      <c r="D14" s="580"/>
      <c r="E14" s="583"/>
      <c r="F14" s="574"/>
      <c r="G14" s="580"/>
      <c r="H14" s="577"/>
      <c r="I14" s="602"/>
      <c r="J14" s="580"/>
      <c r="K14" s="580"/>
      <c r="L14" s="580"/>
      <c r="M14" s="580"/>
      <c r="N14" s="355">
        <v>45412</v>
      </c>
      <c r="O14" s="574"/>
      <c r="P14" s="347">
        <v>27775</v>
      </c>
      <c r="Q14" s="348">
        <v>45419</v>
      </c>
      <c r="R14" s="349"/>
      <c r="S14" s="350"/>
      <c r="T14" s="350"/>
      <c r="U14" s="577"/>
      <c r="V14" s="605"/>
      <c r="W14" s="599"/>
      <c r="X14" s="110">
        <v>74</v>
      </c>
    </row>
    <row r="15" spans="1:24" s="110" customFormat="1" x14ac:dyDescent="0.25">
      <c r="A15" s="572"/>
      <c r="B15" s="581"/>
      <c r="C15" s="581"/>
      <c r="D15" s="581"/>
      <c r="E15" s="584"/>
      <c r="F15" s="575"/>
      <c r="G15" s="581"/>
      <c r="H15" s="578"/>
      <c r="I15" s="603"/>
      <c r="J15" s="581"/>
      <c r="K15" s="581"/>
      <c r="L15" s="581"/>
      <c r="M15" s="581"/>
      <c r="N15" s="356">
        <v>45443</v>
      </c>
      <c r="O15" s="575"/>
      <c r="P15" s="488">
        <v>20150.5</v>
      </c>
      <c r="Q15" s="352">
        <v>45450</v>
      </c>
      <c r="R15" s="353"/>
      <c r="S15" s="351"/>
      <c r="T15" s="351"/>
      <c r="U15" s="578"/>
      <c r="V15" s="606"/>
      <c r="W15" s="600"/>
      <c r="X15" s="110">
        <v>74</v>
      </c>
    </row>
    <row r="16" spans="1:24" s="80" customFormat="1" ht="75" x14ac:dyDescent="0.25">
      <c r="A16" s="214">
        <v>5</v>
      </c>
      <c r="B16" s="213" t="s">
        <v>56</v>
      </c>
      <c r="C16" s="216" t="s">
        <v>147</v>
      </c>
      <c r="D16" s="213" t="s">
        <v>158</v>
      </c>
      <c r="E16" s="230">
        <v>1021</v>
      </c>
      <c r="F16" s="228">
        <v>45400</v>
      </c>
      <c r="G16" s="216" t="s">
        <v>251</v>
      </c>
      <c r="H16" s="215">
        <v>3000</v>
      </c>
      <c r="I16" s="219">
        <f>IF(X16 = 75, H16 + SUM(S16:S16) - SUM(T16:T16) - SUM(P16:P16) - V16,0)</f>
        <v>0</v>
      </c>
      <c r="J16" s="216" t="s">
        <v>252</v>
      </c>
      <c r="K16" s="216" t="s">
        <v>253</v>
      </c>
      <c r="L16" s="216" t="s">
        <v>147</v>
      </c>
      <c r="M16" s="216" t="s">
        <v>256</v>
      </c>
      <c r="N16" s="228">
        <v>45400</v>
      </c>
      <c r="O16" s="228" t="s">
        <v>268</v>
      </c>
      <c r="P16" s="240">
        <v>3000</v>
      </c>
      <c r="Q16" s="218">
        <v>45406</v>
      </c>
      <c r="R16" s="216"/>
      <c r="S16" s="215"/>
      <c r="T16" s="215"/>
      <c r="U16" s="215"/>
      <c r="V16" s="227"/>
      <c r="W16" s="217"/>
      <c r="X16" s="80">
        <v>75</v>
      </c>
    </row>
    <row r="17" spans="1:24" s="80" customFormat="1" ht="75" x14ac:dyDescent="0.25">
      <c r="A17" s="226">
        <v>6</v>
      </c>
      <c r="B17" s="224" t="s">
        <v>56</v>
      </c>
      <c r="C17" s="223" t="s">
        <v>147</v>
      </c>
      <c r="D17" s="224" t="s">
        <v>158</v>
      </c>
      <c r="E17" s="230">
        <v>102</v>
      </c>
      <c r="F17" s="231">
        <v>45399</v>
      </c>
      <c r="G17" s="223" t="s">
        <v>254</v>
      </c>
      <c r="H17" s="221">
        <v>4500</v>
      </c>
      <c r="I17" s="222">
        <f>IF(X17 = 76, H17 + SUM(S17:S17) - SUM(T17:T17) - SUM(P17:P17) - V17,0)</f>
        <v>0</v>
      </c>
      <c r="J17" s="223" t="s">
        <v>255</v>
      </c>
      <c r="K17" s="223" t="s">
        <v>182</v>
      </c>
      <c r="L17" s="223" t="s">
        <v>147</v>
      </c>
      <c r="M17" s="223" t="s">
        <v>257</v>
      </c>
      <c r="N17" s="231">
        <v>45399</v>
      </c>
      <c r="O17" s="228" t="s">
        <v>304</v>
      </c>
      <c r="P17" s="240">
        <v>4500</v>
      </c>
      <c r="Q17" s="220">
        <v>45405</v>
      </c>
      <c r="R17" s="223"/>
      <c r="S17" s="221"/>
      <c r="T17" s="221"/>
      <c r="U17" s="221"/>
      <c r="V17" s="227"/>
      <c r="W17" s="225"/>
      <c r="X17" s="80">
        <v>76</v>
      </c>
    </row>
    <row r="18" spans="1:24" s="80" customFormat="1" ht="75" x14ac:dyDescent="0.25">
      <c r="A18" s="226">
        <v>7</v>
      </c>
      <c r="B18" s="224" t="s">
        <v>56</v>
      </c>
      <c r="C18" s="223" t="s">
        <v>147</v>
      </c>
      <c r="D18" s="224" t="s">
        <v>158</v>
      </c>
      <c r="E18" s="230">
        <v>3086</v>
      </c>
      <c r="F18" s="231">
        <v>45400</v>
      </c>
      <c r="G18" s="223" t="s">
        <v>258</v>
      </c>
      <c r="H18" s="221">
        <v>8000</v>
      </c>
      <c r="I18" s="222">
        <f>IF(X18 = 77, H18 + SUM(S18:S18) - SUM(T18:T18) - SUM(P18:P18) - V18,0)</f>
        <v>0</v>
      </c>
      <c r="J18" s="223" t="s">
        <v>259</v>
      </c>
      <c r="K18" s="223" t="s">
        <v>260</v>
      </c>
      <c r="L18" s="223" t="s">
        <v>147</v>
      </c>
      <c r="M18" s="223" t="s">
        <v>261</v>
      </c>
      <c r="N18" s="231">
        <v>45400</v>
      </c>
      <c r="O18" s="231" t="s">
        <v>304</v>
      </c>
      <c r="P18" s="240">
        <v>8000</v>
      </c>
      <c r="Q18" s="220">
        <v>45401</v>
      </c>
      <c r="R18" s="223"/>
      <c r="S18" s="221"/>
      <c r="T18" s="221"/>
      <c r="U18" s="221"/>
      <c r="V18" s="227"/>
      <c r="W18" s="225"/>
      <c r="X18" s="80">
        <v>77</v>
      </c>
    </row>
    <row r="19" spans="1:24" s="80" customFormat="1" ht="75" x14ac:dyDescent="0.25">
      <c r="A19" s="238">
        <v>8</v>
      </c>
      <c r="B19" s="232" t="s">
        <v>56</v>
      </c>
      <c r="C19" s="233" t="s">
        <v>147</v>
      </c>
      <c r="D19" s="232" t="s">
        <v>158</v>
      </c>
      <c r="E19" s="230">
        <v>52</v>
      </c>
      <c r="F19" s="250">
        <v>45400</v>
      </c>
      <c r="G19" s="233" t="s">
        <v>267</v>
      </c>
      <c r="H19" s="234">
        <v>8900</v>
      </c>
      <c r="I19" s="237">
        <f>IF(X19 = 78, H19 + SUM(S19:S19) - SUM(T19:T19) - SUM(P19:P19) - V19,0)</f>
        <v>0</v>
      </c>
      <c r="J19" s="233" t="s">
        <v>264</v>
      </c>
      <c r="K19" s="233" t="s">
        <v>265</v>
      </c>
      <c r="L19" s="233" t="s">
        <v>147</v>
      </c>
      <c r="M19" s="233" t="s">
        <v>266</v>
      </c>
      <c r="N19" s="250">
        <v>45400</v>
      </c>
      <c r="O19" s="242" t="s">
        <v>304</v>
      </c>
      <c r="P19" s="240">
        <v>8900</v>
      </c>
      <c r="Q19" s="236">
        <v>45405</v>
      </c>
      <c r="R19" s="233"/>
      <c r="S19" s="234"/>
      <c r="T19" s="234"/>
      <c r="U19" s="234"/>
      <c r="V19" s="227"/>
      <c r="W19" s="235"/>
      <c r="X19" s="80">
        <v>78</v>
      </c>
    </row>
    <row r="20" spans="1:24" s="80" customFormat="1" ht="75" x14ac:dyDescent="0.25">
      <c r="A20" s="238">
        <v>9</v>
      </c>
      <c r="B20" s="252" t="s">
        <v>56</v>
      </c>
      <c r="C20" s="233" t="s">
        <v>147</v>
      </c>
      <c r="D20" s="252" t="s">
        <v>158</v>
      </c>
      <c r="E20" s="230" t="s">
        <v>270</v>
      </c>
      <c r="F20" s="250">
        <v>45407</v>
      </c>
      <c r="G20" s="233" t="s">
        <v>271</v>
      </c>
      <c r="H20" s="234">
        <v>3000</v>
      </c>
      <c r="I20" s="237">
        <f>IF(X20 = 79, H20 + SUM(S20:S20) - SUM(T20:T20) - SUM(P20:P20) - V20,0)</f>
        <v>0</v>
      </c>
      <c r="J20" s="233" t="s">
        <v>272</v>
      </c>
      <c r="K20" s="233" t="s">
        <v>273</v>
      </c>
      <c r="L20" s="233" t="s">
        <v>147</v>
      </c>
      <c r="M20" s="233" t="s">
        <v>274</v>
      </c>
      <c r="N20" s="250">
        <v>45407</v>
      </c>
      <c r="O20" s="253" t="s">
        <v>304</v>
      </c>
      <c r="P20" s="240">
        <v>3000</v>
      </c>
      <c r="Q20" s="236">
        <v>45415</v>
      </c>
      <c r="R20" s="233"/>
      <c r="S20" s="234"/>
      <c r="T20" s="234"/>
      <c r="U20" s="234"/>
      <c r="V20" s="227"/>
      <c r="W20" s="235"/>
      <c r="X20" s="80">
        <v>79</v>
      </c>
    </row>
    <row r="21" spans="1:24" s="80" customFormat="1" ht="93.75" x14ac:dyDescent="0.25">
      <c r="A21" s="238">
        <v>10</v>
      </c>
      <c r="B21" s="252" t="s">
        <v>56</v>
      </c>
      <c r="C21" s="233" t="s">
        <v>147</v>
      </c>
      <c r="D21" s="252" t="s">
        <v>158</v>
      </c>
      <c r="E21" s="230" t="s">
        <v>282</v>
      </c>
      <c r="F21" s="250">
        <v>45378</v>
      </c>
      <c r="G21" s="233" t="s">
        <v>283</v>
      </c>
      <c r="H21" s="234">
        <v>4265.5</v>
      </c>
      <c r="I21" s="237">
        <f>IF(X21 = 80, H21 + SUM(S21:S21) - SUM(T21:T21) - SUM(P21:P21) - V21,0)</f>
        <v>0</v>
      </c>
      <c r="J21" s="233" t="s">
        <v>284</v>
      </c>
      <c r="K21" s="233" t="s">
        <v>285</v>
      </c>
      <c r="L21" s="233" t="s">
        <v>147</v>
      </c>
      <c r="M21" s="233" t="s">
        <v>286</v>
      </c>
      <c r="N21" s="250">
        <v>45405</v>
      </c>
      <c r="O21" s="253" t="s">
        <v>305</v>
      </c>
      <c r="P21" s="240">
        <v>4265.5</v>
      </c>
      <c r="Q21" s="236">
        <v>45435</v>
      </c>
      <c r="R21" s="233"/>
      <c r="S21" s="234"/>
      <c r="T21" s="234"/>
      <c r="U21" s="234"/>
      <c r="V21" s="227"/>
      <c r="W21" s="235"/>
      <c r="X21" s="80">
        <v>80</v>
      </c>
    </row>
    <row r="22" spans="1:24" s="80" customFormat="1" ht="75" x14ac:dyDescent="0.25">
      <c r="A22" s="248">
        <v>11</v>
      </c>
      <c r="B22" s="252" t="s">
        <v>56</v>
      </c>
      <c r="C22" s="247" t="s">
        <v>147</v>
      </c>
      <c r="D22" s="252" t="s">
        <v>158</v>
      </c>
      <c r="E22" s="230" t="s">
        <v>287</v>
      </c>
      <c r="F22" s="251">
        <v>45371</v>
      </c>
      <c r="G22" s="247" t="s">
        <v>288</v>
      </c>
      <c r="H22" s="245">
        <v>7000</v>
      </c>
      <c r="I22" s="246">
        <f>IF(X22 = 81, H22 + SUM(S22:S22) - SUM(T22:T22) - SUM(P22:P22) - V22,0)</f>
        <v>0</v>
      </c>
      <c r="J22" s="247" t="s">
        <v>289</v>
      </c>
      <c r="K22" s="247" t="s">
        <v>290</v>
      </c>
      <c r="L22" s="247" t="s">
        <v>147</v>
      </c>
      <c r="M22" s="247" t="s">
        <v>291</v>
      </c>
      <c r="N22" s="251">
        <v>45436</v>
      </c>
      <c r="O22" s="253" t="s">
        <v>304</v>
      </c>
      <c r="P22" s="240">
        <v>7000</v>
      </c>
      <c r="Q22" s="244">
        <v>45446</v>
      </c>
      <c r="R22" s="247"/>
      <c r="S22" s="245"/>
      <c r="T22" s="245"/>
      <c r="U22" s="245"/>
      <c r="V22" s="227"/>
      <c r="W22" s="249"/>
      <c r="X22" s="80">
        <v>81</v>
      </c>
    </row>
    <row r="23" spans="1:24" s="80" customFormat="1" ht="75" x14ac:dyDescent="0.25">
      <c r="A23" s="385">
        <v>12</v>
      </c>
      <c r="B23" s="252" t="s">
        <v>56</v>
      </c>
      <c r="C23" s="387" t="s">
        <v>147</v>
      </c>
      <c r="D23" s="252" t="s">
        <v>158</v>
      </c>
      <c r="E23" s="391" t="s">
        <v>196</v>
      </c>
      <c r="F23" s="393">
        <v>45433</v>
      </c>
      <c r="G23" s="387" t="s">
        <v>301</v>
      </c>
      <c r="H23" s="386">
        <v>800</v>
      </c>
      <c r="I23" s="390">
        <f>IF(X23 = 82, H23 + SUM(S23:S23) - SUM(T23:T23) - SUM(P23:P23) - V23,0)</f>
        <v>0</v>
      </c>
      <c r="J23" s="387" t="s">
        <v>302</v>
      </c>
      <c r="K23" s="387" t="s">
        <v>303</v>
      </c>
      <c r="L23" s="387" t="s">
        <v>147</v>
      </c>
      <c r="M23" s="387" t="s">
        <v>291</v>
      </c>
      <c r="N23" s="393">
        <v>45436</v>
      </c>
      <c r="O23" s="253" t="s">
        <v>304</v>
      </c>
      <c r="P23" s="487">
        <v>800</v>
      </c>
      <c r="Q23" s="389">
        <v>45450</v>
      </c>
      <c r="R23" s="387"/>
      <c r="S23" s="386"/>
      <c r="T23" s="386"/>
      <c r="U23" s="386"/>
      <c r="V23" s="392"/>
      <c r="W23" s="388"/>
      <c r="X23" s="80">
        <v>82</v>
      </c>
    </row>
    <row r="24" spans="1:24" s="80" customFormat="1" ht="75" x14ac:dyDescent="0.25">
      <c r="A24" s="405">
        <v>13</v>
      </c>
      <c r="B24" s="252" t="s">
        <v>56</v>
      </c>
      <c r="C24" s="407" t="s">
        <v>147</v>
      </c>
      <c r="D24" s="252" t="s">
        <v>158</v>
      </c>
      <c r="E24" s="391">
        <v>34550724</v>
      </c>
      <c r="F24" s="412">
        <v>45474</v>
      </c>
      <c r="G24" s="407" t="s">
        <v>215</v>
      </c>
      <c r="H24" s="406">
        <v>71210.16</v>
      </c>
      <c r="I24" s="410">
        <f>IF(X24 = 83, H24 + SUM(S24:S24) - SUM(T24:T24) - SUM(P24:P24) - V24,0)</f>
        <v>71210.16</v>
      </c>
      <c r="J24" s="407" t="s">
        <v>193</v>
      </c>
      <c r="K24" s="407" t="s">
        <v>310</v>
      </c>
      <c r="L24" s="407" t="s">
        <v>147</v>
      </c>
      <c r="M24" s="407" t="s">
        <v>311</v>
      </c>
      <c r="N24" s="412"/>
      <c r="O24" s="253" t="s">
        <v>304</v>
      </c>
      <c r="P24" s="406"/>
      <c r="Q24" s="409"/>
      <c r="R24" s="407"/>
      <c r="S24" s="406"/>
      <c r="T24" s="406"/>
      <c r="U24" s="406"/>
      <c r="V24" s="392"/>
      <c r="W24" s="408"/>
      <c r="X24" s="80">
        <v>83</v>
      </c>
    </row>
    <row r="25" spans="1:24" x14ac:dyDescent="0.25">
      <c r="A25" s="101"/>
      <c r="B25" s="102"/>
      <c r="C25" s="102"/>
      <c r="D25" s="102"/>
      <c r="E25" s="229"/>
      <c r="F25" s="106"/>
      <c r="G25" s="102"/>
      <c r="H25" s="107"/>
      <c r="I25" s="108">
        <f>IF(X25 = 72, H25 + SUM(S25:S25) - SUM(T25:T25) - SUM(P25:P25) - V25,0)</f>
        <v>0</v>
      </c>
      <c r="J25" s="102"/>
      <c r="K25" s="102"/>
      <c r="L25" s="102"/>
      <c r="M25" s="102"/>
      <c r="N25" s="106"/>
      <c r="O25" s="106"/>
      <c r="P25" s="107"/>
      <c r="Q25" s="103"/>
      <c r="R25" s="105"/>
      <c r="S25" s="107"/>
      <c r="T25" s="107"/>
      <c r="U25" s="107"/>
      <c r="V25" s="104"/>
      <c r="W25" s="105"/>
      <c r="X25" s="2">
        <v>84</v>
      </c>
    </row>
  </sheetData>
  <sheetProtection password="EB34" sheet="1" objects="1" scenarios="1" formatCells="0" formatColumns="0" formatRows="0"/>
  <mergeCells count="41">
    <mergeCell ref="W13:W15"/>
    <mergeCell ref="H13:H15"/>
    <mergeCell ref="I13:I15"/>
    <mergeCell ref="J13:J15"/>
    <mergeCell ref="K13:K15"/>
    <mergeCell ref="V13:V15"/>
    <mergeCell ref="L13:L15"/>
    <mergeCell ref="M13:M15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3:E3"/>
    <mergeCell ref="S2:U2"/>
    <mergeCell ref="N2:O2"/>
    <mergeCell ref="J4:K4"/>
    <mergeCell ref="M4:N4"/>
    <mergeCell ref="O4:P4"/>
    <mergeCell ref="K2:M2"/>
    <mergeCell ref="A9:A10"/>
    <mergeCell ref="O9:O10"/>
    <mergeCell ref="U9:U10"/>
    <mergeCell ref="B9:B10"/>
    <mergeCell ref="A13:A15"/>
    <mergeCell ref="O13:O15"/>
    <mergeCell ref="U13:U15"/>
    <mergeCell ref="B13:B15"/>
    <mergeCell ref="C13:C15"/>
    <mergeCell ref="D13:D15"/>
    <mergeCell ref="E13:E15"/>
    <mergeCell ref="F13:F15"/>
    <mergeCell ref="G13:G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02"/>
  <sheetViews>
    <sheetView showGridLines="0" topLeftCell="I1" zoomScale="50" zoomScaleNormal="50" workbookViewId="0">
      <pane ySplit="8" topLeftCell="A82" activePane="bottomLeft" state="frozen"/>
      <selection pane="bottomLeft" activeCell="V84" sqref="V84:V96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871" t="s">
        <v>24</v>
      </c>
      <c r="G2" s="872"/>
      <c r="H2" s="75">
        <f>SUM(H9:H9999)</f>
        <v>1736638.7000000002</v>
      </c>
      <c r="I2" s="65"/>
      <c r="N2" s="586" t="s">
        <v>137</v>
      </c>
      <c r="O2" s="588"/>
      <c r="P2" s="66">
        <f>SUM(P9:P9999)</f>
        <v>1445546.2439999997</v>
      </c>
      <c r="R2" s="65"/>
      <c r="S2" s="586" t="s">
        <v>45</v>
      </c>
      <c r="T2" s="587"/>
      <c r="U2" s="588"/>
      <c r="V2" s="67">
        <f>SUM(V9:V9999)</f>
        <v>61869.939999999995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14999999999998" customHeight="1" x14ac:dyDescent="0.25">
      <c r="A9" s="822">
        <v>1</v>
      </c>
      <c r="B9" s="825" t="s">
        <v>56</v>
      </c>
      <c r="C9" s="825" t="s">
        <v>147</v>
      </c>
      <c r="D9" s="825" t="s">
        <v>160</v>
      </c>
      <c r="E9" s="825" t="s">
        <v>195</v>
      </c>
      <c r="F9" s="828">
        <v>45289</v>
      </c>
      <c r="G9" s="859" t="s">
        <v>148</v>
      </c>
      <c r="H9" s="831">
        <v>186161.96</v>
      </c>
      <c r="I9" s="862">
        <f>IF(X9 = 1, H9 + SUM(S9:S16) - SUM(T9:T16) - SUM(P9:P16) - V9,0)</f>
        <v>35614.589999999997</v>
      </c>
      <c r="J9" s="865">
        <v>2308070396</v>
      </c>
      <c r="K9" s="868" t="s">
        <v>149</v>
      </c>
      <c r="L9" s="825" t="s">
        <v>147</v>
      </c>
      <c r="M9" s="825" t="s">
        <v>175</v>
      </c>
      <c r="N9" s="267">
        <v>45300</v>
      </c>
      <c r="O9" s="828" t="s">
        <v>159</v>
      </c>
      <c r="P9" s="255">
        <v>23384.94</v>
      </c>
      <c r="Q9" s="256">
        <v>45320</v>
      </c>
      <c r="R9" s="257"/>
      <c r="S9" s="258"/>
      <c r="T9" s="259"/>
      <c r="U9" s="831"/>
      <c r="V9" s="834"/>
      <c r="W9" s="900"/>
      <c r="X9" s="80">
        <v>1</v>
      </c>
    </row>
    <row r="10" spans="1:24" s="110" customFormat="1" x14ac:dyDescent="0.25">
      <c r="A10" s="823"/>
      <c r="B10" s="826"/>
      <c r="C10" s="826"/>
      <c r="D10" s="826"/>
      <c r="E10" s="826"/>
      <c r="F10" s="829"/>
      <c r="G10" s="860"/>
      <c r="H10" s="832"/>
      <c r="I10" s="863"/>
      <c r="J10" s="866"/>
      <c r="K10" s="869"/>
      <c r="L10" s="826"/>
      <c r="M10" s="826"/>
      <c r="N10" s="268">
        <v>45322</v>
      </c>
      <c r="O10" s="829"/>
      <c r="P10" s="260">
        <v>45807.29</v>
      </c>
      <c r="Q10" s="261">
        <v>45334</v>
      </c>
      <c r="R10" s="262"/>
      <c r="S10" s="263"/>
      <c r="T10" s="263"/>
      <c r="U10" s="832"/>
      <c r="V10" s="835"/>
      <c r="W10" s="901"/>
      <c r="X10" s="110">
        <v>1</v>
      </c>
    </row>
    <row r="11" spans="1:24" s="110" customFormat="1" x14ac:dyDescent="0.25">
      <c r="A11" s="823"/>
      <c r="B11" s="826"/>
      <c r="C11" s="826"/>
      <c r="D11" s="826"/>
      <c r="E11" s="826"/>
      <c r="F11" s="829"/>
      <c r="G11" s="860"/>
      <c r="H11" s="832"/>
      <c r="I11" s="863"/>
      <c r="J11" s="866"/>
      <c r="K11" s="869"/>
      <c r="L11" s="826"/>
      <c r="M11" s="826"/>
      <c r="N11" s="268">
        <v>45323</v>
      </c>
      <c r="O11" s="829"/>
      <c r="P11" s="260">
        <v>7936.09</v>
      </c>
      <c r="Q11" s="261">
        <v>45327</v>
      </c>
      <c r="R11" s="262"/>
      <c r="S11" s="263"/>
      <c r="T11" s="263"/>
      <c r="U11" s="832"/>
      <c r="V11" s="835"/>
      <c r="W11" s="901"/>
      <c r="X11" s="110">
        <v>1</v>
      </c>
    </row>
    <row r="12" spans="1:24" s="110" customFormat="1" x14ac:dyDescent="0.25">
      <c r="A12" s="823"/>
      <c r="B12" s="826"/>
      <c r="C12" s="826"/>
      <c r="D12" s="826"/>
      <c r="E12" s="826"/>
      <c r="F12" s="829"/>
      <c r="G12" s="860"/>
      <c r="H12" s="832"/>
      <c r="I12" s="863"/>
      <c r="J12" s="866"/>
      <c r="K12" s="869"/>
      <c r="L12" s="826"/>
      <c r="M12" s="826"/>
      <c r="N12" s="268">
        <v>45351</v>
      </c>
      <c r="O12" s="829"/>
      <c r="P12" s="260">
        <v>22190.18</v>
      </c>
      <c r="Q12" s="261">
        <v>45363</v>
      </c>
      <c r="R12" s="262"/>
      <c r="S12" s="263"/>
      <c r="T12" s="263"/>
      <c r="U12" s="832"/>
      <c r="V12" s="835"/>
      <c r="W12" s="901"/>
      <c r="X12" s="110">
        <v>1</v>
      </c>
    </row>
    <row r="13" spans="1:24" s="110" customFormat="1" x14ac:dyDescent="0.25">
      <c r="A13" s="823"/>
      <c r="B13" s="826"/>
      <c r="C13" s="826"/>
      <c r="D13" s="826"/>
      <c r="E13" s="826"/>
      <c r="F13" s="829"/>
      <c r="G13" s="860"/>
      <c r="H13" s="832"/>
      <c r="I13" s="863"/>
      <c r="J13" s="866"/>
      <c r="K13" s="869"/>
      <c r="L13" s="826"/>
      <c r="M13" s="826"/>
      <c r="N13" s="268">
        <v>45352</v>
      </c>
      <c r="O13" s="829"/>
      <c r="P13" s="260">
        <v>5957.8</v>
      </c>
      <c r="Q13" s="261">
        <v>45363</v>
      </c>
      <c r="R13" s="262"/>
      <c r="S13" s="263"/>
      <c r="T13" s="263"/>
      <c r="U13" s="832"/>
      <c r="V13" s="835"/>
      <c r="W13" s="901"/>
      <c r="X13" s="110">
        <v>1</v>
      </c>
    </row>
    <row r="14" spans="1:24" s="110" customFormat="1" x14ac:dyDescent="0.25">
      <c r="A14" s="823"/>
      <c r="B14" s="826"/>
      <c r="C14" s="826"/>
      <c r="D14" s="826"/>
      <c r="E14" s="826"/>
      <c r="F14" s="829"/>
      <c r="G14" s="860"/>
      <c r="H14" s="832"/>
      <c r="I14" s="863"/>
      <c r="J14" s="866"/>
      <c r="K14" s="869"/>
      <c r="L14" s="826"/>
      <c r="M14" s="826"/>
      <c r="N14" s="268">
        <v>45382</v>
      </c>
      <c r="O14" s="829"/>
      <c r="P14" s="260">
        <v>16667.91</v>
      </c>
      <c r="Q14" s="261">
        <v>45393</v>
      </c>
      <c r="R14" s="262"/>
      <c r="S14" s="263"/>
      <c r="T14" s="263"/>
      <c r="U14" s="832"/>
      <c r="V14" s="835"/>
      <c r="W14" s="901"/>
      <c r="X14" s="110">
        <v>1</v>
      </c>
    </row>
    <row r="15" spans="1:24" s="110" customFormat="1" x14ac:dyDescent="0.25">
      <c r="A15" s="823"/>
      <c r="B15" s="826"/>
      <c r="C15" s="826"/>
      <c r="D15" s="826"/>
      <c r="E15" s="826"/>
      <c r="F15" s="829"/>
      <c r="G15" s="860"/>
      <c r="H15" s="832"/>
      <c r="I15" s="863"/>
      <c r="J15" s="866"/>
      <c r="K15" s="869"/>
      <c r="L15" s="826"/>
      <c r="M15" s="826"/>
      <c r="N15" s="268">
        <v>45383</v>
      </c>
      <c r="O15" s="829"/>
      <c r="P15" s="260">
        <v>7498.37</v>
      </c>
      <c r="Q15" s="261">
        <v>45385</v>
      </c>
      <c r="R15" s="262"/>
      <c r="S15" s="263"/>
      <c r="T15" s="263"/>
      <c r="U15" s="832"/>
      <c r="V15" s="835"/>
      <c r="W15" s="901"/>
      <c r="X15" s="110">
        <v>1</v>
      </c>
    </row>
    <row r="16" spans="1:24" s="110" customFormat="1" x14ac:dyDescent="0.25">
      <c r="A16" s="824"/>
      <c r="B16" s="827"/>
      <c r="C16" s="827"/>
      <c r="D16" s="827"/>
      <c r="E16" s="827"/>
      <c r="F16" s="830"/>
      <c r="G16" s="861"/>
      <c r="H16" s="833"/>
      <c r="I16" s="864"/>
      <c r="J16" s="867"/>
      <c r="K16" s="870"/>
      <c r="L16" s="827"/>
      <c r="M16" s="827"/>
      <c r="N16" s="269">
        <v>45412</v>
      </c>
      <c r="O16" s="830"/>
      <c r="P16" s="330">
        <v>21104.79</v>
      </c>
      <c r="Q16" s="265">
        <v>45427</v>
      </c>
      <c r="R16" s="266"/>
      <c r="S16" s="264"/>
      <c r="T16" s="264"/>
      <c r="U16" s="833"/>
      <c r="V16" s="836"/>
      <c r="W16" s="902"/>
      <c r="X16" s="110">
        <v>1</v>
      </c>
    </row>
    <row r="17" spans="1:24" s="80" customFormat="1" ht="395.45" customHeight="1" x14ac:dyDescent="0.25">
      <c r="A17" s="850">
        <v>2</v>
      </c>
      <c r="B17" s="853" t="s">
        <v>56</v>
      </c>
      <c r="C17" s="853" t="s">
        <v>147</v>
      </c>
      <c r="D17" s="853" t="s">
        <v>160</v>
      </c>
      <c r="E17" s="853" t="s">
        <v>150</v>
      </c>
      <c r="F17" s="879">
        <v>45289</v>
      </c>
      <c r="G17" s="882" t="s">
        <v>151</v>
      </c>
      <c r="H17" s="885">
        <v>600000</v>
      </c>
      <c r="I17" s="888">
        <f>IF(X17 = 2, H17 + SUM(S17:S30) - SUM(T17:T30) - SUM(P17:P30) - V17,0)</f>
        <v>62234.280000000144</v>
      </c>
      <c r="J17" s="891">
        <v>2308119595</v>
      </c>
      <c r="K17" s="894" t="s">
        <v>152</v>
      </c>
      <c r="L17" s="853" t="s">
        <v>147</v>
      </c>
      <c r="M17" s="853" t="s">
        <v>175</v>
      </c>
      <c r="N17" s="282">
        <v>45292</v>
      </c>
      <c r="O17" s="879" t="s">
        <v>153</v>
      </c>
      <c r="P17" s="270">
        <v>19127.439999999999</v>
      </c>
      <c r="Q17" s="271">
        <v>45309</v>
      </c>
      <c r="R17" s="272"/>
      <c r="S17" s="273"/>
      <c r="T17" s="274"/>
      <c r="U17" s="897"/>
      <c r="V17" s="873"/>
      <c r="W17" s="876"/>
      <c r="X17" s="80">
        <v>2</v>
      </c>
    </row>
    <row r="18" spans="1:24" s="110" customFormat="1" x14ac:dyDescent="0.25">
      <c r="A18" s="851"/>
      <c r="B18" s="854"/>
      <c r="C18" s="854"/>
      <c r="D18" s="854"/>
      <c r="E18" s="854"/>
      <c r="F18" s="880"/>
      <c r="G18" s="883"/>
      <c r="H18" s="886"/>
      <c r="I18" s="889"/>
      <c r="J18" s="892"/>
      <c r="K18" s="895"/>
      <c r="L18" s="854"/>
      <c r="M18" s="854"/>
      <c r="N18" s="283">
        <v>45292</v>
      </c>
      <c r="O18" s="880"/>
      <c r="P18" s="275">
        <v>58498.75</v>
      </c>
      <c r="Q18" s="276">
        <v>45309</v>
      </c>
      <c r="R18" s="277"/>
      <c r="S18" s="278"/>
      <c r="T18" s="278"/>
      <c r="U18" s="898"/>
      <c r="V18" s="874"/>
      <c r="W18" s="877"/>
      <c r="X18" s="110">
        <v>2</v>
      </c>
    </row>
    <row r="19" spans="1:24" s="110" customFormat="1" x14ac:dyDescent="0.25">
      <c r="A19" s="851"/>
      <c r="B19" s="854"/>
      <c r="C19" s="854"/>
      <c r="D19" s="854"/>
      <c r="E19" s="854"/>
      <c r="F19" s="880"/>
      <c r="G19" s="883"/>
      <c r="H19" s="886"/>
      <c r="I19" s="889"/>
      <c r="J19" s="892"/>
      <c r="K19" s="895"/>
      <c r="L19" s="854"/>
      <c r="M19" s="854"/>
      <c r="N19" s="283">
        <v>45322</v>
      </c>
      <c r="O19" s="880"/>
      <c r="P19" s="275">
        <v>64640.95</v>
      </c>
      <c r="Q19" s="276">
        <v>45337</v>
      </c>
      <c r="R19" s="277"/>
      <c r="S19" s="278"/>
      <c r="T19" s="278"/>
      <c r="U19" s="898"/>
      <c r="V19" s="874"/>
      <c r="W19" s="877"/>
      <c r="X19" s="110">
        <v>2</v>
      </c>
    </row>
    <row r="20" spans="1:24" s="110" customFormat="1" x14ac:dyDescent="0.25">
      <c r="A20" s="851"/>
      <c r="B20" s="854"/>
      <c r="C20" s="854"/>
      <c r="D20" s="854"/>
      <c r="E20" s="854"/>
      <c r="F20" s="880"/>
      <c r="G20" s="883"/>
      <c r="H20" s="886"/>
      <c r="I20" s="889"/>
      <c r="J20" s="892"/>
      <c r="K20" s="895"/>
      <c r="L20" s="854"/>
      <c r="M20" s="854"/>
      <c r="N20" s="283">
        <v>45323</v>
      </c>
      <c r="O20" s="880"/>
      <c r="P20" s="275">
        <v>43874.06</v>
      </c>
      <c r="Q20" s="276">
        <v>45323</v>
      </c>
      <c r="R20" s="277"/>
      <c r="S20" s="278"/>
      <c r="T20" s="278"/>
      <c r="U20" s="898"/>
      <c r="V20" s="874"/>
      <c r="W20" s="877"/>
      <c r="X20" s="110">
        <v>2</v>
      </c>
    </row>
    <row r="21" spans="1:24" s="110" customFormat="1" x14ac:dyDescent="0.25">
      <c r="A21" s="851"/>
      <c r="B21" s="854"/>
      <c r="C21" s="854"/>
      <c r="D21" s="854"/>
      <c r="E21" s="854"/>
      <c r="F21" s="880"/>
      <c r="G21" s="883"/>
      <c r="H21" s="886"/>
      <c r="I21" s="889"/>
      <c r="J21" s="892"/>
      <c r="K21" s="895"/>
      <c r="L21" s="854"/>
      <c r="M21" s="854"/>
      <c r="N21" s="283">
        <v>45323</v>
      </c>
      <c r="O21" s="880"/>
      <c r="P21" s="275">
        <v>62638.09</v>
      </c>
      <c r="Q21" s="276">
        <v>45337</v>
      </c>
      <c r="R21" s="277"/>
      <c r="S21" s="278"/>
      <c r="T21" s="278"/>
      <c r="U21" s="898"/>
      <c r="V21" s="874"/>
      <c r="W21" s="877"/>
      <c r="X21" s="110">
        <v>2</v>
      </c>
    </row>
    <row r="22" spans="1:24" s="110" customFormat="1" x14ac:dyDescent="0.25">
      <c r="A22" s="851"/>
      <c r="B22" s="854"/>
      <c r="C22" s="854"/>
      <c r="D22" s="854"/>
      <c r="E22" s="854"/>
      <c r="F22" s="880"/>
      <c r="G22" s="883"/>
      <c r="H22" s="886"/>
      <c r="I22" s="889"/>
      <c r="J22" s="892"/>
      <c r="K22" s="895"/>
      <c r="L22" s="854"/>
      <c r="M22" s="854"/>
      <c r="N22" s="283">
        <v>45351</v>
      </c>
      <c r="O22" s="880"/>
      <c r="P22" s="275">
        <v>27216.2</v>
      </c>
      <c r="Q22" s="276">
        <v>45365</v>
      </c>
      <c r="R22" s="277"/>
      <c r="S22" s="278"/>
      <c r="T22" s="278"/>
      <c r="U22" s="898"/>
      <c r="V22" s="874"/>
      <c r="W22" s="877"/>
      <c r="X22" s="110">
        <v>2</v>
      </c>
    </row>
    <row r="23" spans="1:24" s="110" customFormat="1" x14ac:dyDescent="0.25">
      <c r="A23" s="851"/>
      <c r="B23" s="854"/>
      <c r="C23" s="854"/>
      <c r="D23" s="854"/>
      <c r="E23" s="854"/>
      <c r="F23" s="880"/>
      <c r="G23" s="883"/>
      <c r="H23" s="886"/>
      <c r="I23" s="889"/>
      <c r="J23" s="892"/>
      <c r="K23" s="895"/>
      <c r="L23" s="854"/>
      <c r="M23" s="854"/>
      <c r="N23" s="283">
        <v>45352</v>
      </c>
      <c r="O23" s="880"/>
      <c r="P23" s="275">
        <v>46978.57</v>
      </c>
      <c r="Q23" s="276">
        <v>45352</v>
      </c>
      <c r="R23" s="277"/>
      <c r="S23" s="278"/>
      <c r="T23" s="278"/>
      <c r="U23" s="898"/>
      <c r="V23" s="874"/>
      <c r="W23" s="877"/>
      <c r="X23" s="110">
        <v>2</v>
      </c>
    </row>
    <row r="24" spans="1:24" s="110" customFormat="1" x14ac:dyDescent="0.25">
      <c r="A24" s="851"/>
      <c r="B24" s="854"/>
      <c r="C24" s="854"/>
      <c r="D24" s="854"/>
      <c r="E24" s="854"/>
      <c r="F24" s="880"/>
      <c r="G24" s="883"/>
      <c r="H24" s="886"/>
      <c r="I24" s="889"/>
      <c r="J24" s="892"/>
      <c r="K24" s="895"/>
      <c r="L24" s="854"/>
      <c r="M24" s="854"/>
      <c r="N24" s="283">
        <v>45352</v>
      </c>
      <c r="O24" s="880"/>
      <c r="P24" s="275">
        <v>58728.04</v>
      </c>
      <c r="Q24" s="276">
        <v>45365</v>
      </c>
      <c r="R24" s="277"/>
      <c r="S24" s="278"/>
      <c r="T24" s="278"/>
      <c r="U24" s="898"/>
      <c r="V24" s="874"/>
      <c r="W24" s="877"/>
      <c r="X24" s="110">
        <v>2</v>
      </c>
    </row>
    <row r="25" spans="1:24" s="110" customFormat="1" x14ac:dyDescent="0.25">
      <c r="A25" s="851"/>
      <c r="B25" s="854"/>
      <c r="C25" s="854"/>
      <c r="D25" s="854"/>
      <c r="E25" s="854"/>
      <c r="F25" s="880"/>
      <c r="G25" s="883"/>
      <c r="H25" s="886"/>
      <c r="I25" s="889"/>
      <c r="J25" s="892"/>
      <c r="K25" s="895"/>
      <c r="L25" s="854"/>
      <c r="M25" s="854"/>
      <c r="N25" s="283">
        <v>45382</v>
      </c>
      <c r="O25" s="880"/>
      <c r="P25" s="275">
        <v>1422.68</v>
      </c>
      <c r="Q25" s="276">
        <v>45398</v>
      </c>
      <c r="R25" s="277"/>
      <c r="S25" s="278"/>
      <c r="T25" s="278"/>
      <c r="U25" s="898"/>
      <c r="V25" s="874"/>
      <c r="W25" s="877"/>
      <c r="X25" s="110">
        <v>2</v>
      </c>
    </row>
    <row r="26" spans="1:24" s="110" customFormat="1" x14ac:dyDescent="0.25">
      <c r="A26" s="851"/>
      <c r="B26" s="854"/>
      <c r="C26" s="854"/>
      <c r="D26" s="854"/>
      <c r="E26" s="854"/>
      <c r="F26" s="880"/>
      <c r="G26" s="883"/>
      <c r="H26" s="886"/>
      <c r="I26" s="889"/>
      <c r="J26" s="892"/>
      <c r="K26" s="895"/>
      <c r="L26" s="854"/>
      <c r="M26" s="854"/>
      <c r="N26" s="283">
        <v>45383</v>
      </c>
      <c r="O26" s="880"/>
      <c r="P26" s="275">
        <v>44046.02</v>
      </c>
      <c r="Q26" s="276">
        <v>45383</v>
      </c>
      <c r="R26" s="277"/>
      <c r="S26" s="278"/>
      <c r="T26" s="278"/>
      <c r="U26" s="898"/>
      <c r="V26" s="874"/>
      <c r="W26" s="877"/>
      <c r="X26" s="110">
        <v>2</v>
      </c>
    </row>
    <row r="27" spans="1:24" s="110" customFormat="1" x14ac:dyDescent="0.25">
      <c r="A27" s="851"/>
      <c r="B27" s="854"/>
      <c r="C27" s="854"/>
      <c r="D27" s="854"/>
      <c r="E27" s="854"/>
      <c r="F27" s="880"/>
      <c r="G27" s="883"/>
      <c r="H27" s="886"/>
      <c r="I27" s="889"/>
      <c r="J27" s="892"/>
      <c r="K27" s="895"/>
      <c r="L27" s="854"/>
      <c r="M27" s="854"/>
      <c r="N27" s="283">
        <v>45383</v>
      </c>
      <c r="O27" s="880"/>
      <c r="P27" s="275">
        <v>47195.78</v>
      </c>
      <c r="Q27" s="276">
        <v>45398</v>
      </c>
      <c r="R27" s="277"/>
      <c r="S27" s="278"/>
      <c r="T27" s="278"/>
      <c r="U27" s="898"/>
      <c r="V27" s="874"/>
      <c r="W27" s="877"/>
      <c r="X27" s="110">
        <v>2</v>
      </c>
    </row>
    <row r="28" spans="1:24" s="110" customFormat="1" x14ac:dyDescent="0.25">
      <c r="A28" s="851"/>
      <c r="B28" s="854"/>
      <c r="C28" s="854"/>
      <c r="D28" s="854"/>
      <c r="E28" s="854"/>
      <c r="F28" s="880"/>
      <c r="G28" s="883"/>
      <c r="H28" s="886"/>
      <c r="I28" s="889"/>
      <c r="J28" s="892"/>
      <c r="K28" s="895"/>
      <c r="L28" s="854"/>
      <c r="M28" s="854"/>
      <c r="N28" s="283">
        <v>45413</v>
      </c>
      <c r="O28" s="880"/>
      <c r="P28" s="275">
        <v>35396.839999999997</v>
      </c>
      <c r="Q28" s="276">
        <v>45415</v>
      </c>
      <c r="R28" s="277"/>
      <c r="S28" s="278"/>
      <c r="T28" s="278"/>
      <c r="U28" s="898"/>
      <c r="V28" s="874"/>
      <c r="W28" s="877"/>
      <c r="X28" s="110">
        <v>2</v>
      </c>
    </row>
    <row r="29" spans="1:24" s="110" customFormat="1" x14ac:dyDescent="0.25">
      <c r="A29" s="851"/>
      <c r="B29" s="854"/>
      <c r="C29" s="854"/>
      <c r="D29" s="854"/>
      <c r="E29" s="854"/>
      <c r="F29" s="880"/>
      <c r="G29" s="883"/>
      <c r="H29" s="886"/>
      <c r="I29" s="889"/>
      <c r="J29" s="892"/>
      <c r="K29" s="895"/>
      <c r="L29" s="854"/>
      <c r="M29" s="854"/>
      <c r="N29" s="283">
        <v>45413</v>
      </c>
      <c r="O29" s="880"/>
      <c r="P29" s="275">
        <v>16003.2</v>
      </c>
      <c r="Q29" s="276">
        <v>45428</v>
      </c>
      <c r="R29" s="277"/>
      <c r="S29" s="278"/>
      <c r="T29" s="278"/>
      <c r="U29" s="898"/>
      <c r="V29" s="874"/>
      <c r="W29" s="877"/>
      <c r="X29" s="110">
        <v>2</v>
      </c>
    </row>
    <row r="30" spans="1:24" s="110" customFormat="1" x14ac:dyDescent="0.25">
      <c r="A30" s="852"/>
      <c r="B30" s="855"/>
      <c r="C30" s="855"/>
      <c r="D30" s="855"/>
      <c r="E30" s="855"/>
      <c r="F30" s="881"/>
      <c r="G30" s="884"/>
      <c r="H30" s="887"/>
      <c r="I30" s="890"/>
      <c r="J30" s="893"/>
      <c r="K30" s="896"/>
      <c r="L30" s="855"/>
      <c r="M30" s="855"/>
      <c r="N30" s="284">
        <v>45444</v>
      </c>
      <c r="O30" s="881"/>
      <c r="P30" s="279">
        <v>11999.1</v>
      </c>
      <c r="Q30" s="280"/>
      <c r="R30" s="281"/>
      <c r="S30" s="279"/>
      <c r="T30" s="279"/>
      <c r="U30" s="899"/>
      <c r="V30" s="875"/>
      <c r="W30" s="878"/>
      <c r="X30" s="110">
        <v>2</v>
      </c>
    </row>
    <row r="31" spans="1:24" s="80" customFormat="1" ht="63.6" customHeight="1" x14ac:dyDescent="0.25">
      <c r="A31" s="925">
        <v>3</v>
      </c>
      <c r="B31" s="646" t="s">
        <v>56</v>
      </c>
      <c r="C31" s="646" t="s">
        <v>147</v>
      </c>
      <c r="D31" s="646" t="s">
        <v>158</v>
      </c>
      <c r="E31" s="646" t="s">
        <v>176</v>
      </c>
      <c r="F31" s="655">
        <v>45289</v>
      </c>
      <c r="G31" s="658" t="s">
        <v>177</v>
      </c>
      <c r="H31" s="661">
        <v>22628.22</v>
      </c>
      <c r="I31" s="664">
        <f>IF(X31 = 33, H31 + SUM(S31:S36) - SUM(T31:T36) - SUM(P31:P36) - V31,0)</f>
        <v>3.637978807091713E-12</v>
      </c>
      <c r="J31" s="667">
        <v>2308131994</v>
      </c>
      <c r="K31" s="670" t="s">
        <v>178</v>
      </c>
      <c r="L31" s="646" t="s">
        <v>147</v>
      </c>
      <c r="M31" s="646" t="s">
        <v>175</v>
      </c>
      <c r="N31" s="433">
        <v>45322</v>
      </c>
      <c r="O31" s="655" t="s">
        <v>179</v>
      </c>
      <c r="P31" s="422">
        <v>3771.37</v>
      </c>
      <c r="Q31" s="423">
        <v>45327</v>
      </c>
      <c r="R31" s="424"/>
      <c r="S31" s="425"/>
      <c r="T31" s="425"/>
      <c r="U31" s="661"/>
      <c r="V31" s="649"/>
      <c r="W31" s="652"/>
      <c r="X31" s="80">
        <v>33</v>
      </c>
    </row>
    <row r="32" spans="1:24" s="110" customFormat="1" x14ac:dyDescent="0.25">
      <c r="A32" s="926"/>
      <c r="B32" s="647"/>
      <c r="C32" s="647"/>
      <c r="D32" s="647"/>
      <c r="E32" s="647"/>
      <c r="F32" s="656"/>
      <c r="G32" s="659"/>
      <c r="H32" s="662"/>
      <c r="I32" s="665"/>
      <c r="J32" s="668"/>
      <c r="K32" s="671"/>
      <c r="L32" s="647"/>
      <c r="M32" s="647"/>
      <c r="N32" s="434">
        <v>45351</v>
      </c>
      <c r="O32" s="656"/>
      <c r="P32" s="426">
        <v>3771.37</v>
      </c>
      <c r="Q32" s="427">
        <v>45363</v>
      </c>
      <c r="R32" s="428"/>
      <c r="S32" s="429"/>
      <c r="T32" s="429"/>
      <c r="U32" s="662"/>
      <c r="V32" s="650"/>
      <c r="W32" s="653"/>
      <c r="X32" s="110">
        <v>33</v>
      </c>
    </row>
    <row r="33" spans="1:24" s="110" customFormat="1" x14ac:dyDescent="0.25">
      <c r="A33" s="926"/>
      <c r="B33" s="647"/>
      <c r="C33" s="647"/>
      <c r="D33" s="647"/>
      <c r="E33" s="647"/>
      <c r="F33" s="656"/>
      <c r="G33" s="659"/>
      <c r="H33" s="662"/>
      <c r="I33" s="665"/>
      <c r="J33" s="668"/>
      <c r="K33" s="671"/>
      <c r="L33" s="647"/>
      <c r="M33" s="647"/>
      <c r="N33" s="434">
        <v>45382</v>
      </c>
      <c r="O33" s="656"/>
      <c r="P33" s="426">
        <v>3771.37</v>
      </c>
      <c r="Q33" s="427">
        <v>45385</v>
      </c>
      <c r="R33" s="428"/>
      <c r="S33" s="429"/>
      <c r="T33" s="429"/>
      <c r="U33" s="662"/>
      <c r="V33" s="650"/>
      <c r="W33" s="653"/>
      <c r="X33" s="110">
        <v>33</v>
      </c>
    </row>
    <row r="34" spans="1:24" s="110" customFormat="1" x14ac:dyDescent="0.25">
      <c r="A34" s="926"/>
      <c r="B34" s="647"/>
      <c r="C34" s="647"/>
      <c r="D34" s="647"/>
      <c r="E34" s="647"/>
      <c r="F34" s="656"/>
      <c r="G34" s="659"/>
      <c r="H34" s="662"/>
      <c r="I34" s="665"/>
      <c r="J34" s="668"/>
      <c r="K34" s="671"/>
      <c r="L34" s="647"/>
      <c r="M34" s="647"/>
      <c r="N34" s="434">
        <v>45412</v>
      </c>
      <c r="O34" s="656"/>
      <c r="P34" s="426">
        <v>3771.37</v>
      </c>
      <c r="Q34" s="427">
        <v>45419</v>
      </c>
      <c r="R34" s="428"/>
      <c r="S34" s="429"/>
      <c r="T34" s="429"/>
      <c r="U34" s="662"/>
      <c r="V34" s="650"/>
      <c r="W34" s="653"/>
      <c r="X34" s="110">
        <v>33</v>
      </c>
    </row>
    <row r="35" spans="1:24" s="110" customFormat="1" x14ac:dyDescent="0.25">
      <c r="A35" s="926"/>
      <c r="B35" s="647"/>
      <c r="C35" s="647"/>
      <c r="D35" s="647"/>
      <c r="E35" s="647"/>
      <c r="F35" s="656"/>
      <c r="G35" s="659"/>
      <c r="H35" s="662"/>
      <c r="I35" s="665"/>
      <c r="J35" s="668"/>
      <c r="K35" s="671"/>
      <c r="L35" s="647"/>
      <c r="M35" s="647"/>
      <c r="N35" s="434">
        <v>45443</v>
      </c>
      <c r="O35" s="656"/>
      <c r="P35" s="426">
        <v>3771.37</v>
      </c>
      <c r="Q35" s="427">
        <v>45454</v>
      </c>
      <c r="R35" s="428"/>
      <c r="S35" s="429"/>
      <c r="T35" s="429"/>
      <c r="U35" s="662"/>
      <c r="V35" s="650"/>
      <c r="W35" s="653"/>
      <c r="X35" s="110">
        <v>33</v>
      </c>
    </row>
    <row r="36" spans="1:24" s="110" customFormat="1" x14ac:dyDescent="0.25">
      <c r="A36" s="927"/>
      <c r="B36" s="648"/>
      <c r="C36" s="648"/>
      <c r="D36" s="648"/>
      <c r="E36" s="648"/>
      <c r="F36" s="657"/>
      <c r="G36" s="660"/>
      <c r="H36" s="663"/>
      <c r="I36" s="666"/>
      <c r="J36" s="669"/>
      <c r="K36" s="672"/>
      <c r="L36" s="648"/>
      <c r="M36" s="648"/>
      <c r="N36" s="435">
        <v>45473</v>
      </c>
      <c r="O36" s="657"/>
      <c r="P36" s="430">
        <v>3771.37</v>
      </c>
      <c r="Q36" s="431"/>
      <c r="R36" s="432"/>
      <c r="S36" s="430"/>
      <c r="T36" s="430"/>
      <c r="U36" s="663"/>
      <c r="V36" s="651"/>
      <c r="W36" s="654"/>
      <c r="X36" s="110">
        <v>33</v>
      </c>
    </row>
    <row r="37" spans="1:24" s="80" customFormat="1" ht="54" customHeight="1" x14ac:dyDescent="0.25">
      <c r="A37" s="634">
        <v>4</v>
      </c>
      <c r="B37" s="607" t="s">
        <v>56</v>
      </c>
      <c r="C37" s="607" t="s">
        <v>147</v>
      </c>
      <c r="D37" s="607" t="s">
        <v>158</v>
      </c>
      <c r="E37" s="607" t="s">
        <v>180</v>
      </c>
      <c r="F37" s="616">
        <v>45289</v>
      </c>
      <c r="G37" s="619" t="s">
        <v>181</v>
      </c>
      <c r="H37" s="622">
        <v>24000</v>
      </c>
      <c r="I37" s="625">
        <f>IF(X37 = 34, H37 + SUM(S37:S42) - SUM(T37:T42) - SUM(P37:P42) - V37,0)</f>
        <v>12000</v>
      </c>
      <c r="J37" s="628">
        <v>2353002302</v>
      </c>
      <c r="K37" s="631" t="s">
        <v>182</v>
      </c>
      <c r="L37" s="607" t="s">
        <v>147</v>
      </c>
      <c r="M37" s="607" t="s">
        <v>175</v>
      </c>
      <c r="N37" s="507">
        <v>45322</v>
      </c>
      <c r="O37" s="616" t="s">
        <v>183</v>
      </c>
      <c r="P37" s="496">
        <v>2000</v>
      </c>
      <c r="Q37" s="497">
        <v>45327</v>
      </c>
      <c r="R37" s="498"/>
      <c r="S37" s="499"/>
      <c r="T37" s="499"/>
      <c r="U37" s="622"/>
      <c r="V37" s="610"/>
      <c r="W37" s="613"/>
      <c r="X37" s="80">
        <v>34</v>
      </c>
    </row>
    <row r="38" spans="1:24" s="110" customFormat="1" x14ac:dyDescent="0.25">
      <c r="A38" s="635"/>
      <c r="B38" s="608"/>
      <c r="C38" s="608"/>
      <c r="D38" s="608"/>
      <c r="E38" s="608"/>
      <c r="F38" s="617"/>
      <c r="G38" s="620"/>
      <c r="H38" s="623"/>
      <c r="I38" s="626"/>
      <c r="J38" s="629"/>
      <c r="K38" s="632"/>
      <c r="L38" s="608"/>
      <c r="M38" s="608"/>
      <c r="N38" s="508">
        <v>45351</v>
      </c>
      <c r="O38" s="617"/>
      <c r="P38" s="500">
        <v>2000</v>
      </c>
      <c r="Q38" s="501">
        <v>45351</v>
      </c>
      <c r="R38" s="502"/>
      <c r="S38" s="503"/>
      <c r="T38" s="503"/>
      <c r="U38" s="623"/>
      <c r="V38" s="611"/>
      <c r="W38" s="614"/>
      <c r="X38" s="110">
        <v>34</v>
      </c>
    </row>
    <row r="39" spans="1:24" s="110" customFormat="1" x14ac:dyDescent="0.25">
      <c r="A39" s="635"/>
      <c r="B39" s="608"/>
      <c r="C39" s="608"/>
      <c r="D39" s="608"/>
      <c r="E39" s="608"/>
      <c r="F39" s="617"/>
      <c r="G39" s="620"/>
      <c r="H39" s="623"/>
      <c r="I39" s="626"/>
      <c r="J39" s="629"/>
      <c r="K39" s="632"/>
      <c r="L39" s="608"/>
      <c r="M39" s="608"/>
      <c r="N39" s="508">
        <v>45382</v>
      </c>
      <c r="O39" s="617"/>
      <c r="P39" s="500">
        <v>2000</v>
      </c>
      <c r="Q39" s="501">
        <v>45385</v>
      </c>
      <c r="R39" s="502"/>
      <c r="S39" s="503"/>
      <c r="T39" s="503"/>
      <c r="U39" s="623"/>
      <c r="V39" s="611"/>
      <c r="W39" s="614"/>
      <c r="X39" s="110">
        <v>34</v>
      </c>
    </row>
    <row r="40" spans="1:24" s="110" customFormat="1" x14ac:dyDescent="0.25">
      <c r="A40" s="635"/>
      <c r="B40" s="608"/>
      <c r="C40" s="608"/>
      <c r="D40" s="608"/>
      <c r="E40" s="608"/>
      <c r="F40" s="617"/>
      <c r="G40" s="620"/>
      <c r="H40" s="623"/>
      <c r="I40" s="626"/>
      <c r="J40" s="629"/>
      <c r="K40" s="632"/>
      <c r="L40" s="608"/>
      <c r="M40" s="608"/>
      <c r="N40" s="508">
        <v>45412</v>
      </c>
      <c r="O40" s="617"/>
      <c r="P40" s="500">
        <v>2000</v>
      </c>
      <c r="Q40" s="501">
        <v>45419</v>
      </c>
      <c r="R40" s="502"/>
      <c r="S40" s="503"/>
      <c r="T40" s="503"/>
      <c r="U40" s="623"/>
      <c r="V40" s="611"/>
      <c r="W40" s="614"/>
      <c r="X40" s="110">
        <v>34</v>
      </c>
    </row>
    <row r="41" spans="1:24" s="110" customFormat="1" x14ac:dyDescent="0.25">
      <c r="A41" s="635"/>
      <c r="B41" s="608"/>
      <c r="C41" s="608"/>
      <c r="D41" s="608"/>
      <c r="E41" s="608"/>
      <c r="F41" s="617"/>
      <c r="G41" s="620"/>
      <c r="H41" s="623"/>
      <c r="I41" s="626"/>
      <c r="J41" s="629"/>
      <c r="K41" s="632"/>
      <c r="L41" s="608"/>
      <c r="M41" s="608"/>
      <c r="N41" s="508">
        <v>45443</v>
      </c>
      <c r="O41" s="617"/>
      <c r="P41" s="500">
        <v>2000</v>
      </c>
      <c r="Q41" s="501">
        <v>45448</v>
      </c>
      <c r="R41" s="502"/>
      <c r="S41" s="503"/>
      <c r="T41" s="503"/>
      <c r="U41" s="623"/>
      <c r="V41" s="611"/>
      <c r="W41" s="614"/>
      <c r="X41" s="110">
        <v>34</v>
      </c>
    </row>
    <row r="42" spans="1:24" s="110" customFormat="1" x14ac:dyDescent="0.25">
      <c r="A42" s="636"/>
      <c r="B42" s="609"/>
      <c r="C42" s="609"/>
      <c r="D42" s="609"/>
      <c r="E42" s="609"/>
      <c r="F42" s="618"/>
      <c r="G42" s="621"/>
      <c r="H42" s="624"/>
      <c r="I42" s="627"/>
      <c r="J42" s="630"/>
      <c r="K42" s="633"/>
      <c r="L42" s="609"/>
      <c r="M42" s="609"/>
      <c r="N42" s="509">
        <v>45473</v>
      </c>
      <c r="O42" s="618"/>
      <c r="P42" s="504">
        <v>2000</v>
      </c>
      <c r="Q42" s="505"/>
      <c r="R42" s="506"/>
      <c r="S42" s="504"/>
      <c r="T42" s="504"/>
      <c r="U42" s="624"/>
      <c r="V42" s="612"/>
      <c r="W42" s="615"/>
      <c r="X42" s="110">
        <v>34</v>
      </c>
    </row>
    <row r="43" spans="1:24" s="80" customFormat="1" ht="72" customHeight="1" x14ac:dyDescent="0.25">
      <c r="A43" s="634">
        <v>5</v>
      </c>
      <c r="B43" s="607" t="s">
        <v>56</v>
      </c>
      <c r="C43" s="607" t="s">
        <v>147</v>
      </c>
      <c r="D43" s="607" t="s">
        <v>158</v>
      </c>
      <c r="E43" s="607" t="s">
        <v>184</v>
      </c>
      <c r="F43" s="616">
        <v>45289</v>
      </c>
      <c r="G43" s="619" t="s">
        <v>185</v>
      </c>
      <c r="H43" s="622">
        <v>36000</v>
      </c>
      <c r="I43" s="625">
        <f>IF(X43 = 35, H43 + SUM(S43:S48) - SUM(T43:T48) - SUM(P43:P48) - V43,0)</f>
        <v>18000</v>
      </c>
      <c r="J43" s="628">
        <v>2353002302</v>
      </c>
      <c r="K43" s="631" t="s">
        <v>182</v>
      </c>
      <c r="L43" s="607" t="s">
        <v>147</v>
      </c>
      <c r="M43" s="607" t="s">
        <v>175</v>
      </c>
      <c r="N43" s="507">
        <v>45322</v>
      </c>
      <c r="O43" s="616" t="s">
        <v>203</v>
      </c>
      <c r="P43" s="496">
        <v>3000</v>
      </c>
      <c r="Q43" s="497">
        <v>45327</v>
      </c>
      <c r="R43" s="498"/>
      <c r="S43" s="499"/>
      <c r="T43" s="499"/>
      <c r="U43" s="622"/>
      <c r="V43" s="610"/>
      <c r="W43" s="613"/>
      <c r="X43" s="80">
        <v>35</v>
      </c>
    </row>
    <row r="44" spans="1:24" s="110" customFormat="1" x14ac:dyDescent="0.25">
      <c r="A44" s="635"/>
      <c r="B44" s="608"/>
      <c r="C44" s="608"/>
      <c r="D44" s="608"/>
      <c r="E44" s="608"/>
      <c r="F44" s="617"/>
      <c r="G44" s="620"/>
      <c r="H44" s="623"/>
      <c r="I44" s="626"/>
      <c r="J44" s="629"/>
      <c r="K44" s="632"/>
      <c r="L44" s="608"/>
      <c r="M44" s="608"/>
      <c r="N44" s="508">
        <v>45351</v>
      </c>
      <c r="O44" s="617"/>
      <c r="P44" s="500">
        <v>3000</v>
      </c>
      <c r="Q44" s="501">
        <v>45351</v>
      </c>
      <c r="R44" s="502"/>
      <c r="S44" s="503"/>
      <c r="T44" s="503"/>
      <c r="U44" s="623"/>
      <c r="V44" s="611"/>
      <c r="W44" s="614"/>
      <c r="X44" s="110">
        <v>35</v>
      </c>
    </row>
    <row r="45" spans="1:24" s="110" customFormat="1" x14ac:dyDescent="0.25">
      <c r="A45" s="635"/>
      <c r="B45" s="608"/>
      <c r="C45" s="608"/>
      <c r="D45" s="608"/>
      <c r="E45" s="608"/>
      <c r="F45" s="617"/>
      <c r="G45" s="620"/>
      <c r="H45" s="623"/>
      <c r="I45" s="626"/>
      <c r="J45" s="629"/>
      <c r="K45" s="632"/>
      <c r="L45" s="608"/>
      <c r="M45" s="608"/>
      <c r="N45" s="508">
        <v>45382</v>
      </c>
      <c r="O45" s="617"/>
      <c r="P45" s="500">
        <v>3000</v>
      </c>
      <c r="Q45" s="501">
        <v>38080</v>
      </c>
      <c r="R45" s="502"/>
      <c r="S45" s="503"/>
      <c r="T45" s="503"/>
      <c r="U45" s="623"/>
      <c r="V45" s="611"/>
      <c r="W45" s="614"/>
      <c r="X45" s="110">
        <v>35</v>
      </c>
    </row>
    <row r="46" spans="1:24" s="110" customFormat="1" x14ac:dyDescent="0.25">
      <c r="A46" s="635"/>
      <c r="B46" s="608"/>
      <c r="C46" s="608"/>
      <c r="D46" s="608"/>
      <c r="E46" s="608"/>
      <c r="F46" s="617"/>
      <c r="G46" s="620"/>
      <c r="H46" s="623"/>
      <c r="I46" s="626"/>
      <c r="J46" s="629"/>
      <c r="K46" s="632"/>
      <c r="L46" s="608"/>
      <c r="M46" s="608"/>
      <c r="N46" s="508">
        <v>45412</v>
      </c>
      <c r="O46" s="617"/>
      <c r="P46" s="500">
        <v>3000</v>
      </c>
      <c r="Q46" s="501">
        <v>45419</v>
      </c>
      <c r="R46" s="502"/>
      <c r="S46" s="503"/>
      <c r="T46" s="503"/>
      <c r="U46" s="623"/>
      <c r="V46" s="611"/>
      <c r="W46" s="614"/>
      <c r="X46" s="110">
        <v>35</v>
      </c>
    </row>
    <row r="47" spans="1:24" s="110" customFormat="1" x14ac:dyDescent="0.25">
      <c r="A47" s="635"/>
      <c r="B47" s="608"/>
      <c r="C47" s="608"/>
      <c r="D47" s="608"/>
      <c r="E47" s="608"/>
      <c r="F47" s="617"/>
      <c r="G47" s="620"/>
      <c r="H47" s="623"/>
      <c r="I47" s="626"/>
      <c r="J47" s="629"/>
      <c r="K47" s="632"/>
      <c r="L47" s="608"/>
      <c r="M47" s="608"/>
      <c r="N47" s="508">
        <v>45443</v>
      </c>
      <c r="O47" s="617"/>
      <c r="P47" s="500">
        <v>3000</v>
      </c>
      <c r="Q47" s="501">
        <v>45448</v>
      </c>
      <c r="R47" s="502"/>
      <c r="S47" s="503"/>
      <c r="T47" s="503"/>
      <c r="U47" s="623"/>
      <c r="V47" s="611"/>
      <c r="W47" s="614"/>
      <c r="X47" s="110">
        <v>35</v>
      </c>
    </row>
    <row r="48" spans="1:24" s="110" customFormat="1" x14ac:dyDescent="0.25">
      <c r="A48" s="636"/>
      <c r="B48" s="609"/>
      <c r="C48" s="609"/>
      <c r="D48" s="609"/>
      <c r="E48" s="609"/>
      <c r="F48" s="618"/>
      <c r="G48" s="621"/>
      <c r="H48" s="624"/>
      <c r="I48" s="627"/>
      <c r="J48" s="630"/>
      <c r="K48" s="633"/>
      <c r="L48" s="609"/>
      <c r="M48" s="609"/>
      <c r="N48" s="509">
        <v>45473</v>
      </c>
      <c r="O48" s="618"/>
      <c r="P48" s="504">
        <v>3000</v>
      </c>
      <c r="Q48" s="505"/>
      <c r="R48" s="506"/>
      <c r="S48" s="504"/>
      <c r="T48" s="504"/>
      <c r="U48" s="624"/>
      <c r="V48" s="612"/>
      <c r="W48" s="615"/>
      <c r="X48" s="110">
        <v>35</v>
      </c>
    </row>
    <row r="49" spans="1:24" s="80" customFormat="1" ht="90" customHeight="1" x14ac:dyDescent="0.25">
      <c r="A49" s="782">
        <v>6</v>
      </c>
      <c r="B49" s="730" t="s">
        <v>56</v>
      </c>
      <c r="C49" s="730" t="s">
        <v>147</v>
      </c>
      <c r="D49" s="730" t="s">
        <v>158</v>
      </c>
      <c r="E49" s="730" t="s">
        <v>186</v>
      </c>
      <c r="F49" s="733">
        <v>45289</v>
      </c>
      <c r="G49" s="736" t="s">
        <v>187</v>
      </c>
      <c r="H49" s="739">
        <v>27406.080000000002</v>
      </c>
      <c r="I49" s="742">
        <f>IF(X49 = 36, H49 + SUM(S49:S54) - SUM(T49:T54) - SUM(P49:P54) - V49,0)</f>
        <v>13703.04</v>
      </c>
      <c r="J49" s="856">
        <v>2310163739</v>
      </c>
      <c r="K49" s="752" t="s">
        <v>188</v>
      </c>
      <c r="L49" s="730" t="s">
        <v>147</v>
      </c>
      <c r="M49" s="730" t="s">
        <v>175</v>
      </c>
      <c r="N49" s="447">
        <v>45322</v>
      </c>
      <c r="O49" s="733" t="s">
        <v>189</v>
      </c>
      <c r="P49" s="436">
        <v>2283.84</v>
      </c>
      <c r="Q49" s="437">
        <v>45334</v>
      </c>
      <c r="R49" s="438"/>
      <c r="S49" s="439"/>
      <c r="T49" s="439"/>
      <c r="U49" s="739"/>
      <c r="V49" s="837"/>
      <c r="W49" s="903"/>
      <c r="X49" s="80">
        <v>36</v>
      </c>
    </row>
    <row r="50" spans="1:24" s="110" customFormat="1" x14ac:dyDescent="0.25">
      <c r="A50" s="783"/>
      <c r="B50" s="731"/>
      <c r="C50" s="731"/>
      <c r="D50" s="731"/>
      <c r="E50" s="731"/>
      <c r="F50" s="734"/>
      <c r="G50" s="737"/>
      <c r="H50" s="740"/>
      <c r="I50" s="743"/>
      <c r="J50" s="857"/>
      <c r="K50" s="753"/>
      <c r="L50" s="731"/>
      <c r="M50" s="731"/>
      <c r="N50" s="448">
        <v>45351</v>
      </c>
      <c r="O50" s="734"/>
      <c r="P50" s="440">
        <v>2283.84</v>
      </c>
      <c r="Q50" s="441">
        <v>45351</v>
      </c>
      <c r="R50" s="442"/>
      <c r="S50" s="443"/>
      <c r="T50" s="443"/>
      <c r="U50" s="740"/>
      <c r="V50" s="838"/>
      <c r="W50" s="904"/>
      <c r="X50" s="110">
        <v>36</v>
      </c>
    </row>
    <row r="51" spans="1:24" s="110" customFormat="1" x14ac:dyDescent="0.25">
      <c r="A51" s="783"/>
      <c r="B51" s="731"/>
      <c r="C51" s="731"/>
      <c r="D51" s="731"/>
      <c r="E51" s="731"/>
      <c r="F51" s="734"/>
      <c r="G51" s="737"/>
      <c r="H51" s="740"/>
      <c r="I51" s="743"/>
      <c r="J51" s="857"/>
      <c r="K51" s="753"/>
      <c r="L51" s="731"/>
      <c r="M51" s="731"/>
      <c r="N51" s="448">
        <v>45380</v>
      </c>
      <c r="O51" s="734"/>
      <c r="P51" s="440">
        <v>2283.84</v>
      </c>
      <c r="Q51" s="441">
        <v>45385</v>
      </c>
      <c r="R51" s="442"/>
      <c r="S51" s="443"/>
      <c r="T51" s="443"/>
      <c r="U51" s="740"/>
      <c r="V51" s="838"/>
      <c r="W51" s="904"/>
      <c r="X51" s="110">
        <v>36</v>
      </c>
    </row>
    <row r="52" spans="1:24" s="110" customFormat="1" x14ac:dyDescent="0.25">
      <c r="A52" s="783"/>
      <c r="B52" s="731"/>
      <c r="C52" s="731"/>
      <c r="D52" s="731"/>
      <c r="E52" s="731"/>
      <c r="F52" s="734"/>
      <c r="G52" s="737"/>
      <c r="H52" s="740"/>
      <c r="I52" s="743"/>
      <c r="J52" s="857"/>
      <c r="K52" s="753"/>
      <c r="L52" s="731"/>
      <c r="M52" s="731"/>
      <c r="N52" s="448">
        <v>45409</v>
      </c>
      <c r="O52" s="734"/>
      <c r="P52" s="440">
        <v>2283.84</v>
      </c>
      <c r="Q52" s="441">
        <v>45419</v>
      </c>
      <c r="R52" s="442"/>
      <c r="S52" s="443"/>
      <c r="T52" s="443"/>
      <c r="U52" s="740"/>
      <c r="V52" s="838"/>
      <c r="W52" s="904"/>
      <c r="X52" s="110">
        <v>36</v>
      </c>
    </row>
    <row r="53" spans="1:24" s="110" customFormat="1" x14ac:dyDescent="0.25">
      <c r="A53" s="783"/>
      <c r="B53" s="731"/>
      <c r="C53" s="731"/>
      <c r="D53" s="731"/>
      <c r="E53" s="731"/>
      <c r="F53" s="734"/>
      <c r="G53" s="737"/>
      <c r="H53" s="740"/>
      <c r="I53" s="743"/>
      <c r="J53" s="857"/>
      <c r="K53" s="753"/>
      <c r="L53" s="731"/>
      <c r="M53" s="731"/>
      <c r="N53" s="448">
        <v>45443</v>
      </c>
      <c r="O53" s="734"/>
      <c r="P53" s="440">
        <v>2283.84</v>
      </c>
      <c r="Q53" s="441">
        <v>45448</v>
      </c>
      <c r="R53" s="442"/>
      <c r="S53" s="443"/>
      <c r="T53" s="443"/>
      <c r="U53" s="740"/>
      <c r="V53" s="838"/>
      <c r="W53" s="904"/>
      <c r="X53" s="110">
        <v>36</v>
      </c>
    </row>
    <row r="54" spans="1:24" s="110" customFormat="1" x14ac:dyDescent="0.25">
      <c r="A54" s="784"/>
      <c r="B54" s="732"/>
      <c r="C54" s="732"/>
      <c r="D54" s="732"/>
      <c r="E54" s="732"/>
      <c r="F54" s="735"/>
      <c r="G54" s="738"/>
      <c r="H54" s="741"/>
      <c r="I54" s="744"/>
      <c r="J54" s="858"/>
      <c r="K54" s="754"/>
      <c r="L54" s="732"/>
      <c r="M54" s="732"/>
      <c r="N54" s="449">
        <v>45471</v>
      </c>
      <c r="O54" s="735"/>
      <c r="P54" s="444">
        <v>2283.84</v>
      </c>
      <c r="Q54" s="445"/>
      <c r="R54" s="446"/>
      <c r="S54" s="444"/>
      <c r="T54" s="444"/>
      <c r="U54" s="741"/>
      <c r="V54" s="839"/>
      <c r="W54" s="905"/>
      <c r="X54" s="110">
        <v>36</v>
      </c>
    </row>
    <row r="55" spans="1:24" s="80" customFormat="1" ht="56.25" x14ac:dyDescent="0.25">
      <c r="A55" s="112">
        <v>7</v>
      </c>
      <c r="B55" s="109" t="s">
        <v>56</v>
      </c>
      <c r="C55" s="109" t="s">
        <v>147</v>
      </c>
      <c r="D55" s="109" t="s">
        <v>158</v>
      </c>
      <c r="E55" s="113" t="s">
        <v>196</v>
      </c>
      <c r="F55" s="120">
        <v>45289</v>
      </c>
      <c r="G55" s="114" t="s">
        <v>197</v>
      </c>
      <c r="H55" s="115">
        <v>21000</v>
      </c>
      <c r="I55" s="116">
        <f>IF(X55 = 39, H55 + SUM(S55:S55) - SUM(T55:T55) - SUM(P55:P55) - V55,0)</f>
        <v>12000</v>
      </c>
      <c r="J55" s="117">
        <v>235306577600</v>
      </c>
      <c r="K55" s="118" t="s">
        <v>200</v>
      </c>
      <c r="L55" s="113" t="s">
        <v>147</v>
      </c>
      <c r="M55" s="109" t="s">
        <v>175</v>
      </c>
      <c r="N55" s="120">
        <v>45382</v>
      </c>
      <c r="O55" s="120" t="s">
        <v>198</v>
      </c>
      <c r="P55" s="144">
        <v>9000</v>
      </c>
      <c r="Q55" s="114">
        <v>45384</v>
      </c>
      <c r="R55" s="113"/>
      <c r="S55" s="115"/>
      <c r="T55" s="115"/>
      <c r="U55" s="115"/>
      <c r="V55" s="119"/>
      <c r="W55" s="111"/>
      <c r="X55" s="80">
        <v>39</v>
      </c>
    </row>
    <row r="56" spans="1:24" s="80" customFormat="1" ht="56.25" x14ac:dyDescent="0.25">
      <c r="A56" s="112">
        <v>8</v>
      </c>
      <c r="B56" s="109" t="s">
        <v>56</v>
      </c>
      <c r="C56" s="113" t="s">
        <v>147</v>
      </c>
      <c r="D56" s="109" t="s">
        <v>158</v>
      </c>
      <c r="E56" s="113" t="s">
        <v>116</v>
      </c>
      <c r="F56" s="122">
        <v>45289</v>
      </c>
      <c r="G56" s="114" t="s">
        <v>199</v>
      </c>
      <c r="H56" s="115">
        <v>5179.24</v>
      </c>
      <c r="I56" s="116">
        <f>IF(X56 = 40, H56 + SUM(S56:S56) - SUM(T56:T56) - SUM(P56:P56) - V56,0)</f>
        <v>0</v>
      </c>
      <c r="J56" s="117">
        <v>2353023951</v>
      </c>
      <c r="K56" s="118" t="s">
        <v>201</v>
      </c>
      <c r="L56" s="113" t="s">
        <v>147</v>
      </c>
      <c r="M56" s="109" t="s">
        <v>202</v>
      </c>
      <c r="N56" s="122">
        <v>45321</v>
      </c>
      <c r="O56" s="120" t="s">
        <v>203</v>
      </c>
      <c r="P56" s="144">
        <v>5179.24</v>
      </c>
      <c r="Q56" s="114">
        <v>45327</v>
      </c>
      <c r="R56" s="113"/>
      <c r="S56" s="115"/>
      <c r="T56" s="115"/>
      <c r="U56" s="115"/>
      <c r="V56" s="119"/>
      <c r="W56" s="121"/>
      <c r="X56" s="80">
        <v>40</v>
      </c>
    </row>
    <row r="57" spans="1:24" s="80" customFormat="1" ht="108" customHeight="1" x14ac:dyDescent="0.25">
      <c r="A57" s="749">
        <v>9</v>
      </c>
      <c r="B57" s="694" t="s">
        <v>56</v>
      </c>
      <c r="C57" s="694" t="s">
        <v>147</v>
      </c>
      <c r="D57" s="694" t="s">
        <v>158</v>
      </c>
      <c r="E57" s="694" t="s">
        <v>116</v>
      </c>
      <c r="F57" s="697">
        <v>45289</v>
      </c>
      <c r="G57" s="700" t="s">
        <v>204</v>
      </c>
      <c r="H57" s="703">
        <v>63000</v>
      </c>
      <c r="I57" s="706">
        <f>IF(X57 = 41, H57 + SUM(S57:S61) - SUM(T57:T61) - SUM(P57:P61) - V57,0)</f>
        <v>28750</v>
      </c>
      <c r="J57" s="709">
        <v>2353017179</v>
      </c>
      <c r="K57" s="712" t="s">
        <v>205</v>
      </c>
      <c r="L57" s="694" t="s">
        <v>147</v>
      </c>
      <c r="M57" s="694" t="s">
        <v>175</v>
      </c>
      <c r="N57" s="382">
        <v>45322</v>
      </c>
      <c r="O57" s="697" t="s">
        <v>203</v>
      </c>
      <c r="P57" s="371">
        <v>6950</v>
      </c>
      <c r="Q57" s="372">
        <v>45331</v>
      </c>
      <c r="R57" s="373"/>
      <c r="S57" s="374"/>
      <c r="T57" s="374"/>
      <c r="U57" s="703"/>
      <c r="V57" s="920"/>
      <c r="W57" s="906"/>
      <c r="X57" s="80">
        <v>41</v>
      </c>
    </row>
    <row r="58" spans="1:24" s="110" customFormat="1" x14ac:dyDescent="0.25">
      <c r="A58" s="750"/>
      <c r="B58" s="695"/>
      <c r="C58" s="695"/>
      <c r="D58" s="695"/>
      <c r="E58" s="695"/>
      <c r="F58" s="698"/>
      <c r="G58" s="701"/>
      <c r="H58" s="704"/>
      <c r="I58" s="707"/>
      <c r="J58" s="710"/>
      <c r="K58" s="713"/>
      <c r="L58" s="695"/>
      <c r="M58" s="695"/>
      <c r="N58" s="383">
        <v>45351</v>
      </c>
      <c r="O58" s="698"/>
      <c r="P58" s="375">
        <v>7200</v>
      </c>
      <c r="Q58" s="376">
        <v>45365</v>
      </c>
      <c r="R58" s="377"/>
      <c r="S58" s="378"/>
      <c r="T58" s="378"/>
      <c r="U58" s="704"/>
      <c r="V58" s="921"/>
      <c r="W58" s="907"/>
      <c r="X58" s="110">
        <v>41</v>
      </c>
    </row>
    <row r="59" spans="1:24" s="110" customFormat="1" x14ac:dyDescent="0.25">
      <c r="A59" s="750"/>
      <c r="B59" s="695"/>
      <c r="C59" s="695"/>
      <c r="D59" s="695"/>
      <c r="E59" s="695"/>
      <c r="F59" s="698"/>
      <c r="G59" s="701"/>
      <c r="H59" s="704"/>
      <c r="I59" s="707"/>
      <c r="J59" s="710"/>
      <c r="K59" s="713"/>
      <c r="L59" s="695"/>
      <c r="M59" s="695"/>
      <c r="N59" s="383">
        <v>45382</v>
      </c>
      <c r="O59" s="698"/>
      <c r="P59" s="375">
        <v>6900</v>
      </c>
      <c r="Q59" s="376">
        <v>45393</v>
      </c>
      <c r="R59" s="377"/>
      <c r="S59" s="378"/>
      <c r="T59" s="378"/>
      <c r="U59" s="704"/>
      <c r="V59" s="921"/>
      <c r="W59" s="907"/>
      <c r="X59" s="110">
        <v>41</v>
      </c>
    </row>
    <row r="60" spans="1:24" s="110" customFormat="1" x14ac:dyDescent="0.25">
      <c r="A60" s="750"/>
      <c r="B60" s="695"/>
      <c r="C60" s="695"/>
      <c r="D60" s="695"/>
      <c r="E60" s="695"/>
      <c r="F60" s="698"/>
      <c r="G60" s="701"/>
      <c r="H60" s="704"/>
      <c r="I60" s="707"/>
      <c r="J60" s="710"/>
      <c r="K60" s="713"/>
      <c r="L60" s="695"/>
      <c r="M60" s="695"/>
      <c r="N60" s="383">
        <v>45412</v>
      </c>
      <c r="O60" s="698"/>
      <c r="P60" s="375">
        <v>7200</v>
      </c>
      <c r="Q60" s="376">
        <v>45428</v>
      </c>
      <c r="R60" s="377"/>
      <c r="S60" s="378"/>
      <c r="T60" s="378"/>
      <c r="U60" s="704"/>
      <c r="V60" s="921"/>
      <c r="W60" s="907"/>
      <c r="X60" s="110">
        <v>41</v>
      </c>
    </row>
    <row r="61" spans="1:24" s="110" customFormat="1" x14ac:dyDescent="0.25">
      <c r="A61" s="751"/>
      <c r="B61" s="696"/>
      <c r="C61" s="696"/>
      <c r="D61" s="696"/>
      <c r="E61" s="696"/>
      <c r="F61" s="699"/>
      <c r="G61" s="702"/>
      <c r="H61" s="705"/>
      <c r="I61" s="708"/>
      <c r="J61" s="711"/>
      <c r="K61" s="714"/>
      <c r="L61" s="696"/>
      <c r="M61" s="696"/>
      <c r="N61" s="384">
        <v>45443</v>
      </c>
      <c r="O61" s="699"/>
      <c r="P61" s="487">
        <v>6000</v>
      </c>
      <c r="Q61" s="380">
        <v>45454</v>
      </c>
      <c r="R61" s="381"/>
      <c r="S61" s="379"/>
      <c r="T61" s="379"/>
      <c r="U61" s="705"/>
      <c r="V61" s="922"/>
      <c r="W61" s="908"/>
      <c r="X61" s="110">
        <v>41</v>
      </c>
    </row>
    <row r="62" spans="1:24" s="80" customFormat="1" ht="54" customHeight="1" x14ac:dyDescent="0.25">
      <c r="A62" s="745">
        <v>10</v>
      </c>
      <c r="B62" s="747" t="s">
        <v>56</v>
      </c>
      <c r="C62" s="747" t="s">
        <v>147</v>
      </c>
      <c r="D62" s="747" t="s">
        <v>158</v>
      </c>
      <c r="E62" s="747" t="s">
        <v>36</v>
      </c>
      <c r="F62" s="909">
        <v>45289</v>
      </c>
      <c r="G62" s="935" t="s">
        <v>206</v>
      </c>
      <c r="H62" s="923">
        <v>3600</v>
      </c>
      <c r="I62" s="937">
        <f>IF(X62 = 42, H62 + SUM(S62:S63) - SUM(T62:T63) - SUM(P62:P63) - V62,0)</f>
        <v>1800</v>
      </c>
      <c r="J62" s="939">
        <v>2369000660</v>
      </c>
      <c r="K62" s="941" t="s">
        <v>207</v>
      </c>
      <c r="L62" s="747" t="s">
        <v>147</v>
      </c>
      <c r="M62" s="747" t="s">
        <v>175</v>
      </c>
      <c r="N62" s="420">
        <v>45382</v>
      </c>
      <c r="O62" s="909" t="s">
        <v>203</v>
      </c>
      <c r="P62" s="413">
        <v>900</v>
      </c>
      <c r="Q62" s="414">
        <v>45384</v>
      </c>
      <c r="R62" s="415"/>
      <c r="S62" s="416"/>
      <c r="T62" s="416"/>
      <c r="U62" s="923"/>
      <c r="V62" s="931"/>
      <c r="W62" s="933"/>
      <c r="X62" s="80">
        <v>42</v>
      </c>
    </row>
    <row r="63" spans="1:24" s="110" customFormat="1" x14ac:dyDescent="0.25">
      <c r="A63" s="746"/>
      <c r="B63" s="748"/>
      <c r="C63" s="748"/>
      <c r="D63" s="748"/>
      <c r="E63" s="748"/>
      <c r="F63" s="910"/>
      <c r="G63" s="936"/>
      <c r="H63" s="924"/>
      <c r="I63" s="938"/>
      <c r="J63" s="940"/>
      <c r="K63" s="942"/>
      <c r="L63" s="748"/>
      <c r="M63" s="748"/>
      <c r="N63" s="421">
        <v>45473</v>
      </c>
      <c r="O63" s="910"/>
      <c r="P63" s="417">
        <v>900</v>
      </c>
      <c r="Q63" s="418"/>
      <c r="R63" s="419"/>
      <c r="S63" s="417"/>
      <c r="T63" s="417"/>
      <c r="U63" s="924"/>
      <c r="V63" s="932"/>
      <c r="W63" s="934"/>
      <c r="X63" s="110">
        <v>42</v>
      </c>
    </row>
    <row r="64" spans="1:24" s="80" customFormat="1" ht="36" customHeight="1" x14ac:dyDescent="0.25">
      <c r="A64" s="685">
        <v>11</v>
      </c>
      <c r="B64" s="637" t="s">
        <v>56</v>
      </c>
      <c r="C64" s="637" t="s">
        <v>147</v>
      </c>
      <c r="D64" s="637" t="s">
        <v>158</v>
      </c>
      <c r="E64" s="637" t="s">
        <v>211</v>
      </c>
      <c r="F64" s="688">
        <v>45289</v>
      </c>
      <c r="G64" s="715" t="s">
        <v>208</v>
      </c>
      <c r="H64" s="718">
        <v>4500</v>
      </c>
      <c r="I64" s="721">
        <f>IF(X64 = 43, H64 + SUM(S64:S68) - SUM(T64:T68) - SUM(P64:P68) - V64,0)</f>
        <v>2564.4</v>
      </c>
      <c r="J64" s="724">
        <v>7707049388</v>
      </c>
      <c r="K64" s="949" t="s">
        <v>209</v>
      </c>
      <c r="L64" s="637" t="s">
        <v>210</v>
      </c>
      <c r="M64" s="637" t="s">
        <v>175</v>
      </c>
      <c r="N64" s="316">
        <v>45322</v>
      </c>
      <c r="O64" s="688" t="s">
        <v>203</v>
      </c>
      <c r="P64" s="305">
        <v>375.6</v>
      </c>
      <c r="Q64" s="306">
        <v>45328</v>
      </c>
      <c r="R64" s="307"/>
      <c r="S64" s="308"/>
      <c r="T64" s="308"/>
      <c r="U64" s="718"/>
      <c r="V64" s="917"/>
      <c r="W64" s="914"/>
      <c r="X64" s="80">
        <v>43</v>
      </c>
    </row>
    <row r="65" spans="1:24" s="110" customFormat="1" x14ac:dyDescent="0.25">
      <c r="A65" s="686"/>
      <c r="B65" s="638"/>
      <c r="C65" s="638"/>
      <c r="D65" s="638"/>
      <c r="E65" s="638"/>
      <c r="F65" s="689"/>
      <c r="G65" s="716"/>
      <c r="H65" s="719"/>
      <c r="I65" s="722"/>
      <c r="J65" s="725"/>
      <c r="K65" s="950"/>
      <c r="L65" s="638"/>
      <c r="M65" s="638"/>
      <c r="N65" s="317">
        <v>45351</v>
      </c>
      <c r="O65" s="689"/>
      <c r="P65" s="309">
        <v>390</v>
      </c>
      <c r="Q65" s="310">
        <v>45363</v>
      </c>
      <c r="R65" s="311"/>
      <c r="S65" s="312"/>
      <c r="T65" s="312"/>
      <c r="U65" s="719"/>
      <c r="V65" s="918"/>
      <c r="W65" s="915"/>
      <c r="X65" s="110">
        <v>43</v>
      </c>
    </row>
    <row r="66" spans="1:24" s="110" customFormat="1" x14ac:dyDescent="0.25">
      <c r="A66" s="686"/>
      <c r="B66" s="638"/>
      <c r="C66" s="638"/>
      <c r="D66" s="638"/>
      <c r="E66" s="638"/>
      <c r="F66" s="689"/>
      <c r="G66" s="716"/>
      <c r="H66" s="719"/>
      <c r="I66" s="722"/>
      <c r="J66" s="725"/>
      <c r="K66" s="950"/>
      <c r="L66" s="638"/>
      <c r="M66" s="638"/>
      <c r="N66" s="317">
        <v>45382</v>
      </c>
      <c r="O66" s="689"/>
      <c r="P66" s="309">
        <v>390</v>
      </c>
      <c r="Q66" s="310">
        <v>45391</v>
      </c>
      <c r="R66" s="311"/>
      <c r="S66" s="312"/>
      <c r="T66" s="312"/>
      <c r="U66" s="719"/>
      <c r="V66" s="918"/>
      <c r="W66" s="915"/>
      <c r="X66" s="110">
        <v>43</v>
      </c>
    </row>
    <row r="67" spans="1:24" s="110" customFormat="1" x14ac:dyDescent="0.25">
      <c r="A67" s="686"/>
      <c r="B67" s="638"/>
      <c r="C67" s="638"/>
      <c r="D67" s="638"/>
      <c r="E67" s="638"/>
      <c r="F67" s="689"/>
      <c r="G67" s="716"/>
      <c r="H67" s="719"/>
      <c r="I67" s="722"/>
      <c r="J67" s="725"/>
      <c r="K67" s="950"/>
      <c r="L67" s="638"/>
      <c r="M67" s="638"/>
      <c r="N67" s="317">
        <v>45412</v>
      </c>
      <c r="O67" s="689"/>
      <c r="P67" s="309">
        <v>390</v>
      </c>
      <c r="Q67" s="310">
        <v>45420</v>
      </c>
      <c r="R67" s="311"/>
      <c r="S67" s="312"/>
      <c r="T67" s="312"/>
      <c r="U67" s="719"/>
      <c r="V67" s="918"/>
      <c r="W67" s="915"/>
      <c r="X67" s="110">
        <v>43</v>
      </c>
    </row>
    <row r="68" spans="1:24" s="110" customFormat="1" x14ac:dyDescent="0.25">
      <c r="A68" s="687"/>
      <c r="B68" s="639"/>
      <c r="C68" s="639"/>
      <c r="D68" s="639"/>
      <c r="E68" s="639"/>
      <c r="F68" s="690"/>
      <c r="G68" s="717"/>
      <c r="H68" s="720"/>
      <c r="I68" s="723"/>
      <c r="J68" s="726"/>
      <c r="K68" s="951"/>
      <c r="L68" s="639"/>
      <c r="M68" s="639"/>
      <c r="N68" s="318">
        <v>45443</v>
      </c>
      <c r="O68" s="690"/>
      <c r="P68" s="489">
        <v>390</v>
      </c>
      <c r="Q68" s="314">
        <v>45454</v>
      </c>
      <c r="R68" s="315"/>
      <c r="S68" s="313"/>
      <c r="T68" s="313"/>
      <c r="U68" s="720"/>
      <c r="V68" s="919"/>
      <c r="W68" s="916"/>
      <c r="X68" s="110">
        <v>43</v>
      </c>
    </row>
    <row r="69" spans="1:24" s="80" customFormat="1" ht="56.25" x14ac:dyDescent="0.25">
      <c r="A69" s="132">
        <v>12</v>
      </c>
      <c r="B69" s="109" t="s">
        <v>56</v>
      </c>
      <c r="C69" s="124" t="s">
        <v>147</v>
      </c>
      <c r="D69" s="109" t="s">
        <v>158</v>
      </c>
      <c r="E69" s="124" t="s">
        <v>212</v>
      </c>
      <c r="F69" s="133">
        <v>45289</v>
      </c>
      <c r="G69" s="125" t="s">
        <v>213</v>
      </c>
      <c r="H69" s="126">
        <v>50</v>
      </c>
      <c r="I69" s="127">
        <f>IF(X69 = 44, H69 + SUM(S69:S69) - SUM(T69:T69) - SUM(P69:P69) - V69,0)</f>
        <v>50</v>
      </c>
      <c r="J69" s="128">
        <v>7707049388</v>
      </c>
      <c r="K69" s="129" t="s">
        <v>209</v>
      </c>
      <c r="L69" s="124" t="s">
        <v>147</v>
      </c>
      <c r="M69" s="124" t="s">
        <v>175</v>
      </c>
      <c r="N69" s="133"/>
      <c r="O69" s="123" t="s">
        <v>203</v>
      </c>
      <c r="P69" s="126"/>
      <c r="Q69" s="125"/>
      <c r="R69" s="124"/>
      <c r="S69" s="126"/>
      <c r="T69" s="126"/>
      <c r="U69" s="126"/>
      <c r="V69" s="130"/>
      <c r="W69" s="131"/>
      <c r="X69" s="80">
        <v>44</v>
      </c>
    </row>
    <row r="70" spans="1:24" s="80" customFormat="1" ht="36" customHeight="1" x14ac:dyDescent="0.25">
      <c r="A70" s="727">
        <v>13</v>
      </c>
      <c r="B70" s="691" t="s">
        <v>56</v>
      </c>
      <c r="C70" s="691" t="s">
        <v>147</v>
      </c>
      <c r="D70" s="691" t="s">
        <v>158</v>
      </c>
      <c r="E70" s="691" t="s">
        <v>117</v>
      </c>
      <c r="F70" s="640">
        <v>45323</v>
      </c>
      <c r="G70" s="643" t="s">
        <v>199</v>
      </c>
      <c r="H70" s="673">
        <v>38479.32</v>
      </c>
      <c r="I70" s="943">
        <f>IF(X70 = 45, H70 + SUM(S70:S74) - SUM(T70:T74) - SUM(P70:P74) - V70,0)</f>
        <v>33404.36</v>
      </c>
      <c r="J70" s="946">
        <v>2353023951</v>
      </c>
      <c r="K70" s="682" t="s">
        <v>201</v>
      </c>
      <c r="L70" s="691" t="s">
        <v>147</v>
      </c>
      <c r="M70" s="691" t="s">
        <v>216</v>
      </c>
      <c r="N70" s="470">
        <v>45350</v>
      </c>
      <c r="O70" s="640" t="s">
        <v>203</v>
      </c>
      <c r="P70" s="450">
        <v>173.8</v>
      </c>
      <c r="Q70" s="451">
        <v>45352</v>
      </c>
      <c r="R70" s="452"/>
      <c r="S70" s="453"/>
      <c r="T70" s="453"/>
      <c r="U70" s="673"/>
      <c r="V70" s="676"/>
      <c r="W70" s="679"/>
      <c r="X70" s="80">
        <v>45</v>
      </c>
    </row>
    <row r="71" spans="1:24" s="110" customFormat="1" x14ac:dyDescent="0.25">
      <c r="A71" s="728"/>
      <c r="B71" s="692"/>
      <c r="C71" s="692"/>
      <c r="D71" s="692"/>
      <c r="E71" s="692"/>
      <c r="F71" s="641"/>
      <c r="G71" s="644"/>
      <c r="H71" s="674"/>
      <c r="I71" s="944"/>
      <c r="J71" s="947"/>
      <c r="K71" s="683"/>
      <c r="L71" s="692"/>
      <c r="M71" s="692"/>
      <c r="N71" s="471">
        <v>45380</v>
      </c>
      <c r="O71" s="641"/>
      <c r="P71" s="454">
        <v>729.96</v>
      </c>
      <c r="Q71" s="455">
        <v>45385</v>
      </c>
      <c r="R71" s="456"/>
      <c r="S71" s="457"/>
      <c r="T71" s="457"/>
      <c r="U71" s="674"/>
      <c r="V71" s="677"/>
      <c r="W71" s="680"/>
      <c r="X71" s="110">
        <v>45</v>
      </c>
    </row>
    <row r="72" spans="1:24" s="110" customFormat="1" x14ac:dyDescent="0.25">
      <c r="A72" s="728"/>
      <c r="B72" s="692"/>
      <c r="C72" s="692"/>
      <c r="D72" s="692"/>
      <c r="E72" s="692"/>
      <c r="F72" s="641"/>
      <c r="G72" s="644"/>
      <c r="H72" s="674"/>
      <c r="I72" s="944"/>
      <c r="J72" s="947"/>
      <c r="K72" s="683"/>
      <c r="L72" s="692"/>
      <c r="M72" s="692"/>
      <c r="N72" s="471">
        <v>45412</v>
      </c>
      <c r="O72" s="641"/>
      <c r="P72" s="454">
        <v>1390.4</v>
      </c>
      <c r="Q72" s="455">
        <v>45420</v>
      </c>
      <c r="R72" s="456"/>
      <c r="S72" s="457"/>
      <c r="T72" s="457"/>
      <c r="U72" s="674"/>
      <c r="V72" s="677"/>
      <c r="W72" s="680"/>
      <c r="X72" s="110">
        <v>45</v>
      </c>
    </row>
    <row r="73" spans="1:24" s="110" customFormat="1" x14ac:dyDescent="0.25">
      <c r="A73" s="728"/>
      <c r="B73" s="692"/>
      <c r="C73" s="692"/>
      <c r="D73" s="692"/>
      <c r="E73" s="692"/>
      <c r="F73" s="641"/>
      <c r="G73" s="644"/>
      <c r="H73" s="674"/>
      <c r="I73" s="944"/>
      <c r="J73" s="947"/>
      <c r="K73" s="683"/>
      <c r="L73" s="692"/>
      <c r="M73" s="692"/>
      <c r="N73" s="471">
        <v>45440</v>
      </c>
      <c r="O73" s="641"/>
      <c r="P73" s="454">
        <v>556.16</v>
      </c>
      <c r="Q73" s="455">
        <v>45448</v>
      </c>
      <c r="R73" s="456"/>
      <c r="S73" s="457"/>
      <c r="T73" s="457"/>
      <c r="U73" s="674"/>
      <c r="V73" s="677"/>
      <c r="W73" s="680"/>
      <c r="X73" s="110">
        <v>45</v>
      </c>
    </row>
    <row r="74" spans="1:24" s="110" customFormat="1" x14ac:dyDescent="0.25">
      <c r="A74" s="729"/>
      <c r="B74" s="693"/>
      <c r="C74" s="693"/>
      <c r="D74" s="693"/>
      <c r="E74" s="693"/>
      <c r="F74" s="642"/>
      <c r="G74" s="645"/>
      <c r="H74" s="675"/>
      <c r="I74" s="945"/>
      <c r="J74" s="948"/>
      <c r="K74" s="684"/>
      <c r="L74" s="693"/>
      <c r="M74" s="693"/>
      <c r="N74" s="472">
        <v>45469</v>
      </c>
      <c r="O74" s="642"/>
      <c r="P74" s="465">
        <v>2224.64</v>
      </c>
      <c r="Q74" s="466"/>
      <c r="R74" s="467"/>
      <c r="S74" s="465"/>
      <c r="T74" s="465"/>
      <c r="U74" s="675"/>
      <c r="V74" s="678"/>
      <c r="W74" s="681"/>
      <c r="X74" s="110">
        <v>45</v>
      </c>
    </row>
    <row r="75" spans="1:24" s="80" customFormat="1" ht="42" customHeight="1" x14ac:dyDescent="0.25">
      <c r="A75" s="134">
        <v>14</v>
      </c>
      <c r="B75" s="109" t="s">
        <v>56</v>
      </c>
      <c r="C75" s="135" t="s">
        <v>147</v>
      </c>
      <c r="D75" s="109" t="s">
        <v>158</v>
      </c>
      <c r="E75" s="135" t="s">
        <v>217</v>
      </c>
      <c r="F75" s="143">
        <v>45289</v>
      </c>
      <c r="G75" s="136" t="s">
        <v>218</v>
      </c>
      <c r="H75" s="137">
        <v>12135.8</v>
      </c>
      <c r="I75" s="138">
        <f>IF(X75 = 46, H75 + SUM(S75:S75) - SUM(T75:T75) - SUM(P75:P75) - V75,0)</f>
        <v>9101.8459999999995</v>
      </c>
      <c r="J75" s="139">
        <v>2353018870</v>
      </c>
      <c r="K75" s="140" t="s">
        <v>219</v>
      </c>
      <c r="L75" s="135" t="s">
        <v>147</v>
      </c>
      <c r="M75" s="135" t="s">
        <v>175</v>
      </c>
      <c r="N75" s="143">
        <v>45376</v>
      </c>
      <c r="O75" s="123" t="s">
        <v>203</v>
      </c>
      <c r="P75" s="151">
        <v>3033.9540000000002</v>
      </c>
      <c r="Q75" s="136">
        <v>45378</v>
      </c>
      <c r="R75" s="135"/>
      <c r="S75" s="137"/>
      <c r="T75" s="137"/>
      <c r="U75" s="137"/>
      <c r="V75" s="141"/>
      <c r="W75" s="142"/>
      <c r="X75" s="80">
        <v>46</v>
      </c>
    </row>
    <row r="76" spans="1:24" s="80" customFormat="1" ht="56.25" x14ac:dyDescent="0.25">
      <c r="A76" s="134">
        <v>15</v>
      </c>
      <c r="B76" s="109" t="s">
        <v>56</v>
      </c>
      <c r="C76" s="135" t="s">
        <v>147</v>
      </c>
      <c r="D76" s="109" t="s">
        <v>158</v>
      </c>
      <c r="E76" s="135" t="s">
        <v>111</v>
      </c>
      <c r="F76" s="143">
        <v>45317</v>
      </c>
      <c r="G76" s="136" t="s">
        <v>220</v>
      </c>
      <c r="H76" s="137">
        <v>3000</v>
      </c>
      <c r="I76" s="138">
        <f>IF(X76 = 47, H76 + SUM(S76:S76) - SUM(T76:T76) - SUM(P76:P76) - V76,0)</f>
        <v>0</v>
      </c>
      <c r="J76" s="139">
        <v>2369980106</v>
      </c>
      <c r="K76" s="140" t="s">
        <v>222</v>
      </c>
      <c r="L76" s="135" t="s">
        <v>147</v>
      </c>
      <c r="M76" s="135" t="s">
        <v>223</v>
      </c>
      <c r="N76" s="143">
        <v>45324</v>
      </c>
      <c r="O76" s="123" t="s">
        <v>203</v>
      </c>
      <c r="P76" s="151">
        <v>3000</v>
      </c>
      <c r="Q76" s="136">
        <v>45335</v>
      </c>
      <c r="R76" s="135"/>
      <c r="S76" s="137"/>
      <c r="T76" s="137"/>
      <c r="U76" s="137"/>
      <c r="V76" s="141"/>
      <c r="W76" s="142"/>
      <c r="X76" s="80">
        <v>47</v>
      </c>
    </row>
    <row r="77" spans="1:24" s="80" customFormat="1" ht="56.25" x14ac:dyDescent="0.25">
      <c r="A77" s="134">
        <v>16</v>
      </c>
      <c r="B77" s="109" t="s">
        <v>56</v>
      </c>
      <c r="C77" s="135" t="s">
        <v>147</v>
      </c>
      <c r="D77" s="109" t="s">
        <v>158</v>
      </c>
      <c r="E77" s="135" t="s">
        <v>112</v>
      </c>
      <c r="F77" s="143">
        <v>45320</v>
      </c>
      <c r="G77" s="136" t="s">
        <v>221</v>
      </c>
      <c r="H77" s="137">
        <v>1500</v>
      </c>
      <c r="I77" s="138">
        <f>IF(X77 = 48, H77 + SUM(S77:S77) - SUM(T77:T77) - SUM(P77:P77) - V77,0)</f>
        <v>0</v>
      </c>
      <c r="J77" s="139">
        <v>2369980106</v>
      </c>
      <c r="K77" s="140" t="s">
        <v>222</v>
      </c>
      <c r="L77" s="135" t="s">
        <v>147</v>
      </c>
      <c r="M77" s="135" t="s">
        <v>224</v>
      </c>
      <c r="N77" s="143">
        <v>45324</v>
      </c>
      <c r="O77" s="123" t="s">
        <v>203</v>
      </c>
      <c r="P77" s="151">
        <v>1500</v>
      </c>
      <c r="Q77" s="136">
        <v>45335</v>
      </c>
      <c r="R77" s="135"/>
      <c r="S77" s="137"/>
      <c r="T77" s="137"/>
      <c r="U77" s="137"/>
      <c r="V77" s="141"/>
      <c r="W77" s="142"/>
      <c r="X77" s="80">
        <v>48</v>
      </c>
    </row>
    <row r="78" spans="1:24" s="80" customFormat="1" ht="36" customHeight="1" x14ac:dyDescent="0.25">
      <c r="A78" s="769">
        <v>17</v>
      </c>
      <c r="B78" s="772" t="s">
        <v>56</v>
      </c>
      <c r="C78" s="772" t="s">
        <v>147</v>
      </c>
      <c r="D78" s="772" t="s">
        <v>158</v>
      </c>
      <c r="E78" s="772" t="s">
        <v>226</v>
      </c>
      <c r="F78" s="775">
        <v>45290</v>
      </c>
      <c r="G78" s="928" t="s">
        <v>227</v>
      </c>
      <c r="H78" s="777">
        <v>12916.8</v>
      </c>
      <c r="I78" s="841">
        <f>IF(X78 = 49, H78 + SUM(S78:S80) - SUM(T78:T80) - SUM(P78:P80) - V78,0)</f>
        <v>-1.4779288903810084E-12</v>
      </c>
      <c r="J78" s="844">
        <v>235300582900</v>
      </c>
      <c r="K78" s="847" t="s">
        <v>230</v>
      </c>
      <c r="L78" s="772" t="s">
        <v>147</v>
      </c>
      <c r="M78" s="772" t="s">
        <v>228</v>
      </c>
      <c r="N78" s="180">
        <v>45324</v>
      </c>
      <c r="O78" s="775" t="s">
        <v>203</v>
      </c>
      <c r="P78" s="170">
        <v>4222.8</v>
      </c>
      <c r="Q78" s="171">
        <v>45336</v>
      </c>
      <c r="R78" s="172"/>
      <c r="S78" s="173"/>
      <c r="T78" s="173"/>
      <c r="U78" s="777" t="s">
        <v>262</v>
      </c>
      <c r="V78" s="779">
        <v>993.6</v>
      </c>
      <c r="W78" s="911"/>
      <c r="X78" s="80">
        <v>49</v>
      </c>
    </row>
    <row r="79" spans="1:24" s="110" customFormat="1" x14ac:dyDescent="0.25">
      <c r="A79" s="770"/>
      <c r="B79" s="773"/>
      <c r="C79" s="773"/>
      <c r="D79" s="773"/>
      <c r="E79" s="773"/>
      <c r="F79" s="776"/>
      <c r="G79" s="929"/>
      <c r="H79" s="778"/>
      <c r="I79" s="842"/>
      <c r="J79" s="845"/>
      <c r="K79" s="848"/>
      <c r="L79" s="773"/>
      <c r="M79" s="773"/>
      <c r="N79" s="181">
        <v>45356</v>
      </c>
      <c r="O79" s="776"/>
      <c r="P79" s="195">
        <v>4843.8</v>
      </c>
      <c r="Q79" s="175">
        <v>45384</v>
      </c>
      <c r="R79" s="176"/>
      <c r="S79" s="174"/>
      <c r="T79" s="174"/>
      <c r="U79" s="778"/>
      <c r="V79" s="780"/>
      <c r="W79" s="912"/>
      <c r="X79" s="110">
        <v>49</v>
      </c>
    </row>
    <row r="80" spans="1:24" s="110" customFormat="1" x14ac:dyDescent="0.25">
      <c r="A80" s="771"/>
      <c r="B80" s="774"/>
      <c r="C80" s="774"/>
      <c r="D80" s="774"/>
      <c r="E80" s="774"/>
      <c r="F80" s="781"/>
      <c r="G80" s="930"/>
      <c r="H80" s="840"/>
      <c r="I80" s="843"/>
      <c r="J80" s="846"/>
      <c r="K80" s="849"/>
      <c r="L80" s="774"/>
      <c r="M80" s="774"/>
      <c r="N80" s="182">
        <v>45373</v>
      </c>
      <c r="O80" s="781"/>
      <c r="P80" s="241">
        <v>2856.6</v>
      </c>
      <c r="Q80" s="178">
        <v>45386</v>
      </c>
      <c r="R80" s="179"/>
      <c r="S80" s="177"/>
      <c r="T80" s="177"/>
      <c r="U80" s="840"/>
      <c r="V80" s="821"/>
      <c r="W80" s="913"/>
      <c r="X80" s="110">
        <v>49</v>
      </c>
    </row>
    <row r="81" spans="1:24" s="80" customFormat="1" ht="36" customHeight="1" x14ac:dyDescent="0.25">
      <c r="A81" s="769">
        <v>18</v>
      </c>
      <c r="B81" s="772" t="s">
        <v>56</v>
      </c>
      <c r="C81" s="772" t="s">
        <v>147</v>
      </c>
      <c r="D81" s="772" t="s">
        <v>158</v>
      </c>
      <c r="E81" s="772" t="s">
        <v>225</v>
      </c>
      <c r="F81" s="775">
        <v>45290</v>
      </c>
      <c r="G81" s="928" t="s">
        <v>229</v>
      </c>
      <c r="H81" s="777">
        <v>52624</v>
      </c>
      <c r="I81" s="841">
        <f>IF(X81 = 50, H81 + SUM(S81:S83) - SUM(T81:T83) - SUM(P81:P83) - V81,0)</f>
        <v>1.8189894035458565E-12</v>
      </c>
      <c r="J81" s="844">
        <v>235300582900</v>
      </c>
      <c r="K81" s="847" t="s">
        <v>171</v>
      </c>
      <c r="L81" s="772" t="s">
        <v>147</v>
      </c>
      <c r="M81" s="772" t="s">
        <v>228</v>
      </c>
      <c r="N81" s="180">
        <v>45324</v>
      </c>
      <c r="O81" s="775" t="s">
        <v>203</v>
      </c>
      <c r="P81" s="170">
        <v>13787.4</v>
      </c>
      <c r="Q81" s="171">
        <v>45338</v>
      </c>
      <c r="R81" s="172"/>
      <c r="S81" s="173"/>
      <c r="T81" s="173"/>
      <c r="U81" s="777" t="s">
        <v>262</v>
      </c>
      <c r="V81" s="779">
        <v>15740.4</v>
      </c>
      <c r="W81" s="911"/>
      <c r="X81" s="80">
        <v>50</v>
      </c>
    </row>
    <row r="82" spans="1:24" s="110" customFormat="1" x14ac:dyDescent="0.25">
      <c r="A82" s="770"/>
      <c r="B82" s="773"/>
      <c r="C82" s="773"/>
      <c r="D82" s="773"/>
      <c r="E82" s="773"/>
      <c r="F82" s="776"/>
      <c r="G82" s="929"/>
      <c r="H82" s="778"/>
      <c r="I82" s="842"/>
      <c r="J82" s="845"/>
      <c r="K82" s="848"/>
      <c r="L82" s="773"/>
      <c r="M82" s="773"/>
      <c r="N82" s="181"/>
      <c r="O82" s="776"/>
      <c r="P82" s="195">
        <v>12618.8</v>
      </c>
      <c r="Q82" s="175">
        <v>45365</v>
      </c>
      <c r="R82" s="176"/>
      <c r="S82" s="174"/>
      <c r="T82" s="174"/>
      <c r="U82" s="778"/>
      <c r="V82" s="780"/>
      <c r="W82" s="912"/>
      <c r="X82" s="110">
        <v>50</v>
      </c>
    </row>
    <row r="83" spans="1:24" s="110" customFormat="1" x14ac:dyDescent="0.25">
      <c r="A83" s="771"/>
      <c r="B83" s="774"/>
      <c r="C83" s="774"/>
      <c r="D83" s="774"/>
      <c r="E83" s="774"/>
      <c r="F83" s="781"/>
      <c r="G83" s="930"/>
      <c r="H83" s="840"/>
      <c r="I83" s="843"/>
      <c r="J83" s="846"/>
      <c r="K83" s="849"/>
      <c r="L83" s="774"/>
      <c r="M83" s="774"/>
      <c r="N83" s="182">
        <v>45373</v>
      </c>
      <c r="O83" s="781"/>
      <c r="P83" s="241">
        <v>10477.4</v>
      </c>
      <c r="Q83" s="178">
        <v>45386</v>
      </c>
      <c r="R83" s="179"/>
      <c r="S83" s="177"/>
      <c r="T83" s="177"/>
      <c r="U83" s="840"/>
      <c r="V83" s="821"/>
      <c r="W83" s="913"/>
      <c r="X83" s="110">
        <v>50</v>
      </c>
    </row>
    <row r="84" spans="1:24" s="80" customFormat="1" ht="72" customHeight="1" x14ac:dyDescent="0.25">
      <c r="A84" s="769">
        <v>19</v>
      </c>
      <c r="B84" s="772" t="s">
        <v>56</v>
      </c>
      <c r="C84" s="772" t="s">
        <v>147</v>
      </c>
      <c r="D84" s="772" t="s">
        <v>158</v>
      </c>
      <c r="E84" s="772" t="s">
        <v>232</v>
      </c>
      <c r="F84" s="775">
        <v>45309</v>
      </c>
      <c r="G84" s="928" t="s">
        <v>233</v>
      </c>
      <c r="H84" s="777">
        <v>23025.599999999999</v>
      </c>
      <c r="I84" s="841">
        <f>IF(X84 = 51, H84 + SUM(S84:S85) - SUM(T84:T85) - SUM(P84:P85) - V84,0)</f>
        <v>-1.8189894035458565E-12</v>
      </c>
      <c r="J84" s="844">
        <v>235300582900</v>
      </c>
      <c r="K84" s="847" t="s">
        <v>171</v>
      </c>
      <c r="L84" s="772" t="s">
        <v>147</v>
      </c>
      <c r="M84" s="772" t="s">
        <v>231</v>
      </c>
      <c r="N84" s="180">
        <v>45324</v>
      </c>
      <c r="O84" s="775" t="s">
        <v>203</v>
      </c>
      <c r="P84" s="170">
        <v>5412</v>
      </c>
      <c r="Q84" s="171">
        <v>45334</v>
      </c>
      <c r="R84" s="172"/>
      <c r="S84" s="173"/>
      <c r="T84" s="173"/>
      <c r="U84" s="777" t="s">
        <v>263</v>
      </c>
      <c r="V84" s="779">
        <v>5928.6</v>
      </c>
      <c r="W84" s="911"/>
      <c r="X84" s="80">
        <v>51</v>
      </c>
    </row>
    <row r="85" spans="1:24" s="110" customFormat="1" x14ac:dyDescent="0.25">
      <c r="A85" s="770"/>
      <c r="B85" s="773"/>
      <c r="C85" s="773"/>
      <c r="D85" s="773"/>
      <c r="E85" s="773"/>
      <c r="F85" s="776"/>
      <c r="G85" s="929"/>
      <c r="H85" s="778"/>
      <c r="I85" s="842"/>
      <c r="J85" s="845"/>
      <c r="K85" s="848"/>
      <c r="L85" s="773"/>
      <c r="M85" s="773"/>
      <c r="N85" s="181">
        <v>45356</v>
      </c>
      <c r="O85" s="776"/>
      <c r="P85" s="195">
        <v>11685</v>
      </c>
      <c r="Q85" s="175">
        <v>45366</v>
      </c>
      <c r="R85" s="176"/>
      <c r="S85" s="174"/>
      <c r="T85" s="174"/>
      <c r="U85" s="778"/>
      <c r="V85" s="780"/>
      <c r="W85" s="912"/>
      <c r="X85" s="110">
        <v>51</v>
      </c>
    </row>
    <row r="86" spans="1:24" s="80" customFormat="1" ht="68.45" customHeight="1" x14ac:dyDescent="0.25">
      <c r="A86" s="152">
        <v>20</v>
      </c>
      <c r="B86" s="153" t="s">
        <v>56</v>
      </c>
      <c r="C86" s="153" t="s">
        <v>147</v>
      </c>
      <c r="D86" s="153" t="s">
        <v>158</v>
      </c>
      <c r="E86" s="153" t="s">
        <v>234</v>
      </c>
      <c r="F86" s="160">
        <v>45351</v>
      </c>
      <c r="G86" s="154" t="s">
        <v>233</v>
      </c>
      <c r="H86" s="155">
        <v>9963</v>
      </c>
      <c r="I86" s="156">
        <f>IF(X86 = 52, H86 + SUM(S86:S86) - SUM(T86:T86) - SUM(P86:P86) - V86,0)</f>
        <v>0</v>
      </c>
      <c r="J86" s="157">
        <v>235300582900</v>
      </c>
      <c r="K86" s="158" t="s">
        <v>171</v>
      </c>
      <c r="L86" s="153" t="s">
        <v>147</v>
      </c>
      <c r="M86" s="153" t="s">
        <v>235</v>
      </c>
      <c r="N86" s="160">
        <v>45373</v>
      </c>
      <c r="O86" s="160" t="s">
        <v>203</v>
      </c>
      <c r="P86" s="243">
        <v>8364</v>
      </c>
      <c r="Q86" s="154">
        <v>45386</v>
      </c>
      <c r="R86" s="153"/>
      <c r="S86" s="155"/>
      <c r="T86" s="155"/>
      <c r="U86" s="155" t="s">
        <v>262</v>
      </c>
      <c r="V86" s="159">
        <v>1599</v>
      </c>
      <c r="W86" s="150"/>
      <c r="X86" s="80">
        <v>52</v>
      </c>
    </row>
    <row r="87" spans="1:24" s="80" customFormat="1" ht="54" customHeight="1" x14ac:dyDescent="0.25">
      <c r="A87" s="765">
        <v>21</v>
      </c>
      <c r="B87" s="767" t="s">
        <v>56</v>
      </c>
      <c r="C87" s="767" t="s">
        <v>147</v>
      </c>
      <c r="D87" s="767" t="s">
        <v>158</v>
      </c>
      <c r="E87" s="767" t="s">
        <v>129</v>
      </c>
      <c r="F87" s="807">
        <v>45380</v>
      </c>
      <c r="G87" s="809" t="s">
        <v>244</v>
      </c>
      <c r="H87" s="811">
        <v>275947.56</v>
      </c>
      <c r="I87" s="813">
        <f>IF(X87 = 53, H87 + SUM(S87:S88) - SUM(T87:T88) - SUM(P87:P88) - V87,0)</f>
        <v>-1.6370904631912708E-11</v>
      </c>
      <c r="J87" s="815">
        <v>235300582900</v>
      </c>
      <c r="K87" s="817" t="s">
        <v>171</v>
      </c>
      <c r="L87" s="767" t="s">
        <v>147</v>
      </c>
      <c r="M87" s="767" t="s">
        <v>245</v>
      </c>
      <c r="N87" s="291">
        <v>45414</v>
      </c>
      <c r="O87" s="807" t="s">
        <v>203</v>
      </c>
      <c r="P87" s="331">
        <v>152574.18</v>
      </c>
      <c r="Q87" s="286">
        <v>45429</v>
      </c>
      <c r="R87" s="287"/>
      <c r="S87" s="285"/>
      <c r="T87" s="285"/>
      <c r="U87" s="811" t="s">
        <v>323</v>
      </c>
      <c r="V87" s="819">
        <v>15330.42</v>
      </c>
      <c r="W87" s="805"/>
      <c r="X87" s="80">
        <v>53</v>
      </c>
    </row>
    <row r="88" spans="1:24" s="110" customFormat="1" x14ac:dyDescent="0.25">
      <c r="A88" s="766"/>
      <c r="B88" s="768"/>
      <c r="C88" s="768"/>
      <c r="D88" s="768"/>
      <c r="E88" s="768"/>
      <c r="F88" s="808"/>
      <c r="G88" s="810"/>
      <c r="H88" s="812"/>
      <c r="I88" s="814"/>
      <c r="J88" s="816"/>
      <c r="K88" s="818"/>
      <c r="L88" s="768"/>
      <c r="M88" s="768"/>
      <c r="N88" s="292">
        <v>45436</v>
      </c>
      <c r="O88" s="808"/>
      <c r="P88" s="365">
        <v>108042.96</v>
      </c>
      <c r="Q88" s="289">
        <v>45447</v>
      </c>
      <c r="R88" s="290"/>
      <c r="S88" s="288"/>
      <c r="T88" s="288"/>
      <c r="U88" s="812"/>
      <c r="V88" s="820"/>
      <c r="W88" s="806"/>
      <c r="X88" s="110">
        <v>53</v>
      </c>
    </row>
    <row r="89" spans="1:24" s="80" customFormat="1" ht="36" customHeight="1" x14ac:dyDescent="0.25">
      <c r="A89" s="755">
        <v>22</v>
      </c>
      <c r="B89" s="761" t="s">
        <v>56</v>
      </c>
      <c r="C89" s="761" t="s">
        <v>147</v>
      </c>
      <c r="D89" s="761" t="s">
        <v>158</v>
      </c>
      <c r="E89" s="761" t="s">
        <v>246</v>
      </c>
      <c r="F89" s="757">
        <v>45380</v>
      </c>
      <c r="G89" s="787" t="s">
        <v>229</v>
      </c>
      <c r="H89" s="759">
        <v>36432</v>
      </c>
      <c r="I89" s="789">
        <f>IF(X89 = 54, H89 + SUM(S89:S90) - SUM(T89:T90) - SUM(P89:P90) - V89,0)</f>
        <v>-1.8189894035458565E-12</v>
      </c>
      <c r="J89" s="791">
        <v>235300582900</v>
      </c>
      <c r="K89" s="793" t="s">
        <v>171</v>
      </c>
      <c r="L89" s="761" t="s">
        <v>147</v>
      </c>
      <c r="M89" s="761" t="s">
        <v>245</v>
      </c>
      <c r="N89" s="299">
        <v>45414</v>
      </c>
      <c r="O89" s="757" t="s">
        <v>203</v>
      </c>
      <c r="P89" s="328">
        <v>14616</v>
      </c>
      <c r="Q89" s="294">
        <v>45427</v>
      </c>
      <c r="R89" s="295"/>
      <c r="S89" s="293"/>
      <c r="T89" s="293"/>
      <c r="U89" s="759" t="s">
        <v>324</v>
      </c>
      <c r="V89" s="763">
        <v>12364.6</v>
      </c>
      <c r="W89" s="785"/>
      <c r="X89" s="80">
        <v>54</v>
      </c>
    </row>
    <row r="90" spans="1:24" s="110" customFormat="1" x14ac:dyDescent="0.25">
      <c r="A90" s="756"/>
      <c r="B90" s="762"/>
      <c r="C90" s="762"/>
      <c r="D90" s="762"/>
      <c r="E90" s="762"/>
      <c r="F90" s="758"/>
      <c r="G90" s="788"/>
      <c r="H90" s="760"/>
      <c r="I90" s="790"/>
      <c r="J90" s="792"/>
      <c r="K90" s="794"/>
      <c r="L90" s="762"/>
      <c r="M90" s="762"/>
      <c r="N90" s="300">
        <v>45436</v>
      </c>
      <c r="O90" s="758"/>
      <c r="P90" s="364">
        <v>9451.4</v>
      </c>
      <c r="Q90" s="297">
        <v>45447</v>
      </c>
      <c r="R90" s="298"/>
      <c r="S90" s="296"/>
      <c r="T90" s="296"/>
      <c r="U90" s="760"/>
      <c r="V90" s="764"/>
      <c r="W90" s="786"/>
      <c r="X90" s="110">
        <v>54</v>
      </c>
    </row>
    <row r="91" spans="1:24" s="80" customFormat="1" ht="90" customHeight="1" x14ac:dyDescent="0.25">
      <c r="A91" s="755">
        <v>23</v>
      </c>
      <c r="B91" s="761" t="s">
        <v>56</v>
      </c>
      <c r="C91" s="761" t="s">
        <v>147</v>
      </c>
      <c r="D91" s="761" t="s">
        <v>158</v>
      </c>
      <c r="E91" s="761" t="s">
        <v>247</v>
      </c>
      <c r="F91" s="757">
        <v>45380</v>
      </c>
      <c r="G91" s="787" t="s">
        <v>248</v>
      </c>
      <c r="H91" s="759">
        <v>39003.120000000003</v>
      </c>
      <c r="I91" s="789">
        <f>IF(X91 = 55, H91 + SUM(S91:S96) - SUM(T91:T96) - SUM(P91:P96) - V91,0)</f>
        <v>0</v>
      </c>
      <c r="J91" s="791">
        <v>235300582900</v>
      </c>
      <c r="K91" s="793" t="s">
        <v>171</v>
      </c>
      <c r="L91" s="761" t="s">
        <v>147</v>
      </c>
      <c r="M91" s="761" t="s">
        <v>245</v>
      </c>
      <c r="N91" s="299">
        <v>45414</v>
      </c>
      <c r="O91" s="757" t="s">
        <v>297</v>
      </c>
      <c r="P91" s="328">
        <v>3850.2</v>
      </c>
      <c r="Q91" s="294">
        <v>45427</v>
      </c>
      <c r="R91" s="295"/>
      <c r="S91" s="293"/>
      <c r="T91" s="293"/>
      <c r="U91" s="759" t="s">
        <v>323</v>
      </c>
      <c r="V91" s="763">
        <v>9913.32</v>
      </c>
      <c r="W91" s="785"/>
      <c r="X91" s="80">
        <v>55</v>
      </c>
    </row>
    <row r="92" spans="1:24" s="110" customFormat="1" x14ac:dyDescent="0.25">
      <c r="A92" s="796"/>
      <c r="B92" s="799"/>
      <c r="C92" s="799"/>
      <c r="D92" s="799"/>
      <c r="E92" s="799"/>
      <c r="F92" s="797"/>
      <c r="G92" s="801"/>
      <c r="H92" s="798"/>
      <c r="I92" s="802"/>
      <c r="J92" s="803"/>
      <c r="K92" s="804"/>
      <c r="L92" s="799"/>
      <c r="M92" s="799"/>
      <c r="N92" s="301">
        <v>45414</v>
      </c>
      <c r="O92" s="797"/>
      <c r="P92" s="329">
        <v>12792</v>
      </c>
      <c r="Q92" s="303">
        <v>45427</v>
      </c>
      <c r="R92" s="304"/>
      <c r="S92" s="302"/>
      <c r="T92" s="302"/>
      <c r="U92" s="798"/>
      <c r="V92" s="800"/>
      <c r="W92" s="795"/>
      <c r="X92" s="110">
        <v>55</v>
      </c>
    </row>
    <row r="93" spans="1:24" s="110" customFormat="1" x14ac:dyDescent="0.25">
      <c r="A93" s="796"/>
      <c r="B93" s="799"/>
      <c r="C93" s="799"/>
      <c r="D93" s="799"/>
      <c r="E93" s="799"/>
      <c r="F93" s="797"/>
      <c r="G93" s="801"/>
      <c r="H93" s="798"/>
      <c r="I93" s="802"/>
      <c r="J93" s="803"/>
      <c r="K93" s="804"/>
      <c r="L93" s="799"/>
      <c r="M93" s="799"/>
      <c r="N93" s="301">
        <v>45414</v>
      </c>
      <c r="O93" s="797"/>
      <c r="P93" s="329">
        <v>1484.4</v>
      </c>
      <c r="Q93" s="303">
        <v>45427</v>
      </c>
      <c r="R93" s="304"/>
      <c r="S93" s="302"/>
      <c r="T93" s="302"/>
      <c r="U93" s="798"/>
      <c r="V93" s="800"/>
      <c r="W93" s="795"/>
      <c r="X93" s="110">
        <v>55</v>
      </c>
    </row>
    <row r="94" spans="1:24" s="110" customFormat="1" x14ac:dyDescent="0.25">
      <c r="A94" s="796"/>
      <c r="B94" s="799"/>
      <c r="C94" s="799"/>
      <c r="D94" s="799"/>
      <c r="E94" s="799"/>
      <c r="F94" s="797"/>
      <c r="G94" s="801"/>
      <c r="H94" s="798"/>
      <c r="I94" s="802"/>
      <c r="J94" s="803"/>
      <c r="K94" s="804"/>
      <c r="L94" s="799"/>
      <c r="M94" s="799"/>
      <c r="N94" s="301">
        <v>45436</v>
      </c>
      <c r="O94" s="797"/>
      <c r="P94" s="329">
        <v>1242</v>
      </c>
      <c r="Q94" s="303">
        <v>45447</v>
      </c>
      <c r="R94" s="304"/>
      <c r="S94" s="302"/>
      <c r="T94" s="302"/>
      <c r="U94" s="798"/>
      <c r="V94" s="800"/>
      <c r="W94" s="795"/>
      <c r="X94" s="110">
        <v>55</v>
      </c>
    </row>
    <row r="95" spans="1:24" s="110" customFormat="1" x14ac:dyDescent="0.25">
      <c r="A95" s="796"/>
      <c r="B95" s="799"/>
      <c r="C95" s="799"/>
      <c r="D95" s="799"/>
      <c r="E95" s="799"/>
      <c r="F95" s="797"/>
      <c r="G95" s="801"/>
      <c r="H95" s="798"/>
      <c r="I95" s="802"/>
      <c r="J95" s="803"/>
      <c r="K95" s="804"/>
      <c r="L95" s="799"/>
      <c r="M95" s="799"/>
      <c r="N95" s="301">
        <v>45436</v>
      </c>
      <c r="O95" s="797"/>
      <c r="P95" s="329">
        <v>8979</v>
      </c>
      <c r="Q95" s="303">
        <v>45447</v>
      </c>
      <c r="R95" s="304"/>
      <c r="S95" s="302"/>
      <c r="T95" s="302"/>
      <c r="U95" s="798"/>
      <c r="V95" s="800"/>
      <c r="W95" s="795"/>
      <c r="X95" s="110">
        <v>55</v>
      </c>
    </row>
    <row r="96" spans="1:24" s="110" customFormat="1" x14ac:dyDescent="0.25">
      <c r="A96" s="756"/>
      <c r="B96" s="762"/>
      <c r="C96" s="762"/>
      <c r="D96" s="762"/>
      <c r="E96" s="762"/>
      <c r="F96" s="758"/>
      <c r="G96" s="788"/>
      <c r="H96" s="760"/>
      <c r="I96" s="790"/>
      <c r="J96" s="792"/>
      <c r="K96" s="794"/>
      <c r="L96" s="762"/>
      <c r="M96" s="762"/>
      <c r="N96" s="300">
        <v>45436</v>
      </c>
      <c r="O96" s="758"/>
      <c r="P96" s="364">
        <v>742.2</v>
      </c>
      <c r="Q96" s="297">
        <v>45447</v>
      </c>
      <c r="R96" s="298"/>
      <c r="S96" s="296"/>
      <c r="T96" s="296"/>
      <c r="U96" s="760"/>
      <c r="V96" s="764"/>
      <c r="W96" s="786"/>
      <c r="X96" s="110">
        <v>55</v>
      </c>
    </row>
    <row r="97" spans="1:24" s="80" customFormat="1" ht="55.15" customHeight="1" x14ac:dyDescent="0.25">
      <c r="A97" s="341">
        <v>24</v>
      </c>
      <c r="B97" s="334" t="s">
        <v>56</v>
      </c>
      <c r="C97" s="334" t="s">
        <v>147</v>
      </c>
      <c r="D97" s="334" t="s">
        <v>158</v>
      </c>
      <c r="E97" s="334" t="s">
        <v>292</v>
      </c>
      <c r="F97" s="335">
        <v>45373</v>
      </c>
      <c r="G97" s="336" t="s">
        <v>293</v>
      </c>
      <c r="H97" s="337">
        <v>105225</v>
      </c>
      <c r="I97" s="338">
        <f>IF(X97 = 56, H97 + SUM(S97:S97) - SUM(T97:T97) - SUM(P97:P97) - V97,0)</f>
        <v>0</v>
      </c>
      <c r="J97" s="339">
        <v>233202223786</v>
      </c>
      <c r="K97" s="340" t="s">
        <v>294</v>
      </c>
      <c r="L97" s="334" t="s">
        <v>147</v>
      </c>
      <c r="M97" s="334" t="s">
        <v>295</v>
      </c>
      <c r="N97" s="299">
        <v>45443</v>
      </c>
      <c r="O97" s="335" t="s">
        <v>296</v>
      </c>
      <c r="P97" s="328">
        <v>105225</v>
      </c>
      <c r="Q97" s="294">
        <v>45446</v>
      </c>
      <c r="R97" s="295"/>
      <c r="S97" s="293"/>
      <c r="T97" s="293"/>
      <c r="U97" s="337"/>
      <c r="V97" s="342"/>
      <c r="W97" s="333"/>
      <c r="X97" s="80">
        <v>56</v>
      </c>
    </row>
    <row r="98" spans="1:24" s="80" customFormat="1" ht="75" x14ac:dyDescent="0.25">
      <c r="A98" s="319">
        <v>25</v>
      </c>
      <c r="B98" s="363" t="s">
        <v>56</v>
      </c>
      <c r="C98" s="320" t="s">
        <v>147</v>
      </c>
      <c r="D98" s="363" t="s">
        <v>158</v>
      </c>
      <c r="E98" s="320" t="s">
        <v>36</v>
      </c>
      <c r="F98" s="332">
        <v>45446</v>
      </c>
      <c r="G98" s="321" t="s">
        <v>298</v>
      </c>
      <c r="H98" s="322">
        <v>37746</v>
      </c>
      <c r="I98" s="323">
        <f>IF(X98 = 57, H98 + SUM(S98:S98) - SUM(T98:T98) - SUM(P98:P98) - V98,0)</f>
        <v>0</v>
      </c>
      <c r="J98" s="324">
        <v>140865134602</v>
      </c>
      <c r="K98" s="325" t="s">
        <v>299</v>
      </c>
      <c r="L98" s="320" t="s">
        <v>147</v>
      </c>
      <c r="M98" s="363" t="s">
        <v>300</v>
      </c>
      <c r="N98" s="332">
        <v>45449</v>
      </c>
      <c r="O98" s="362" t="s">
        <v>296</v>
      </c>
      <c r="P98" s="473">
        <v>37746</v>
      </c>
      <c r="Q98" s="321">
        <v>45450</v>
      </c>
      <c r="R98" s="320"/>
      <c r="S98" s="322"/>
      <c r="T98" s="322"/>
      <c r="U98" s="322"/>
      <c r="V98" s="326"/>
      <c r="W98" s="327"/>
      <c r="X98" s="80">
        <v>57</v>
      </c>
    </row>
    <row r="99" spans="1:24" s="80" customFormat="1" ht="56.25" x14ac:dyDescent="0.25">
      <c r="A99" s="361">
        <v>26</v>
      </c>
      <c r="B99" s="404" t="s">
        <v>56</v>
      </c>
      <c r="C99" s="360" t="s">
        <v>147</v>
      </c>
      <c r="D99" s="404" t="s">
        <v>158</v>
      </c>
      <c r="E99" s="360" t="s">
        <v>306</v>
      </c>
      <c r="F99" s="370">
        <v>45436</v>
      </c>
      <c r="G99" s="366" t="s">
        <v>307</v>
      </c>
      <c r="H99" s="358">
        <v>95115</v>
      </c>
      <c r="I99" s="359">
        <f>IF(X99 = 58, H99 + SUM(S99:S99) - SUM(T99:T99) - SUM(P99:P99) - V99,0)</f>
        <v>0</v>
      </c>
      <c r="J99" s="367">
        <v>235300582900</v>
      </c>
      <c r="K99" s="368" t="s">
        <v>171</v>
      </c>
      <c r="L99" s="360" t="s">
        <v>147</v>
      </c>
      <c r="M99" s="360" t="s">
        <v>308</v>
      </c>
      <c r="N99" s="370">
        <v>45459</v>
      </c>
      <c r="O99" s="403" t="s">
        <v>309</v>
      </c>
      <c r="P99" s="488">
        <v>95115</v>
      </c>
      <c r="Q99" s="366">
        <v>45464</v>
      </c>
      <c r="R99" s="360"/>
      <c r="S99" s="358"/>
      <c r="T99" s="358"/>
      <c r="U99" s="358"/>
      <c r="V99" s="369"/>
      <c r="W99" s="357"/>
      <c r="X99" s="80">
        <v>58</v>
      </c>
    </row>
    <row r="100" spans="1:24" s="80" customFormat="1" x14ac:dyDescent="0.25">
      <c r="A100" s="394">
        <v>27</v>
      </c>
      <c r="B100" s="396"/>
      <c r="C100" s="396"/>
      <c r="D100" s="396"/>
      <c r="E100" s="396"/>
      <c r="F100" s="411"/>
      <c r="G100" s="399"/>
      <c r="H100" s="395"/>
      <c r="I100" s="400">
        <f>IF(X100 = 59, H100 + SUM(S100:S100) - SUM(T100:T100) - SUM(P100:P100) - V100,0)</f>
        <v>0</v>
      </c>
      <c r="J100" s="401"/>
      <c r="K100" s="402"/>
      <c r="L100" s="396"/>
      <c r="M100" s="396"/>
      <c r="N100" s="411"/>
      <c r="O100" s="411"/>
      <c r="P100" s="395"/>
      <c r="Q100" s="399"/>
      <c r="R100" s="396"/>
      <c r="S100" s="395"/>
      <c r="T100" s="395"/>
      <c r="U100" s="395"/>
      <c r="V100" s="397"/>
      <c r="W100" s="398"/>
      <c r="X100" s="80">
        <v>59</v>
      </c>
    </row>
    <row r="101" spans="1:24" s="80" customFormat="1" x14ac:dyDescent="0.25">
      <c r="A101" s="475">
        <v>28</v>
      </c>
      <c r="B101" s="459"/>
      <c r="C101" s="459"/>
      <c r="D101" s="459"/>
      <c r="E101" s="459"/>
      <c r="F101" s="474"/>
      <c r="G101" s="460"/>
      <c r="H101" s="461"/>
      <c r="I101" s="462">
        <f>IF(X101 = 60, H101 + SUM(S101:S101) - SUM(T101:T101) - SUM(P101:P101) - V101,0)</f>
        <v>0</v>
      </c>
      <c r="J101" s="463"/>
      <c r="K101" s="464"/>
      <c r="L101" s="459"/>
      <c r="M101" s="459"/>
      <c r="N101" s="474"/>
      <c r="O101" s="474"/>
      <c r="P101" s="461"/>
      <c r="Q101" s="460"/>
      <c r="R101" s="459"/>
      <c r="S101" s="461"/>
      <c r="T101" s="461"/>
      <c r="U101" s="461"/>
      <c r="V101" s="468"/>
      <c r="W101" s="469"/>
      <c r="X101" s="80">
        <v>60</v>
      </c>
    </row>
    <row r="102" spans="1:24" x14ac:dyDescent="0.25">
      <c r="X102" s="2">
        <v>61</v>
      </c>
    </row>
  </sheetData>
  <sheetProtection password="EB34" sheet="1" objects="1" scenarios="1" formatCells="0" formatColumns="0" formatRows="0"/>
  <mergeCells count="275">
    <mergeCell ref="H81:H83"/>
    <mergeCell ref="I81:I83"/>
    <mergeCell ref="J81:J83"/>
    <mergeCell ref="K81:K83"/>
    <mergeCell ref="U78:U80"/>
    <mergeCell ref="V62:V63"/>
    <mergeCell ref="C62:C63"/>
    <mergeCell ref="W62:W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U81:U83"/>
    <mergeCell ref="H70:H74"/>
    <mergeCell ref="I70:I74"/>
    <mergeCell ref="J70:J74"/>
    <mergeCell ref="K64:K68"/>
    <mergeCell ref="D17:D30"/>
    <mergeCell ref="E17:E30"/>
    <mergeCell ref="A31:A36"/>
    <mergeCell ref="O31:O36"/>
    <mergeCell ref="U31:U36"/>
    <mergeCell ref="E78:E80"/>
    <mergeCell ref="F78:F80"/>
    <mergeCell ref="G78:G80"/>
    <mergeCell ref="W84:W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W81:W83"/>
    <mergeCell ref="D81:D83"/>
    <mergeCell ref="E81:E83"/>
    <mergeCell ref="F81:F83"/>
    <mergeCell ref="G81:G83"/>
    <mergeCell ref="W49:W54"/>
    <mergeCell ref="L49:L54"/>
    <mergeCell ref="M49:M54"/>
    <mergeCell ref="W57:W61"/>
    <mergeCell ref="L57:L61"/>
    <mergeCell ref="M57:M61"/>
    <mergeCell ref="O62:O63"/>
    <mergeCell ref="V78:V80"/>
    <mergeCell ref="W78:W80"/>
    <mergeCell ref="L78:L80"/>
    <mergeCell ref="M78:M80"/>
    <mergeCell ref="O78:O80"/>
    <mergeCell ref="W64:W68"/>
    <mergeCell ref="M64:M68"/>
    <mergeCell ref="L64:L68"/>
    <mergeCell ref="O64:O68"/>
    <mergeCell ref="U64:U68"/>
    <mergeCell ref="V64:V68"/>
    <mergeCell ref="O57:O61"/>
    <mergeCell ref="U57:U61"/>
    <mergeCell ref="V57:V61"/>
    <mergeCell ref="U62:U63"/>
    <mergeCell ref="S2:U2"/>
    <mergeCell ref="F2:G2"/>
    <mergeCell ref="N2:O2"/>
    <mergeCell ref="V17:V30"/>
    <mergeCell ref="W17:W30"/>
    <mergeCell ref="F17:F30"/>
    <mergeCell ref="G17:G30"/>
    <mergeCell ref="H17:H30"/>
    <mergeCell ref="I17:I30"/>
    <mergeCell ref="J17:J30"/>
    <mergeCell ref="K17:K30"/>
    <mergeCell ref="L17:L30"/>
    <mergeCell ref="M17:M30"/>
    <mergeCell ref="O17:O30"/>
    <mergeCell ref="U17:U30"/>
    <mergeCell ref="W9:W16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B81:B83"/>
    <mergeCell ref="V81:V83"/>
    <mergeCell ref="C81:C83"/>
    <mergeCell ref="L81:L83"/>
    <mergeCell ref="M81:M83"/>
    <mergeCell ref="D78:D80"/>
    <mergeCell ref="A9:A16"/>
    <mergeCell ref="B9:B16"/>
    <mergeCell ref="C9:C16"/>
    <mergeCell ref="M9:M16"/>
    <mergeCell ref="O9:O16"/>
    <mergeCell ref="U9:U16"/>
    <mergeCell ref="V9:V16"/>
    <mergeCell ref="O49:O54"/>
    <mergeCell ref="U49:U54"/>
    <mergeCell ref="V49:V54"/>
    <mergeCell ref="H78:H80"/>
    <mergeCell ref="I78:I80"/>
    <mergeCell ref="J78:J80"/>
    <mergeCell ref="K78:K80"/>
    <mergeCell ref="A17:A30"/>
    <mergeCell ref="B17:B30"/>
    <mergeCell ref="C17:C30"/>
    <mergeCell ref="J49:J54"/>
    <mergeCell ref="W87:W88"/>
    <mergeCell ref="D87:D88"/>
    <mergeCell ref="E87:E88"/>
    <mergeCell ref="F87:F88"/>
    <mergeCell ref="G87:G88"/>
    <mergeCell ref="H87:H88"/>
    <mergeCell ref="I87:I88"/>
    <mergeCell ref="J87:J88"/>
    <mergeCell ref="K87:K88"/>
    <mergeCell ref="L87:L88"/>
    <mergeCell ref="M87:M88"/>
    <mergeCell ref="O87:O88"/>
    <mergeCell ref="U87:U88"/>
    <mergeCell ref="V87:V88"/>
    <mergeCell ref="W91:W96"/>
    <mergeCell ref="A91:A96"/>
    <mergeCell ref="O91:O96"/>
    <mergeCell ref="U91:U96"/>
    <mergeCell ref="B91:B96"/>
    <mergeCell ref="V91:V96"/>
    <mergeCell ref="C91:C96"/>
    <mergeCell ref="D91:D96"/>
    <mergeCell ref="E91:E96"/>
    <mergeCell ref="F91:F96"/>
    <mergeCell ref="G91:G96"/>
    <mergeCell ref="H91:H96"/>
    <mergeCell ref="I91:I96"/>
    <mergeCell ref="J91:J96"/>
    <mergeCell ref="K91:K96"/>
    <mergeCell ref="L91:L96"/>
    <mergeCell ref="M91:M96"/>
    <mergeCell ref="W89:W90"/>
    <mergeCell ref="D89:D90"/>
    <mergeCell ref="E89:E90"/>
    <mergeCell ref="F89:F90"/>
    <mergeCell ref="G89:G90"/>
    <mergeCell ref="H89:H90"/>
    <mergeCell ref="I89:I90"/>
    <mergeCell ref="J89:J90"/>
    <mergeCell ref="K89:K90"/>
    <mergeCell ref="L89:L90"/>
    <mergeCell ref="M89:M90"/>
    <mergeCell ref="K49:K54"/>
    <mergeCell ref="A43:A48"/>
    <mergeCell ref="O43:O48"/>
    <mergeCell ref="A89:A90"/>
    <mergeCell ref="O89:O90"/>
    <mergeCell ref="U89:U90"/>
    <mergeCell ref="B89:B90"/>
    <mergeCell ref="V89:V90"/>
    <mergeCell ref="C89:C90"/>
    <mergeCell ref="A87:A88"/>
    <mergeCell ref="B87:B88"/>
    <mergeCell ref="C87:C88"/>
    <mergeCell ref="A78:A80"/>
    <mergeCell ref="B78:B80"/>
    <mergeCell ref="C78:C80"/>
    <mergeCell ref="A84:A85"/>
    <mergeCell ref="O84:O85"/>
    <mergeCell ref="U84:U85"/>
    <mergeCell ref="B84:B85"/>
    <mergeCell ref="V84:V85"/>
    <mergeCell ref="C84:C85"/>
    <mergeCell ref="A81:A83"/>
    <mergeCell ref="O81:O83"/>
    <mergeCell ref="A49:A54"/>
    <mergeCell ref="B49:B54"/>
    <mergeCell ref="C49:C54"/>
    <mergeCell ref="D49:D54"/>
    <mergeCell ref="E49:E54"/>
    <mergeCell ref="F49:F54"/>
    <mergeCell ref="G49:G54"/>
    <mergeCell ref="H49:H54"/>
    <mergeCell ref="I49:I54"/>
    <mergeCell ref="A62:A63"/>
    <mergeCell ref="B62:B63"/>
    <mergeCell ref="A57:A61"/>
    <mergeCell ref="B57:B61"/>
    <mergeCell ref="A64:A68"/>
    <mergeCell ref="D64:D68"/>
    <mergeCell ref="E64:E68"/>
    <mergeCell ref="F64:F68"/>
    <mergeCell ref="L70:L74"/>
    <mergeCell ref="M70:M74"/>
    <mergeCell ref="C57:C61"/>
    <mergeCell ref="D57:D61"/>
    <mergeCell ref="E57:E61"/>
    <mergeCell ref="F57:F61"/>
    <mergeCell ref="G57:G61"/>
    <mergeCell ref="H57:H61"/>
    <mergeCell ref="I57:I61"/>
    <mergeCell ref="J57:J61"/>
    <mergeCell ref="K57:K61"/>
    <mergeCell ref="G64:G68"/>
    <mergeCell ref="H64:H68"/>
    <mergeCell ref="I64:I68"/>
    <mergeCell ref="J64:J68"/>
    <mergeCell ref="A70:A74"/>
    <mergeCell ref="B70:B74"/>
    <mergeCell ref="C70:C74"/>
    <mergeCell ref="D70:D74"/>
    <mergeCell ref="E70:E74"/>
    <mergeCell ref="B64:B68"/>
    <mergeCell ref="F70:F74"/>
    <mergeCell ref="G70:G74"/>
    <mergeCell ref="B31:B36"/>
    <mergeCell ref="V31:V36"/>
    <mergeCell ref="C31:C36"/>
    <mergeCell ref="W31:W36"/>
    <mergeCell ref="D31:D36"/>
    <mergeCell ref="E31:E36"/>
    <mergeCell ref="F31:F36"/>
    <mergeCell ref="G31:G36"/>
    <mergeCell ref="H31:H36"/>
    <mergeCell ref="I31:I36"/>
    <mergeCell ref="J31:J36"/>
    <mergeCell ref="K31:K36"/>
    <mergeCell ref="L31:L36"/>
    <mergeCell ref="M31:M36"/>
    <mergeCell ref="C64:C68"/>
    <mergeCell ref="O70:O74"/>
    <mergeCell ref="U70:U74"/>
    <mergeCell ref="V70:V74"/>
    <mergeCell ref="W70:W74"/>
    <mergeCell ref="K70:K74"/>
    <mergeCell ref="U43:U48"/>
    <mergeCell ref="A37:A42"/>
    <mergeCell ref="O37:O42"/>
    <mergeCell ref="U37:U42"/>
    <mergeCell ref="B37:B42"/>
    <mergeCell ref="V37:V42"/>
    <mergeCell ref="C37:C42"/>
    <mergeCell ref="W37:W42"/>
    <mergeCell ref="D37:D42"/>
    <mergeCell ref="E37:E42"/>
    <mergeCell ref="F37:F42"/>
    <mergeCell ref="G37:G42"/>
    <mergeCell ref="H37:H42"/>
    <mergeCell ref="I37:I42"/>
    <mergeCell ref="J37:J42"/>
    <mergeCell ref="K37:K42"/>
    <mergeCell ref="L37:L42"/>
    <mergeCell ref="M37:M42"/>
    <mergeCell ref="B43:B48"/>
    <mergeCell ref="V43:V48"/>
    <mergeCell ref="C43:C48"/>
    <mergeCell ref="W43:W48"/>
    <mergeCell ref="D43:D48"/>
    <mergeCell ref="E43:E48"/>
    <mergeCell ref="F43:F48"/>
    <mergeCell ref="G43:G48"/>
    <mergeCell ref="H43:H48"/>
    <mergeCell ref="I43:I48"/>
    <mergeCell ref="J43:J48"/>
    <mergeCell ref="K43:K48"/>
    <mergeCell ref="L43:L48"/>
    <mergeCell ref="M43:M4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1"/>
  <sheetViews>
    <sheetView showGridLines="0" topLeftCell="D1" zoomScale="50" zoomScaleNormal="50" workbookViewId="0">
      <pane ySplit="8" topLeftCell="A9" activePane="bottomLeft" state="frozen"/>
      <selection pane="bottomLeft" activeCell="N19" sqref="N19:N20"/>
    </sheetView>
  </sheetViews>
  <sheetFormatPr defaultColWidth="0" defaultRowHeight="18.75" x14ac:dyDescent="0.25"/>
  <cols>
    <col min="1" max="1" width="8.285156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871" t="s">
        <v>24</v>
      </c>
      <c r="F2" s="872"/>
      <c r="G2" s="75">
        <f>SUM(G9:G9999)</f>
        <v>587944.5</v>
      </c>
      <c r="L2" s="952" t="s">
        <v>137</v>
      </c>
      <c r="M2" s="953"/>
      <c r="N2" s="66">
        <f>SUM(N9:N9999)</f>
        <v>587944.5</v>
      </c>
      <c r="P2" s="65"/>
      <c r="Q2" s="586" t="s">
        <v>45</v>
      </c>
      <c r="R2" s="587"/>
      <c r="S2" s="588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4" customHeight="1" x14ac:dyDescent="0.25">
      <c r="A9" s="954">
        <v>1</v>
      </c>
      <c r="B9" s="956" t="s">
        <v>280</v>
      </c>
      <c r="C9" s="956" t="s">
        <v>158</v>
      </c>
      <c r="D9" s="956" t="s">
        <v>275</v>
      </c>
      <c r="E9" s="964">
        <v>45366</v>
      </c>
      <c r="F9" s="958" t="s">
        <v>276</v>
      </c>
      <c r="G9" s="960">
        <v>587944.5</v>
      </c>
      <c r="H9" s="966">
        <f>IF(V9 = 2, G9 + SUM(Q9:Q10) - SUM(R9:R10) - SUM(N9:N10) - T9,0)</f>
        <v>0</v>
      </c>
      <c r="I9" s="968">
        <v>7715995942</v>
      </c>
      <c r="J9" s="956" t="s">
        <v>277</v>
      </c>
      <c r="K9" s="956" t="s">
        <v>278</v>
      </c>
      <c r="L9" s="484">
        <v>45406</v>
      </c>
      <c r="M9" s="956" t="s">
        <v>279</v>
      </c>
      <c r="N9" s="476">
        <v>549485.19999999995</v>
      </c>
      <c r="O9" s="484">
        <v>45419</v>
      </c>
      <c r="P9" s="490"/>
      <c r="Q9" s="491"/>
      <c r="R9" s="491"/>
      <c r="S9" s="958"/>
      <c r="T9" s="960"/>
      <c r="U9" s="962"/>
      <c r="V9" s="80">
        <v>2</v>
      </c>
    </row>
    <row r="10" spans="1:22" s="110" customFormat="1" x14ac:dyDescent="0.25">
      <c r="A10" s="955"/>
      <c r="B10" s="957"/>
      <c r="C10" s="957"/>
      <c r="D10" s="957"/>
      <c r="E10" s="965"/>
      <c r="F10" s="959"/>
      <c r="G10" s="961"/>
      <c r="H10" s="967"/>
      <c r="I10" s="969"/>
      <c r="J10" s="957"/>
      <c r="K10" s="957"/>
      <c r="L10" s="486">
        <v>45461</v>
      </c>
      <c r="M10" s="957"/>
      <c r="N10" s="493">
        <v>38459.300000000003</v>
      </c>
      <c r="O10" s="486">
        <v>45463</v>
      </c>
      <c r="P10" s="492"/>
      <c r="Q10" s="482"/>
      <c r="R10" s="482"/>
      <c r="S10" s="959"/>
      <c r="T10" s="961"/>
      <c r="U10" s="963"/>
      <c r="V10" s="110">
        <v>2</v>
      </c>
    </row>
    <row r="11" spans="1:22" x14ac:dyDescent="0.25">
      <c r="V11" s="2">
        <v>3</v>
      </c>
    </row>
  </sheetData>
  <sheetProtection password="EB34" sheet="1" objects="1" scenarios="1" formatCells="0" formatColumns="0" formatRows="0"/>
  <mergeCells count="18">
    <mergeCell ref="T9:T10"/>
    <mergeCell ref="C9:C10"/>
    <mergeCell ref="U9:U10"/>
    <mergeCell ref="D9:D10"/>
    <mergeCell ref="E9:E10"/>
    <mergeCell ref="F9:F10"/>
    <mergeCell ref="G9:G10"/>
    <mergeCell ref="H9:H10"/>
    <mergeCell ref="I9:I10"/>
    <mergeCell ref="J9:J10"/>
    <mergeCell ref="K9:K10"/>
    <mergeCell ref="Q2:S2"/>
    <mergeCell ref="E2:F2"/>
    <mergeCell ref="L2:M2"/>
    <mergeCell ref="A9:A10"/>
    <mergeCell ref="M9:M10"/>
    <mergeCell ref="S9:S10"/>
    <mergeCell ref="B9:B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7"/>
  <sheetViews>
    <sheetView showGridLines="0" topLeftCell="G1" zoomScale="50" zoomScaleNormal="50" workbookViewId="0">
      <pane ySplit="8" topLeftCell="A9" activePane="bottomLeft" state="frozen"/>
      <selection pane="bottomLeft" activeCell="K16" sqref="K16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871" t="s">
        <v>139</v>
      </c>
      <c r="F2" s="872"/>
      <c r="G2" s="77">
        <f>SUM(G9:G9999)</f>
        <v>1548849.06</v>
      </c>
      <c r="O2" s="871" t="s">
        <v>24</v>
      </c>
      <c r="P2" s="872"/>
      <c r="Q2" s="75">
        <f>SUM(Q9:Q9999)</f>
        <v>1071537.3400000001</v>
      </c>
      <c r="T2" s="586" t="s">
        <v>137</v>
      </c>
      <c r="U2" s="588"/>
      <c r="V2" s="66">
        <f>SUM(V9:V9999)</f>
        <v>392446.83999999997</v>
      </c>
      <c r="X2" s="65"/>
      <c r="Y2" s="586" t="s">
        <v>45</v>
      </c>
      <c r="Z2" s="587"/>
      <c r="AA2" s="588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15" customHeight="1" x14ac:dyDescent="0.25">
      <c r="A9" s="970">
        <v>1</v>
      </c>
      <c r="B9" s="956" t="s">
        <v>56</v>
      </c>
      <c r="C9" s="956" t="s">
        <v>161</v>
      </c>
      <c r="D9" s="956" t="s">
        <v>158</v>
      </c>
      <c r="E9" s="956" t="s">
        <v>162</v>
      </c>
      <c r="F9" s="956" t="s">
        <v>154</v>
      </c>
      <c r="G9" s="960">
        <v>740465.76</v>
      </c>
      <c r="H9" s="966">
        <f>IF(AD9 = 1, G9 - Q9,0)</f>
        <v>348018.92</v>
      </c>
      <c r="I9" s="960">
        <v>5</v>
      </c>
      <c r="J9" s="960">
        <v>0</v>
      </c>
      <c r="K9" s="956" t="s">
        <v>194</v>
      </c>
      <c r="L9" s="956" t="s">
        <v>163</v>
      </c>
      <c r="M9" s="956" t="s">
        <v>164</v>
      </c>
      <c r="N9" s="964">
        <v>45286</v>
      </c>
      <c r="O9" s="956" t="s">
        <v>155</v>
      </c>
      <c r="P9" s="956" t="s">
        <v>156</v>
      </c>
      <c r="Q9" s="960">
        <v>392446.84</v>
      </c>
      <c r="R9" s="966">
        <f>IF(AD9 = 1, Q9 + SUM(Y9:Y14) - SUM(Z9:Z14) - SUM(V9:V14) - AB9,0)</f>
        <v>5.8207660913467407E-11</v>
      </c>
      <c r="S9" s="956" t="s">
        <v>165</v>
      </c>
      <c r="T9" s="484">
        <v>45323</v>
      </c>
      <c r="U9" s="958" t="s">
        <v>157</v>
      </c>
      <c r="V9" s="476">
        <v>68347.48</v>
      </c>
      <c r="W9" s="484">
        <v>45327</v>
      </c>
      <c r="X9" s="477"/>
      <c r="Y9" s="478"/>
      <c r="Z9" s="478"/>
      <c r="AA9" s="975"/>
      <c r="AB9" s="980"/>
      <c r="AC9" s="983"/>
      <c r="AD9" s="80">
        <v>1</v>
      </c>
    </row>
    <row r="10" spans="1:30" s="110" customFormat="1" x14ac:dyDescent="0.25">
      <c r="A10" s="971"/>
      <c r="B10" s="973"/>
      <c r="C10" s="973"/>
      <c r="D10" s="973"/>
      <c r="E10" s="973"/>
      <c r="F10" s="973"/>
      <c r="G10" s="978"/>
      <c r="H10" s="979"/>
      <c r="I10" s="978"/>
      <c r="J10" s="978"/>
      <c r="K10" s="973"/>
      <c r="L10" s="973"/>
      <c r="M10" s="973"/>
      <c r="N10" s="986"/>
      <c r="O10" s="973"/>
      <c r="P10" s="973"/>
      <c r="Q10" s="978"/>
      <c r="R10" s="979"/>
      <c r="S10" s="973"/>
      <c r="T10" s="485">
        <v>45352</v>
      </c>
      <c r="U10" s="974"/>
      <c r="V10" s="479">
        <v>63937.97</v>
      </c>
      <c r="W10" s="485">
        <v>45356</v>
      </c>
      <c r="X10" s="480"/>
      <c r="Y10" s="481"/>
      <c r="Z10" s="481"/>
      <c r="AA10" s="976"/>
      <c r="AB10" s="981"/>
      <c r="AC10" s="984"/>
      <c r="AD10" s="110">
        <v>1</v>
      </c>
    </row>
    <row r="11" spans="1:30" s="110" customFormat="1" x14ac:dyDescent="0.25">
      <c r="A11" s="971"/>
      <c r="B11" s="973"/>
      <c r="C11" s="973"/>
      <c r="D11" s="973"/>
      <c r="E11" s="973"/>
      <c r="F11" s="973"/>
      <c r="G11" s="978"/>
      <c r="H11" s="979"/>
      <c r="I11" s="978"/>
      <c r="J11" s="978"/>
      <c r="K11" s="973"/>
      <c r="L11" s="973"/>
      <c r="M11" s="973"/>
      <c r="N11" s="986"/>
      <c r="O11" s="973"/>
      <c r="P11" s="973"/>
      <c r="Q11" s="978"/>
      <c r="R11" s="979"/>
      <c r="S11" s="973"/>
      <c r="T11" s="485">
        <v>45384</v>
      </c>
      <c r="U11" s="974"/>
      <c r="V11" s="479">
        <v>68347.48</v>
      </c>
      <c r="W11" s="485">
        <v>45384</v>
      </c>
      <c r="X11" s="480"/>
      <c r="Y11" s="481"/>
      <c r="Z11" s="481"/>
      <c r="AA11" s="976"/>
      <c r="AB11" s="981"/>
      <c r="AC11" s="984"/>
      <c r="AD11" s="110">
        <v>1</v>
      </c>
    </row>
    <row r="12" spans="1:30" s="110" customFormat="1" x14ac:dyDescent="0.25">
      <c r="A12" s="971"/>
      <c r="B12" s="973"/>
      <c r="C12" s="973"/>
      <c r="D12" s="973"/>
      <c r="E12" s="973"/>
      <c r="F12" s="973"/>
      <c r="G12" s="978"/>
      <c r="H12" s="979"/>
      <c r="I12" s="978"/>
      <c r="J12" s="978"/>
      <c r="K12" s="973"/>
      <c r="L12" s="973"/>
      <c r="M12" s="973"/>
      <c r="N12" s="986"/>
      <c r="O12" s="973"/>
      <c r="P12" s="973"/>
      <c r="Q12" s="978"/>
      <c r="R12" s="979"/>
      <c r="S12" s="973"/>
      <c r="T12" s="485">
        <v>45414</v>
      </c>
      <c r="U12" s="974"/>
      <c r="V12" s="479">
        <v>66142.73</v>
      </c>
      <c r="W12" s="485">
        <v>45419</v>
      </c>
      <c r="X12" s="480"/>
      <c r="Y12" s="481"/>
      <c r="Z12" s="481"/>
      <c r="AA12" s="976"/>
      <c r="AB12" s="981"/>
      <c r="AC12" s="984"/>
      <c r="AD12" s="110">
        <v>1</v>
      </c>
    </row>
    <row r="13" spans="1:30" s="110" customFormat="1" x14ac:dyDescent="0.25">
      <c r="A13" s="971"/>
      <c r="B13" s="973"/>
      <c r="C13" s="973"/>
      <c r="D13" s="973"/>
      <c r="E13" s="973"/>
      <c r="F13" s="973"/>
      <c r="G13" s="978"/>
      <c r="H13" s="979"/>
      <c r="I13" s="978"/>
      <c r="J13" s="978"/>
      <c r="K13" s="973"/>
      <c r="L13" s="973"/>
      <c r="M13" s="973"/>
      <c r="N13" s="986"/>
      <c r="O13" s="973"/>
      <c r="P13" s="973"/>
      <c r="Q13" s="978"/>
      <c r="R13" s="979"/>
      <c r="S13" s="973"/>
      <c r="T13" s="485">
        <v>45445</v>
      </c>
      <c r="U13" s="974"/>
      <c r="V13" s="479">
        <v>68347.48</v>
      </c>
      <c r="W13" s="485">
        <v>45449</v>
      </c>
      <c r="X13" s="480"/>
      <c r="Y13" s="481"/>
      <c r="Z13" s="481"/>
      <c r="AA13" s="976"/>
      <c r="AB13" s="981"/>
      <c r="AC13" s="984"/>
      <c r="AD13" s="110">
        <v>1</v>
      </c>
    </row>
    <row r="14" spans="1:30" s="110" customFormat="1" x14ac:dyDescent="0.25">
      <c r="A14" s="972"/>
      <c r="B14" s="957"/>
      <c r="C14" s="957"/>
      <c r="D14" s="957"/>
      <c r="E14" s="957"/>
      <c r="F14" s="957"/>
      <c r="G14" s="961"/>
      <c r="H14" s="967"/>
      <c r="I14" s="961"/>
      <c r="J14" s="961"/>
      <c r="K14" s="957"/>
      <c r="L14" s="957"/>
      <c r="M14" s="957"/>
      <c r="N14" s="965"/>
      <c r="O14" s="957"/>
      <c r="P14" s="957"/>
      <c r="Q14" s="961"/>
      <c r="R14" s="967"/>
      <c r="S14" s="957"/>
      <c r="T14" s="486">
        <v>45470</v>
      </c>
      <c r="U14" s="959"/>
      <c r="V14" s="482">
        <v>57323.7</v>
      </c>
      <c r="W14" s="486"/>
      <c r="X14" s="483"/>
      <c r="Y14" s="482"/>
      <c r="Z14" s="482"/>
      <c r="AA14" s="977"/>
      <c r="AB14" s="982"/>
      <c r="AC14" s="985"/>
      <c r="AD14" s="110">
        <v>1</v>
      </c>
    </row>
    <row r="15" spans="1:30" s="80" customFormat="1" ht="93.75" x14ac:dyDescent="0.25">
      <c r="A15" s="458">
        <v>2</v>
      </c>
      <c r="B15" s="459" t="s">
        <v>56</v>
      </c>
      <c r="C15" s="459" t="s">
        <v>312</v>
      </c>
      <c r="D15" s="459" t="s">
        <v>158</v>
      </c>
      <c r="E15" s="459" t="s">
        <v>313</v>
      </c>
      <c r="F15" s="459" t="s">
        <v>154</v>
      </c>
      <c r="G15" s="461">
        <v>349440</v>
      </c>
      <c r="H15" s="462">
        <f>IF(AD15 = 2, G15 - Q15,0)</f>
        <v>129292.79999999999</v>
      </c>
      <c r="I15" s="461">
        <v>5</v>
      </c>
      <c r="J15" s="461">
        <v>0</v>
      </c>
      <c r="K15" s="495" t="s">
        <v>75</v>
      </c>
      <c r="L15" s="459" t="s">
        <v>314</v>
      </c>
      <c r="M15" s="459" t="s">
        <v>315</v>
      </c>
      <c r="N15" s="474">
        <v>45470</v>
      </c>
      <c r="O15" s="459" t="s">
        <v>316</v>
      </c>
      <c r="P15" s="459" t="s">
        <v>156</v>
      </c>
      <c r="Q15" s="461">
        <v>220147.20000000001</v>
      </c>
      <c r="R15" s="462">
        <f>IF(AD15 = 2, Q15 + SUM(Y15:Y15) - SUM(Z15:Z15) - SUM(V15:V15) - AB15,0)</f>
        <v>220147.20000000001</v>
      </c>
      <c r="S15" s="459" t="s">
        <v>321</v>
      </c>
      <c r="T15" s="474"/>
      <c r="U15" s="460" t="s">
        <v>157</v>
      </c>
      <c r="V15" s="461"/>
      <c r="W15" s="474"/>
      <c r="X15" s="459"/>
      <c r="Y15" s="461"/>
      <c r="Z15" s="461"/>
      <c r="AA15" s="460"/>
      <c r="AB15" s="461"/>
      <c r="AC15" s="459"/>
      <c r="AD15" s="80">
        <v>2</v>
      </c>
    </row>
    <row r="16" spans="1:30" s="80" customFormat="1" ht="93.75" x14ac:dyDescent="0.25">
      <c r="A16" s="458">
        <v>3</v>
      </c>
      <c r="B16" s="459" t="s">
        <v>56</v>
      </c>
      <c r="C16" s="459" t="s">
        <v>317</v>
      </c>
      <c r="D16" s="459" t="s">
        <v>158</v>
      </c>
      <c r="E16" s="459" t="s">
        <v>318</v>
      </c>
      <c r="F16" s="459" t="s">
        <v>174</v>
      </c>
      <c r="G16" s="461">
        <v>458943.3</v>
      </c>
      <c r="H16" s="462">
        <f>IF(AD16 = 3, G16 - Q16,0)</f>
        <v>0</v>
      </c>
      <c r="I16" s="461">
        <v>25</v>
      </c>
      <c r="J16" s="461">
        <v>0</v>
      </c>
      <c r="K16" s="494" t="s">
        <v>194</v>
      </c>
      <c r="L16" s="459" t="s">
        <v>319</v>
      </c>
      <c r="M16" s="459" t="s">
        <v>320</v>
      </c>
      <c r="N16" s="474">
        <v>45473</v>
      </c>
      <c r="O16" s="459" t="s">
        <v>170</v>
      </c>
      <c r="P16" s="459" t="s">
        <v>171</v>
      </c>
      <c r="Q16" s="461">
        <v>458943.3</v>
      </c>
      <c r="R16" s="462">
        <f>IF(AD16 = 3, Q16 + SUM(Y16:Y16) - SUM(Z16:Z16) - SUM(V16:V16) - AB16,0)</f>
        <v>458943.3</v>
      </c>
      <c r="S16" s="459" t="s">
        <v>322</v>
      </c>
      <c r="T16" s="474"/>
      <c r="U16" s="460" t="s">
        <v>157</v>
      </c>
      <c r="V16" s="461"/>
      <c r="W16" s="474"/>
      <c r="X16" s="459"/>
      <c r="Y16" s="461"/>
      <c r="Z16" s="461"/>
      <c r="AA16" s="460"/>
      <c r="AB16" s="461"/>
      <c r="AC16" s="459"/>
      <c r="AD16" s="80">
        <v>3</v>
      </c>
    </row>
    <row r="17" spans="30:30" x14ac:dyDescent="0.25">
      <c r="AD17" s="2">
        <v>4</v>
      </c>
    </row>
  </sheetData>
  <sheetProtection password="EB34" sheet="1" objects="1" scenarios="1" formatCells="0" formatColumns="0" formatRows="0"/>
  <mergeCells count="27"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  <mergeCell ref="A9:A14"/>
    <mergeCell ref="B9:B14"/>
    <mergeCell ref="U9:U14"/>
    <mergeCell ref="AA9:AA14"/>
    <mergeCell ref="E2:F2"/>
    <mergeCell ref="O2:P2"/>
    <mergeCell ref="Y2:AA2"/>
    <mergeCell ref="T2:U2"/>
    <mergeCell ref="Q9:Q14"/>
    <mergeCell ref="R9:R14"/>
    <mergeCell ref="S9:S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4"/>
  <sheetViews>
    <sheetView showGridLines="0" topLeftCell="H1" zoomScale="50" zoomScaleNormal="50" workbookViewId="0">
      <pane ySplit="8" topLeftCell="A9" activePane="bottomLeft" state="frozen"/>
      <selection pane="bottomLeft" activeCell="P9" sqref="P9:P13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871" t="s">
        <v>139</v>
      </c>
      <c r="F2" s="872"/>
      <c r="G2" s="77">
        <f>SUM(G9:G9999)</f>
        <v>359413.18</v>
      </c>
      <c r="H2" s="10"/>
      <c r="O2" s="871" t="s">
        <v>24</v>
      </c>
      <c r="P2" s="872"/>
      <c r="Q2" s="75">
        <f>SUM(Q9:Q9999)</f>
        <v>359413.18</v>
      </c>
      <c r="T2" s="586" t="s">
        <v>137</v>
      </c>
      <c r="U2" s="588"/>
      <c r="V2" s="66">
        <f>SUM(V9:V9999)</f>
        <v>354059.69999999995</v>
      </c>
      <c r="X2" s="65"/>
      <c r="Y2" s="586" t="s">
        <v>45</v>
      </c>
      <c r="Z2" s="587"/>
      <c r="AA2" s="588"/>
      <c r="AB2" s="67">
        <f>SUM(AB9:AB9999)</f>
        <v>5353.48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45" t="s">
        <v>36</v>
      </c>
      <c r="B8" s="145"/>
      <c r="C8" s="145" t="s">
        <v>73</v>
      </c>
      <c r="D8" s="145" t="s">
        <v>74</v>
      </c>
      <c r="E8" s="145" t="s">
        <v>71</v>
      </c>
      <c r="F8" s="145" t="s">
        <v>72</v>
      </c>
      <c r="G8" s="146">
        <v>15500.01</v>
      </c>
      <c r="H8" s="146">
        <f t="shared" ref="H8" si="0">G8-Q8</f>
        <v>6725</v>
      </c>
      <c r="I8" s="147">
        <v>6</v>
      </c>
      <c r="J8" s="147">
        <v>0</v>
      </c>
      <c r="K8" s="145" t="s">
        <v>75</v>
      </c>
      <c r="L8" s="145" t="s">
        <v>76</v>
      </c>
      <c r="M8" s="145" t="s">
        <v>77</v>
      </c>
      <c r="N8" s="148">
        <v>43655</v>
      </c>
      <c r="O8" s="145" t="s">
        <v>79</v>
      </c>
      <c r="P8" s="145" t="s">
        <v>78</v>
      </c>
      <c r="Q8" s="146">
        <v>8775.01</v>
      </c>
      <c r="R8" s="146">
        <f>Q8-V8</f>
        <v>0</v>
      </c>
      <c r="S8" s="145" t="s">
        <v>80</v>
      </c>
      <c r="T8" s="148">
        <v>43677</v>
      </c>
      <c r="U8" s="145" t="s">
        <v>81</v>
      </c>
      <c r="V8" s="146">
        <v>8775.01</v>
      </c>
      <c r="W8" s="148">
        <v>43696</v>
      </c>
      <c r="X8" s="145"/>
      <c r="Y8" s="145"/>
      <c r="Z8" s="145"/>
      <c r="AA8" s="145"/>
      <c r="AB8" s="146"/>
      <c r="AC8" s="149" t="s">
        <v>64</v>
      </c>
    </row>
    <row r="9" spans="1:30" s="80" customFormat="1" ht="54.6" customHeight="1" x14ac:dyDescent="0.25">
      <c r="A9" s="987">
        <v>1</v>
      </c>
      <c r="B9" s="990" t="s">
        <v>56</v>
      </c>
      <c r="C9" s="990" t="s">
        <v>166</v>
      </c>
      <c r="D9" s="990" t="s">
        <v>158</v>
      </c>
      <c r="E9" s="990" t="s">
        <v>167</v>
      </c>
      <c r="F9" s="990" t="s">
        <v>174</v>
      </c>
      <c r="G9" s="993">
        <v>359413.18</v>
      </c>
      <c r="H9" s="996">
        <f>IF(AD9 = 1, G9 - Q9,0)</f>
        <v>0</v>
      </c>
      <c r="I9" s="993">
        <v>1</v>
      </c>
      <c r="J9" s="993">
        <v>0</v>
      </c>
      <c r="K9" s="990" t="s">
        <v>194</v>
      </c>
      <c r="L9" s="1002" t="s">
        <v>169</v>
      </c>
      <c r="M9" s="990" t="s">
        <v>168</v>
      </c>
      <c r="N9" s="1005">
        <v>45285</v>
      </c>
      <c r="O9" s="990" t="s">
        <v>170</v>
      </c>
      <c r="P9" s="990" t="s">
        <v>171</v>
      </c>
      <c r="Q9" s="993">
        <v>359413.18</v>
      </c>
      <c r="R9" s="996">
        <f>IF(AD9 = 1, Q9 + SUM(Y9:Y13) - SUM(Z9:Z13) - SUM(V9:V13) - AB9,0)</f>
        <v>4.0017766878008842E-11</v>
      </c>
      <c r="S9" s="990" t="s">
        <v>172</v>
      </c>
      <c r="T9" s="191">
        <v>45324</v>
      </c>
      <c r="U9" s="990" t="s">
        <v>173</v>
      </c>
      <c r="V9" s="183">
        <v>64120.09</v>
      </c>
      <c r="W9" s="191">
        <v>45338</v>
      </c>
      <c r="X9" s="184"/>
      <c r="Y9" s="185"/>
      <c r="Z9" s="185"/>
      <c r="AA9" s="990" t="s">
        <v>281</v>
      </c>
      <c r="AB9" s="993">
        <v>5353.48</v>
      </c>
      <c r="AC9" s="999"/>
      <c r="AD9" s="80">
        <v>1</v>
      </c>
    </row>
    <row r="10" spans="1:30" s="110" customFormat="1" x14ac:dyDescent="0.25">
      <c r="A10" s="988"/>
      <c r="B10" s="991"/>
      <c r="C10" s="991"/>
      <c r="D10" s="991"/>
      <c r="E10" s="991"/>
      <c r="F10" s="991"/>
      <c r="G10" s="994"/>
      <c r="H10" s="997"/>
      <c r="I10" s="994"/>
      <c r="J10" s="994"/>
      <c r="K10" s="991"/>
      <c r="L10" s="1003"/>
      <c r="M10" s="991"/>
      <c r="N10" s="1006"/>
      <c r="O10" s="991"/>
      <c r="P10" s="991"/>
      <c r="Q10" s="994"/>
      <c r="R10" s="997"/>
      <c r="S10" s="991"/>
      <c r="T10" s="192">
        <v>45324</v>
      </c>
      <c r="U10" s="991"/>
      <c r="V10" s="186">
        <v>51101.4</v>
      </c>
      <c r="W10" s="192">
        <v>45338</v>
      </c>
      <c r="X10" s="187"/>
      <c r="Y10" s="188"/>
      <c r="Z10" s="188"/>
      <c r="AA10" s="991"/>
      <c r="AB10" s="994"/>
      <c r="AC10" s="1000"/>
      <c r="AD10" s="110">
        <v>1</v>
      </c>
    </row>
    <row r="11" spans="1:30" s="110" customFormat="1" x14ac:dyDescent="0.25">
      <c r="A11" s="988"/>
      <c r="B11" s="991"/>
      <c r="C11" s="991"/>
      <c r="D11" s="991"/>
      <c r="E11" s="991"/>
      <c r="F11" s="991"/>
      <c r="G11" s="994"/>
      <c r="H11" s="997"/>
      <c r="I11" s="994"/>
      <c r="J11" s="994"/>
      <c r="K11" s="991"/>
      <c r="L11" s="1003"/>
      <c r="M11" s="991"/>
      <c r="N11" s="1006"/>
      <c r="O11" s="991"/>
      <c r="P11" s="991"/>
      <c r="Q11" s="994"/>
      <c r="R11" s="997"/>
      <c r="S11" s="991"/>
      <c r="T11" s="192">
        <v>45342</v>
      </c>
      <c r="U11" s="991"/>
      <c r="V11" s="186">
        <v>60956.67</v>
      </c>
      <c r="W11" s="192">
        <v>45344</v>
      </c>
      <c r="X11" s="187"/>
      <c r="Y11" s="188"/>
      <c r="Z11" s="188"/>
      <c r="AA11" s="991"/>
      <c r="AB11" s="994"/>
      <c r="AC11" s="1000"/>
      <c r="AD11" s="110">
        <v>1</v>
      </c>
    </row>
    <row r="12" spans="1:30" s="110" customFormat="1" x14ac:dyDescent="0.25">
      <c r="A12" s="988"/>
      <c r="B12" s="991"/>
      <c r="C12" s="991"/>
      <c r="D12" s="991"/>
      <c r="E12" s="991"/>
      <c r="F12" s="991"/>
      <c r="G12" s="994"/>
      <c r="H12" s="997"/>
      <c r="I12" s="994"/>
      <c r="J12" s="994"/>
      <c r="K12" s="991"/>
      <c r="L12" s="1003"/>
      <c r="M12" s="991"/>
      <c r="N12" s="1006"/>
      <c r="O12" s="991"/>
      <c r="P12" s="991"/>
      <c r="Q12" s="994"/>
      <c r="R12" s="997"/>
      <c r="S12" s="991"/>
      <c r="T12" s="192">
        <v>45357</v>
      </c>
      <c r="U12" s="991"/>
      <c r="V12" s="186">
        <v>72515.320000000007</v>
      </c>
      <c r="W12" s="192">
        <v>45371</v>
      </c>
      <c r="X12" s="187"/>
      <c r="Y12" s="188"/>
      <c r="Z12" s="188"/>
      <c r="AA12" s="991"/>
      <c r="AB12" s="994"/>
      <c r="AC12" s="1000"/>
      <c r="AD12" s="110">
        <v>1</v>
      </c>
    </row>
    <row r="13" spans="1:30" s="110" customFormat="1" x14ac:dyDescent="0.25">
      <c r="A13" s="989"/>
      <c r="B13" s="992"/>
      <c r="C13" s="992"/>
      <c r="D13" s="992"/>
      <c r="E13" s="992"/>
      <c r="F13" s="992"/>
      <c r="G13" s="995"/>
      <c r="H13" s="998"/>
      <c r="I13" s="995"/>
      <c r="J13" s="995"/>
      <c r="K13" s="992"/>
      <c r="L13" s="1004"/>
      <c r="M13" s="992"/>
      <c r="N13" s="1007"/>
      <c r="O13" s="992"/>
      <c r="P13" s="992"/>
      <c r="Q13" s="995"/>
      <c r="R13" s="998"/>
      <c r="S13" s="992"/>
      <c r="T13" s="193">
        <v>45373</v>
      </c>
      <c r="U13" s="992"/>
      <c r="V13" s="254">
        <v>105366.22</v>
      </c>
      <c r="W13" s="193">
        <v>45394</v>
      </c>
      <c r="X13" s="190"/>
      <c r="Y13" s="189"/>
      <c r="Z13" s="189"/>
      <c r="AA13" s="992"/>
      <c r="AB13" s="995"/>
      <c r="AC13" s="1001"/>
      <c r="AD13" s="110">
        <v>1</v>
      </c>
    </row>
    <row r="14" spans="1:30" x14ac:dyDescent="0.25">
      <c r="AD14" s="2">
        <v>2</v>
      </c>
    </row>
  </sheetData>
  <sheetProtection password="EB34" sheet="1" objects="1" scenarios="1" formatCells="0" formatColumns="0" formatRows="0"/>
  <mergeCells count="27"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abSelected="1" topLeftCell="I1" zoomScale="50" zoomScaleNormal="50" workbookViewId="0">
      <pane ySplit="8" topLeftCell="A9" activePane="bottomLeft" state="frozen"/>
      <selection pane="bottomLeft" activeCell="J51" sqref="J51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871" t="s">
        <v>139</v>
      </c>
      <c r="F2" s="872"/>
      <c r="G2" s="77">
        <f>SUM(G9:G9999)</f>
        <v>0</v>
      </c>
      <c r="H2" s="10"/>
      <c r="O2" s="871" t="s">
        <v>24</v>
      </c>
      <c r="P2" s="872"/>
      <c r="Q2" s="75">
        <f>SUM(Q9:Q9999)</f>
        <v>0</v>
      </c>
      <c r="T2" s="586" t="s">
        <v>137</v>
      </c>
      <c r="U2" s="588"/>
      <c r="V2" s="66">
        <f>SUM(V9:V9999)</f>
        <v>0</v>
      </c>
      <c r="X2" s="65"/>
      <c r="Y2" s="586" t="s">
        <v>45</v>
      </c>
      <c r="Z2" s="587"/>
      <c r="AA2" s="588"/>
      <c r="AB2" s="67">
        <f>SUM(AB9:AB9999)</f>
        <v>0</v>
      </c>
    </row>
    <row r="4" spans="1:30" ht="39.950000000000003" customHeight="1" x14ac:dyDescent="0.25">
      <c r="P4" s="585"/>
      <c r="Q4" s="585"/>
      <c r="R4" s="585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24</v>
      </c>
      <c r="B1" s="46">
        <v>13</v>
      </c>
      <c r="C1" s="46">
        <v>9</v>
      </c>
      <c r="D1" s="1010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1011"/>
      <c r="E2" s="31"/>
      <c r="F2" s="59">
        <v>83</v>
      </c>
      <c r="G2" s="63">
        <v>60</v>
      </c>
      <c r="H2" s="62">
        <v>2</v>
      </c>
      <c r="I2" s="61">
        <v>3</v>
      </c>
      <c r="J2" s="60">
        <v>1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101</v>
      </c>
      <c r="B4" s="43">
        <v>28</v>
      </c>
      <c r="C4" s="43">
        <v>9</v>
      </c>
      <c r="D4" s="1012" t="s">
        <v>102</v>
      </c>
      <c r="E4" s="31"/>
      <c r="F4" s="59">
        <v>84</v>
      </c>
      <c r="G4" s="63">
        <v>61</v>
      </c>
      <c r="H4" s="62">
        <v>3</v>
      </c>
      <c r="I4" s="61">
        <v>4</v>
      </c>
      <c r="J4" s="60">
        <v>2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1013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10</v>
      </c>
      <c r="B7" s="45">
        <v>1</v>
      </c>
      <c r="C7" s="45">
        <v>9</v>
      </c>
      <c r="D7" s="1014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1015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16</v>
      </c>
      <c r="B10" s="41">
        <v>3</v>
      </c>
      <c r="C10" s="41">
        <v>9</v>
      </c>
      <c r="D10" s="1016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1017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13</v>
      </c>
      <c r="B13" s="39">
        <v>1</v>
      </c>
      <c r="C13" s="39">
        <v>9</v>
      </c>
      <c r="D13" s="1018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1019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1008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1009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2019-09-24T06:31:40Z</cp:lastPrinted>
  <dcterms:created xsi:type="dcterms:W3CDTF">2017-01-25T04:28:39Z</dcterms:created>
  <dcterms:modified xsi:type="dcterms:W3CDTF">2024-07-02T13:42:23Z</dcterms:modified>
</cp:coreProperties>
</file>