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-120" yWindow="-120" windowWidth="20730" windowHeight="11160" tabRatio="603" firstSheet="2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 iterate="1"/>
</workbook>
</file>

<file path=xl/calcChain.xml><?xml version="1.0" encoding="utf-8"?>
<calcChain xmlns="http://schemas.openxmlformats.org/spreadsheetml/2006/main">
  <c r="H2" i="31" l="1"/>
  <c r="P2" i="31"/>
  <c r="V2" i="31"/>
  <c r="G2" i="19"/>
  <c r="N2" i="19"/>
  <c r="T2" i="19"/>
  <c r="G2" i="17"/>
  <c r="Q2" i="17"/>
  <c r="V2" i="17"/>
  <c r="AB2" i="17"/>
  <c r="G2" i="22"/>
  <c r="Q2" i="22"/>
  <c r="V2" i="22"/>
  <c r="AB2" i="22"/>
  <c r="H2" i="27"/>
  <c r="P2" i="27"/>
  <c r="V2" i="27"/>
  <c r="G2" i="20" l="1"/>
  <c r="Q2" i="20"/>
  <c r="V2" i="20"/>
  <c r="AB2" i="20"/>
  <c r="H9" i="17"/>
  <c r="R9" i="17"/>
  <c r="H9" i="19" l="1"/>
  <c r="I32" i="31" l="1"/>
  <c r="I36" i="31"/>
  <c r="I40" i="31"/>
  <c r="I20" i="27" l="1"/>
  <c r="I19" i="27" l="1"/>
  <c r="I18" i="27"/>
  <c r="I17" i="27"/>
  <c r="I71" i="31" l="1"/>
  <c r="I16" i="27" l="1"/>
  <c r="I15" i="27"/>
  <c r="I14" i="27" l="1"/>
  <c r="I13" i="27"/>
  <c r="I70" i="31" l="1"/>
  <c r="I69" i="31"/>
  <c r="I46" i="31" l="1"/>
  <c r="I16" i="31" l="1"/>
  <c r="I12" i="27" l="1"/>
  <c r="I11" i="27" l="1"/>
  <c r="I50" i="31" l="1"/>
  <c r="I54" i="31" l="1"/>
  <c r="I68" i="31" l="1"/>
  <c r="I29" i="31" l="1"/>
  <c r="I9" i="31"/>
  <c r="H9" i="22" l="1"/>
  <c r="R9" i="22"/>
  <c r="I62" i="31" l="1"/>
  <c r="I65" i="31"/>
  <c r="I59" i="31"/>
  <c r="I9" i="27" l="1"/>
  <c r="I67" i="31" l="1"/>
  <c r="I58" i="31" l="1"/>
  <c r="I57" i="31"/>
  <c r="I56" i="31"/>
  <c r="I53" i="31" l="1"/>
  <c r="I49" i="31" l="1"/>
  <c r="I45" i="31" l="1"/>
  <c r="I44" i="31" l="1"/>
  <c r="I21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<sst xmlns="http://schemas.openxmlformats.org/spreadsheetml/2006/main" count="752" uniqueCount="286">
  <si>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</si>
  <si>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</si>
  <si>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</si>
  <si>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</si>
  <si>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</si>
  <si>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</si>
  <si>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</si>
  <si>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</si>
  <si>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</si>
  <si>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</si>
  <si>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</si>
  <si>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</si>
  <si>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</si>
  <si>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</si>
  <si>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</si>
  <si>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</si>
  <si>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</si>
  <si>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</si>
  <si>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</si>
  <si>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</si>
  <si>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</si>
  <si>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</si>
  <si>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</si>
  <si>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</si>
  <si>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</si>
  <si>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</si>
  <si>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</si>
  <si>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</si>
  <si>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</si>
  <si>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</si>
  <si>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</si>
  <si>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</si>
  <si>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</si>
  <si>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</si>
  <si>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</si>
  <si>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</si>
  <si>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</si>
  <si>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</si>
  <si>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</si>
  <si>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</si>
  <si>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</si>
  <si>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</si>
  <si>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</si>
  <si>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</si>
  <si>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</si>
  <si>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</si>
  <si>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</si>
  <si>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</si>
  <si>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</si>
  <si>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</si>
  <si>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</si>
  <si>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</si>
  <si>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</si>
  <si>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</si>
  <si>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</si>
  <si>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</si>
  <si>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</si>
  <si>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</si>
  <si>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</si>
  <si>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</si>
  <si>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</si>
  <si>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</si>
  <si>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</si>
  <si>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</si>
  <si>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</si>
  <si>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</si>
  <si>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</si>
  <si>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</si>
  <si>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</si>
  <si>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</si>
  <si>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</si>
  <si>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</si>
  <si>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</si>
  <si>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</si>
  <si>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</si>
  <si>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</si>
  <si>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</si>
  <si>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</si>
  <si>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</si>
  <si>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</si>
  <si>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</si>
  <si>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</si>
  <si>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</si>
  <si>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</si>
  <si>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</si>
  <si>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</si>
  <si>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</si>
  <si>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</si>
  <si>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</si>
  <si>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</si>
  <si>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</si>
  <si>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</si>
  <si>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</si>
  <si>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</si>
  <si>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</si>
  <si>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</si>
  <si>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</si>
  <si>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</si>
  <si>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</si>
  <si>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</si>
  <si>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</si>
  <si>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</si>
  <si>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</si>
  <si>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</si>
  <si>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</si>
  <si>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</si>
  <si>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</si>
  <si>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</si>
  <si>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</si>
  <si>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</si>
  <si>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</si>
  <si>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</si>
  <si>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</si>
  <si>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</si>
  <si>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</si>
  <si>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</si>
  <si>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</si>
  <si>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</si>
  <si>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</si>
  <si>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</si>
  <si>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</si>
  <si>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</si>
  <si>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</si>
  <si>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</si>
  <si>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</si>
  <si>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</si>
  <si>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</si>
  <si>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</si>
  <si>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</si>
  <si>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</si>
  <si>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</si>
  <si>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</si>
  <si>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</si>
  <si>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</si>
  <si>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</si>
  <si>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</si>
  <si>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</si>
  <si>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</si>
  <si>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</si>
  <si>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</si>
  <si>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</si>
  <si>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</si>
  <si>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</si>
  <si>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</si>
  <si>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</si>
  <si>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</si>
  <si>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</si>
  <si>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</si>
  <si>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</si>
  <si>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</si>
  <si>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</si>
  <si>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</si>
  <si>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</si>
  <si>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</si>
  <si>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</si>
  <si>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</si>
  <si>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</si>
  <si>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</si>
  <si>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</si>
  <si>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</si>
  <si>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</si>
  <si>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</si>
  <si>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</si>
  <si>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</si>
  <si>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</si>
  <si>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</si>
  <si>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</si>
  <si>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</si>
  <si>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</si>
  <si>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</si>
  <si>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</si>
  <si>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</si>
  <si>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</si>
  <si>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</si>
  <si>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</si>
  <si>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</si>
  <si>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</si>
  <si>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</si>
  <si>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</si>
  <si>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</si>
  <si>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</si>
  <si>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</si>
  <si>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</si>
  <si>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</si>
  <si>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</si>
  <si>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</si>
  <si>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</si>
  <si>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</si>
  <si>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</si>
  <si>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</si>
  <si>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</si>
  <si>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</si>
  <si>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</si>
  <si>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</si>
  <si>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</si>
  <si>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</si>
  <si>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</si>
  <si>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</si>
  <si>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</si>
  <si>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</si>
  <si>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</si>
  <si>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</si>
  <si>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</si>
  <si>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</si>
  <si>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</si>
  <si>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</si>
  <si>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</si>
  <si>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</si>
  <si>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</si>
  <si>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</si>
  <si>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</si>
  <si>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</si>
  <si>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</si>
  <si>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</si>
  <si>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</si>
  <si>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</si>
  <si>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</si>
  <si>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</si>
  <si>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</si>
  <si>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</si>
  <si>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</si>
  <si>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</si>
  <si>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</si>
  <si>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</si>
  <si>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</si>
  <si>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</si>
  <si>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</si>
  <si>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</si>
  <si>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</si>
  <si>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</si>
  <si>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</si>
  <si>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</si>
  <si>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</si>
  <si>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</si>
  <si>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</si>
  <si>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</si>
  <si>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 xml:space="preserve">б/н от 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</si>
  <si>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</si>
  <si>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</si>
  <si>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</si>
  <si>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</si>
  <si>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</si>
  <si>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</si>
  <si>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</si>
  <si>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</si>
  <si>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</si>
  <si>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</si>
  <si>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</si>
  <si>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</si>
  <si>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</si>
  <si>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</si>
  <si>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</si>
  <si>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</si>
  <si>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</si>
  <si>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</si>
  <si>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</si>
  <si>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</si>
  <si>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</si>
  <si>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</si>
  <si>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</si>
  <si>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</si>
  <si>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</si>
  <si>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</si>
  <si>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</si>
  <si>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</si>
  <si>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</si>
  <si>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</si>
  <si>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</si>
  <si>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</si>
  <si>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10  с момента подписания документа о приемке оказанных услуг</t>
  </si>
  <si>
    <t>В течение 10  с момента подписания документа о приемке поставленного товара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</si>
  <si>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</si>
  <si>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</si>
  <si>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</si>
  <si>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</si>
  <si>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</si>
  <si>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</si>
  <si>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</si>
  <si>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 xml:space="preserve">В течение 10  с момента подписания документа о приемке 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</si>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</sst>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7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2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0" xfId="0" applyNumberFormat="1" applyFont="1" applyFill="1" applyBorder="1" applyAlignment="1">
      <alignment horizontal="center" vertical="center" wrapText="1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44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5" xfId="0" applyNumberFormat="1" applyFont="1" applyFill="1" applyBorder="1" applyAlignment="1">
      <alignment horizontal="center" vertical="center" wrapText="1"/>
    </xf>
    <xf numFmtId="49" fontId="15" fillId="18" borderId="46" xfId="0" applyNumberFormat="1" applyFont="1" applyFill="1" applyBorder="1" applyAlignment="1">
      <alignment horizontal="center" vertical="center" wrapText="1"/>
    </xf>
    <xf numFmtId="49" fontId="15" fillId="18" borderId="47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9" fontId="15" fillId="18" borderId="42" xfId="0" applyNumberFormat="1" applyFont="1" applyFill="1" applyBorder="1" applyAlignment="1">
      <alignment horizontal="center" vertical="center" wrapText="1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5" fillId="4" borderId="40" xfId="0" applyNumberFormat="1" applyFont="1" applyFill="1" applyBorder="1" applyAlignment="1">
      <alignment horizontal="center" vertical="center" wrapText="1"/>
    </xf>
    <xf numFmtId="49" fontId="15" fillId="4" borderId="41" xfId="0" applyNumberFormat="1" applyFont="1" applyFill="1" applyBorder="1" applyAlignment="1">
      <alignment horizontal="center" vertical="center" wrapText="1"/>
    </xf>
    <xf numFmtId="49" fontId="15" fillId="4" borderId="42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8" xfId="0" applyNumberFormat="1" applyFont="1" applyFill="1" applyBorder="1" applyAlignment="1">
      <alignment horizontal="center" vertical="center" wrapText="1"/>
    </xf>
    <xf numFmtId="49" fontId="15" fillId="4" borderId="49" xfId="0" applyNumberFormat="1" applyFont="1" applyFill="1" applyBorder="1" applyAlignment="1">
      <alignment horizontal="center" vertical="center" wrapText="1"/>
    </xf>
    <xf numFmtId="49" fontId="15" fillId="4" borderId="50" xfId="0" applyNumberFormat="1" applyFont="1" applyFill="1" applyBorder="1" applyAlignment="1">
      <alignment horizontal="center" vertical="center" wrapText="1"/>
    </xf>
    <xf numFmtId="49" fontId="15" fillId="18" borderId="51" xfId="0" applyNumberFormat="1" applyFont="1" applyFill="1" applyBorder="1" applyAlignment="1">
      <alignment horizontal="center" vertical="center" wrapText="1"/>
    </xf>
    <xf numFmtId="49" fontId="15" fillId="18" borderId="52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5" fillId="18" borderId="54" xfId="0" applyNumberFormat="1" applyFont="1" applyFill="1" applyBorder="1" applyAlignment="1">
      <alignment horizontal="center" vertical="center" wrapText="1"/>
    </xf>
    <xf numFmtId="49" fontId="15" fillId="18" borderId="55" xfId="0" applyNumberFormat="1" applyFont="1" applyFill="1" applyBorder="1" applyAlignment="1">
      <alignment horizontal="center" vertical="center" wrapText="1"/>
    </xf>
    <xf numFmtId="49" fontId="15" fillId="18" borderId="56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7" xfId="0" applyNumberFormat="1" applyFont="1" applyFill="1" applyBorder="1" applyAlignment="1">
      <alignment horizontal="center" vertical="center" wrapText="1"/>
    </xf>
    <xf numFmtId="49" fontId="15" fillId="3" borderId="60" xfId="0" applyNumberFormat="1" applyFont="1" applyFill="1" applyBorder="1" applyAlignment="1">
      <alignment horizontal="center" vertical="center" wrapText="1"/>
    </xf>
    <xf numFmtId="49" fontId="15" fillId="3" borderId="63" xfId="0" applyNumberFormat="1" applyFont="1" applyFill="1" applyBorder="1" applyAlignment="1">
      <alignment horizontal="center" vertical="center" wrapText="1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7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416" t="s">
        <v>141</v>
      </c>
      <c r="B1" s="417"/>
      <c r="C1" s="417"/>
      <c r="D1" s="417"/>
      <c r="E1" s="418" t="s">
        <v>145</v>
      </c>
      <c r="F1" s="419"/>
      <c r="G1" s="419"/>
      <c r="H1" s="419"/>
      <c r="I1" s="419"/>
      <c r="J1" s="419"/>
      <c r="K1" s="419"/>
      <c r="L1" s="419"/>
      <c r="M1" s="419"/>
      <c r="N1" s="420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392" t="s">
        <v>25</v>
      </c>
      <c r="B4" s="393"/>
      <c r="C4" s="4">
        <v>6467753.04</v>
      </c>
      <c r="D4" s="5"/>
      <c r="E4" s="394" t="s">
        <v>140</v>
      </c>
      <c r="F4" s="395"/>
      <c r="G4" s="396"/>
      <c r="H4" s="397">
        <v>1818249.5</v>
      </c>
      <c r="I4" s="398"/>
      <c r="J4" s="399"/>
      <c r="K4" s="17"/>
      <c r="L4" s="76" t="s">
        <v>55</v>
      </c>
      <c r="M4" s="394">
        <v>2514312.7599999998</v>
      </c>
      <c r="N4" s="396"/>
    </row>
    <row r="5" spans="1:14" ht="30.75" customHeight="1" thickBot="1" x14ac:dyDescent="0.3">
      <c r="A5" s="392" t="s">
        <v>26</v>
      </c>
      <c r="B5" s="393"/>
      <c r="C5" s="6">
        <f>C4-G15+J15</f>
        <v>3377458.4899999998</v>
      </c>
      <c r="D5" s="5"/>
      <c r="E5" s="394" t="s">
        <v>53</v>
      </c>
      <c r="F5" s="395"/>
      <c r="G5" s="396"/>
      <c r="H5" s="384">
        <f>H4-G12</f>
        <v>1520614.5899999999</v>
      </c>
      <c r="I5" s="385"/>
      <c r="J5" s="386"/>
      <c r="K5" s="17"/>
      <c r="L5" s="76" t="s">
        <v>54</v>
      </c>
      <c r="M5" s="387">
        <f>M4-G13</f>
        <v>1015760.0599999996</v>
      </c>
      <c r="N5" s="388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400" t="s">
        <v>27</v>
      </c>
      <c r="B8" s="401"/>
      <c r="C8" s="402"/>
      <c r="D8" s="400" t="s">
        <v>28</v>
      </c>
      <c r="E8" s="401"/>
      <c r="F8" s="402"/>
      <c r="G8" s="403" t="s">
        <v>29</v>
      </c>
      <c r="H8" s="404"/>
      <c r="I8" s="405"/>
      <c r="J8" s="403" t="s">
        <v>142</v>
      </c>
      <c r="K8" s="404"/>
      <c r="L8" s="405"/>
      <c r="M8" s="400" t="s">
        <v>30</v>
      </c>
      <c r="N8" s="402"/>
    </row>
    <row r="9" spans="1:14" ht="41.25" customHeight="1" thickBot="1" x14ac:dyDescent="0.3">
      <c r="A9" s="406" t="s">
        <v>31</v>
      </c>
      <c r="B9" s="407"/>
      <c r="C9" s="408"/>
      <c r="D9" s="409">
        <f>'Состоявшиеся аукционы'!G2</f>
        <v>740465.76</v>
      </c>
      <c r="E9" s="409"/>
      <c r="F9" s="409"/>
      <c r="G9" s="409">
        <f>'Состоявшиеся аукционы'!Q2</f>
        <v>392446.84</v>
      </c>
      <c r="H9" s="409"/>
      <c r="I9" s="409"/>
      <c r="J9" s="389">
        <f>'Состоявшиеся аукционы'!AB2</f>
        <v>0</v>
      </c>
      <c r="K9" s="391"/>
      <c r="L9" s="390"/>
      <c r="M9" s="409">
        <f t="shared" ref="M9:M15" si="0">D9-G9</f>
        <v>348018.92</v>
      </c>
      <c r="N9" s="409"/>
    </row>
    <row r="10" spans="1:14" ht="78.75" customHeight="1" thickBot="1" x14ac:dyDescent="0.3">
      <c r="A10" s="406" t="s">
        <v>49</v>
      </c>
      <c r="B10" s="407"/>
      <c r="C10" s="408"/>
      <c r="D10" s="409">
        <f>'Несостоявшиеся аукционы'!G2</f>
        <v>359413.18</v>
      </c>
      <c r="E10" s="409"/>
      <c r="F10" s="409"/>
      <c r="G10" s="409">
        <f>'Несостоявшиеся аукционы'!Q2</f>
        <v>359413.18</v>
      </c>
      <c r="H10" s="409"/>
      <c r="I10" s="409"/>
      <c r="J10" s="389">
        <f>'Несостоявшиеся аукционы'!AB2</f>
        <v>5353.48</v>
      </c>
      <c r="K10" s="391"/>
      <c r="L10" s="390"/>
      <c r="M10" s="409">
        <f t="shared" si="0"/>
        <v>0</v>
      </c>
      <c r="N10" s="409"/>
    </row>
    <row r="11" spans="1:14" ht="40.5" customHeight="1" thickBot="1" x14ac:dyDescent="0.3">
      <c r="A11" s="406" t="s">
        <v>83</v>
      </c>
      <c r="B11" s="407"/>
      <c r="C11" s="408"/>
      <c r="D11" s="389">
        <f>'Иные конкурентные закупки'!G2</f>
        <v>0</v>
      </c>
      <c r="E11" s="391"/>
      <c r="F11" s="390"/>
      <c r="G11" s="389">
        <f>'Иные конкурентные закупки'!Q2</f>
        <v>0</v>
      </c>
      <c r="H11" s="391"/>
      <c r="I11" s="390"/>
      <c r="J11" s="389">
        <f>'Иные конкурентные закупки'!AB2</f>
        <v>0</v>
      </c>
      <c r="K11" s="391"/>
      <c r="L11" s="390"/>
      <c r="M11" s="389">
        <f t="shared" si="0"/>
        <v>0</v>
      </c>
      <c r="N11" s="390"/>
    </row>
    <row r="12" spans="1:14" ht="54.75" customHeight="1" thickBot="1" x14ac:dyDescent="0.3">
      <c r="A12" s="413" t="s">
        <v>50</v>
      </c>
      <c r="B12" s="414"/>
      <c r="C12" s="415"/>
      <c r="D12" s="409">
        <f>'Ед. поставщик п.4 ч.1'!H2</f>
        <v>297634.91000000003</v>
      </c>
      <c r="E12" s="409"/>
      <c r="F12" s="409"/>
      <c r="G12" s="409">
        <f>D12</f>
        <v>297634.91000000003</v>
      </c>
      <c r="H12" s="409"/>
      <c r="I12" s="409"/>
      <c r="J12" s="389">
        <f>'Ед. поставщик п.4 ч.1'!V2</f>
        <v>16082.5</v>
      </c>
      <c r="K12" s="391"/>
      <c r="L12" s="390"/>
      <c r="M12" s="409">
        <f t="shared" si="0"/>
        <v>0</v>
      </c>
      <c r="N12" s="409"/>
    </row>
    <row r="13" spans="1:14" ht="45.75" customHeight="1" thickBot="1" x14ac:dyDescent="0.3">
      <c r="A13" s="413" t="s">
        <v>51</v>
      </c>
      <c r="B13" s="414"/>
      <c r="C13" s="415"/>
      <c r="D13" s="409">
        <f>'Ед. поставщик п.5 ч.1'!H2</f>
        <v>1498552.7000000002</v>
      </c>
      <c r="E13" s="409"/>
      <c r="F13" s="409"/>
      <c r="G13" s="409">
        <f>D13</f>
        <v>1498552.7000000002</v>
      </c>
      <c r="H13" s="409"/>
      <c r="I13" s="409"/>
      <c r="J13" s="389">
        <f>'Ед. поставщик п.5 ч.1'!V2</f>
        <v>24261.599999999999</v>
      </c>
      <c r="K13" s="391"/>
      <c r="L13" s="390"/>
      <c r="M13" s="409">
        <f t="shared" si="0"/>
        <v>0</v>
      </c>
      <c r="N13" s="409"/>
    </row>
    <row r="14" spans="1:14" ht="45.75" customHeight="1" thickBot="1" x14ac:dyDescent="0.3">
      <c r="A14" s="433" t="s">
        <v>52</v>
      </c>
      <c r="B14" s="434"/>
      <c r="C14" s="435"/>
      <c r="D14" s="389">
        <f>'Ед.поставщик за искл. п.4,5 ч.1'!G2</f>
        <v>587944.5</v>
      </c>
      <c r="E14" s="391"/>
      <c r="F14" s="390"/>
      <c r="G14" s="389">
        <f>D14</f>
        <v>587944.5</v>
      </c>
      <c r="H14" s="391"/>
      <c r="I14" s="390"/>
      <c r="J14" s="389">
        <f>'Ед.поставщик за искл. п.4,5 ч.1'!T2</f>
        <v>0</v>
      </c>
      <c r="K14" s="391"/>
      <c r="L14" s="390"/>
      <c r="M14" s="409">
        <f t="shared" si="0"/>
        <v>0</v>
      </c>
      <c r="N14" s="409"/>
    </row>
    <row r="15" spans="1:14" ht="21" thickBot="1" x14ac:dyDescent="0.3">
      <c r="A15" s="410" t="s">
        <v>146</v>
      </c>
      <c r="B15" s="411"/>
      <c r="C15" s="412"/>
      <c r="D15" s="409">
        <f>SUM(D9:D14)</f>
        <v>3484011.0500000003</v>
      </c>
      <c r="E15" s="409"/>
      <c r="F15" s="409"/>
      <c r="G15" s="389">
        <f>SUM(G9:G14)</f>
        <v>3135992.1300000004</v>
      </c>
      <c r="H15" s="391"/>
      <c r="I15" s="390"/>
      <c r="J15" s="389">
        <f>SUM(J9:J14)</f>
        <v>45697.58</v>
      </c>
      <c r="K15" s="391"/>
      <c r="L15" s="390"/>
      <c r="M15" s="409">
        <f t="shared" si="0"/>
        <v>348018.91999999993</v>
      </c>
      <c r="N15" s="409"/>
    </row>
    <row r="17" spans="1:12" x14ac:dyDescent="0.25">
      <c r="G17" s="8">
        <v>64</v>
      </c>
    </row>
    <row r="18" spans="1:12" ht="15.75" thickBot="1" x14ac:dyDescent="0.3"/>
    <row r="19" spans="1:12" ht="23.25" customHeight="1" x14ac:dyDescent="0.25">
      <c r="A19" s="421" t="s">
        <v>35</v>
      </c>
      <c r="B19" s="422"/>
      <c r="C19" s="423"/>
      <c r="D19" s="427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2078962.8839999998</v>
      </c>
      <c r="E19" s="428"/>
      <c r="F19" s="428"/>
      <c r="G19" s="429"/>
      <c r="I19" s="15"/>
      <c r="J19" s="15"/>
      <c r="K19" s="15"/>
      <c r="L19" s="15"/>
    </row>
    <row r="20" spans="1:12" ht="24" customHeight="1" thickBot="1" x14ac:dyDescent="0.3">
      <c r="A20" s="424"/>
      <c r="B20" s="425"/>
      <c r="C20" s="426"/>
      <c r="D20" s="430"/>
      <c r="E20" s="431"/>
      <c r="F20" s="431"/>
      <c r="G20" s="432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21"/>
  <sheetViews>
    <sheetView showGridLines="0" topLeftCell="D1" zoomScale="50" zoomScaleNormal="50" workbookViewId="0">
      <pane ySplit="8" topLeftCell="A24" activePane="bottomLeft" state="frozen"/>
      <selection activeCell="I1" sqref="I1"/>
      <selection pane="bottomLeft" activeCell="P17" sqref="P17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297634.91000000003</v>
      </c>
      <c r="K2" s="452"/>
      <c r="L2" s="452"/>
      <c r="M2" s="452"/>
      <c r="N2" s="453" t="s">
        <v>137</v>
      </c>
      <c r="O2" s="455"/>
      <c r="P2" s="66">
        <f>SUM(P9:P9999)</f>
        <v>108996.5</v>
      </c>
      <c r="R2" s="65"/>
      <c r="S2" s="453" t="s">
        <v>45</v>
      </c>
      <c r="T2" s="454"/>
      <c r="U2" s="455"/>
      <c r="V2" s="67">
        <f>SUM(V9:V9999)</f>
        <v>16082.5</v>
      </c>
    </row>
    <row r="3" spans="1:24" x14ac:dyDescent="0.25">
      <c r="A3" s="452"/>
      <c r="B3" s="452"/>
      <c r="C3" s="452"/>
      <c r="D3" s="452"/>
      <c r="E3" s="452"/>
      <c r="N3" s="65"/>
    </row>
    <row r="4" spans="1:24" ht="39.950000000000003" customHeight="1" x14ac:dyDescent="0.25">
      <c r="J4" s="456"/>
      <c r="K4" s="456"/>
      <c r="M4" s="456"/>
      <c r="N4" s="456"/>
      <c r="O4" s="456"/>
      <c r="P4" s="456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448">
        <v>1</v>
      </c>
      <c r="B9" s="438" t="s">
        <v>56</v>
      </c>
      <c r="C9" s="438" t="s">
        <v>147</v>
      </c>
      <c r="D9" s="438" t="s">
        <v>158</v>
      </c>
      <c r="E9" s="440" t="s">
        <v>190</v>
      </c>
      <c r="F9" s="442">
        <v>45288</v>
      </c>
      <c r="G9" s="438" t="s">
        <v>215</v>
      </c>
      <c r="H9" s="444">
        <v>70000</v>
      </c>
      <c r="I9" s="446">
        <f>IF(X9 = 2, H9 + SUM(S9:S10) - SUM(T9:T10) - SUM(P9:P10) - V9,0)</f>
        <v>0</v>
      </c>
      <c r="J9" s="438" t="s">
        <v>193</v>
      </c>
      <c r="K9" s="438" t="s">
        <v>191</v>
      </c>
      <c r="L9" s="438" t="s">
        <v>147</v>
      </c>
      <c r="M9" s="438" t="s">
        <v>192</v>
      </c>
      <c r="N9" s="169">
        <v>45322</v>
      </c>
      <c r="O9" s="442" t="s">
        <v>214</v>
      </c>
      <c r="P9" s="162">
        <v>21567</v>
      </c>
      <c r="Q9" s="163">
        <v>45328</v>
      </c>
      <c r="R9" s="164"/>
      <c r="S9" s="165"/>
      <c r="T9" s="165"/>
      <c r="U9" s="444" t="s">
        <v>236</v>
      </c>
      <c r="V9" s="450">
        <v>16082.5</v>
      </c>
      <c r="W9" s="436"/>
      <c r="X9" s="14">
        <v>2</v>
      </c>
    </row>
    <row r="10" spans="1:24" s="110" customFormat="1" x14ac:dyDescent="0.25">
      <c r="A10" s="449"/>
      <c r="B10" s="439"/>
      <c r="C10" s="439"/>
      <c r="D10" s="439"/>
      <c r="E10" s="441"/>
      <c r="F10" s="443"/>
      <c r="G10" s="439"/>
      <c r="H10" s="445"/>
      <c r="I10" s="447"/>
      <c r="J10" s="439"/>
      <c r="K10" s="439"/>
      <c r="L10" s="439"/>
      <c r="M10" s="439"/>
      <c r="N10" s="170">
        <v>45351</v>
      </c>
      <c r="O10" s="443"/>
      <c r="P10" s="218">
        <v>32350.5</v>
      </c>
      <c r="Q10" s="167">
        <v>45362</v>
      </c>
      <c r="R10" s="168"/>
      <c r="S10" s="166"/>
      <c r="T10" s="166"/>
      <c r="U10" s="445"/>
      <c r="V10" s="451"/>
      <c r="W10" s="437"/>
      <c r="X10" s="110">
        <v>2</v>
      </c>
    </row>
    <row r="11" spans="1:24" s="80" customFormat="1" ht="90" customHeight="1" x14ac:dyDescent="0.25">
      <c r="A11" s="248">
        <v>2</v>
      </c>
      <c r="B11" s="244" t="s">
        <v>56</v>
      </c>
      <c r="C11" s="244" t="s">
        <v>147</v>
      </c>
      <c r="D11" s="244" t="s">
        <v>158</v>
      </c>
      <c r="E11" s="314">
        <v>1</v>
      </c>
      <c r="F11" s="250">
        <v>45383</v>
      </c>
      <c r="G11" s="244" t="s">
        <v>239</v>
      </c>
      <c r="H11" s="246">
        <v>15000</v>
      </c>
      <c r="I11" s="243">
        <f>IF(X11 = 72, H11 + SUM(S11:S11) - SUM(T11:T11) - SUM(P11:P11) - V11,0)</f>
        <v>11500</v>
      </c>
      <c r="J11" s="244" t="s">
        <v>238</v>
      </c>
      <c r="K11" s="244" t="s">
        <v>237</v>
      </c>
      <c r="L11" s="244" t="s">
        <v>147</v>
      </c>
      <c r="M11" s="244" t="s">
        <v>240</v>
      </c>
      <c r="N11" s="250">
        <v>45383</v>
      </c>
      <c r="O11" s="250" t="s">
        <v>241</v>
      </c>
      <c r="P11" s="335">
        <v>3500</v>
      </c>
      <c r="Q11" s="245">
        <v>45385</v>
      </c>
      <c r="R11" s="244"/>
      <c r="S11" s="246"/>
      <c r="T11" s="246"/>
      <c r="U11" s="246"/>
      <c r="V11" s="249"/>
      <c r="W11" s="247"/>
      <c r="X11" s="80">
        <v>72</v>
      </c>
    </row>
    <row r="12" spans="1:24" s="80" customFormat="1" ht="93.75" x14ac:dyDescent="0.25">
      <c r="A12" s="256">
        <v>3</v>
      </c>
      <c r="B12" s="252" t="s">
        <v>56</v>
      </c>
      <c r="C12" s="252" t="s">
        <v>147</v>
      </c>
      <c r="D12" s="274" t="s">
        <v>158</v>
      </c>
      <c r="E12" s="314">
        <v>25</v>
      </c>
      <c r="F12" s="257">
        <v>45392</v>
      </c>
      <c r="G12" s="252" t="s">
        <v>272</v>
      </c>
      <c r="H12" s="254">
        <v>1585</v>
      </c>
      <c r="I12" s="251">
        <f>IF(X12 = 73, H12 + SUM(S12:S12) - SUM(T12:T12) - SUM(P12:P12) - V12,0)</f>
        <v>0</v>
      </c>
      <c r="J12" s="252" t="s">
        <v>242</v>
      </c>
      <c r="K12" s="252" t="s">
        <v>243</v>
      </c>
      <c r="L12" s="252" t="s">
        <v>147</v>
      </c>
      <c r="M12" s="252" t="s">
        <v>244</v>
      </c>
      <c r="N12" s="257">
        <v>45407</v>
      </c>
      <c r="O12" s="273" t="s">
        <v>214</v>
      </c>
      <c r="P12" s="335">
        <v>1585</v>
      </c>
      <c r="Q12" s="253">
        <v>45407</v>
      </c>
      <c r="R12" s="252"/>
      <c r="S12" s="254"/>
      <c r="T12" s="254"/>
      <c r="U12" s="254"/>
      <c r="V12" s="249"/>
      <c r="W12" s="255"/>
      <c r="X12" s="80">
        <v>73</v>
      </c>
    </row>
    <row r="13" spans="1:24" s="80" customFormat="1" ht="93.75" x14ac:dyDescent="0.25">
      <c r="A13" s="298">
        <v>4</v>
      </c>
      <c r="B13" s="297" t="s">
        <v>56</v>
      </c>
      <c r="C13" s="300" t="s">
        <v>147</v>
      </c>
      <c r="D13" s="297" t="s">
        <v>158</v>
      </c>
      <c r="E13" s="314" t="s">
        <v>250</v>
      </c>
      <c r="F13" s="313">
        <v>45351</v>
      </c>
      <c r="G13" s="300" t="s">
        <v>215</v>
      </c>
      <c r="H13" s="299">
        <v>183649.91</v>
      </c>
      <c r="I13" s="303">
        <f>IF(X13 = 74, H13 + SUM(S13:S13) - SUM(T13:T13) - SUM(P13:P13) - V13,0)</f>
        <v>161055.91</v>
      </c>
      <c r="J13" s="300" t="s">
        <v>193</v>
      </c>
      <c r="K13" s="300" t="s">
        <v>191</v>
      </c>
      <c r="L13" s="300" t="s">
        <v>147</v>
      </c>
      <c r="M13" s="300" t="s">
        <v>251</v>
      </c>
      <c r="N13" s="313">
        <v>45382</v>
      </c>
      <c r="O13" s="313" t="s">
        <v>214</v>
      </c>
      <c r="P13" s="336">
        <v>22594</v>
      </c>
      <c r="Q13" s="302">
        <v>45390</v>
      </c>
      <c r="R13" s="300"/>
      <c r="S13" s="299"/>
      <c r="T13" s="299"/>
      <c r="U13" s="299"/>
      <c r="V13" s="312"/>
      <c r="W13" s="301"/>
      <c r="X13" s="80">
        <v>74</v>
      </c>
    </row>
    <row r="14" spans="1:24" s="80" customFormat="1" ht="75" x14ac:dyDescent="0.25">
      <c r="A14" s="298">
        <v>5</v>
      </c>
      <c r="B14" s="297" t="s">
        <v>56</v>
      </c>
      <c r="C14" s="300" t="s">
        <v>147</v>
      </c>
      <c r="D14" s="297" t="s">
        <v>158</v>
      </c>
      <c r="E14" s="315">
        <v>1021</v>
      </c>
      <c r="F14" s="313">
        <v>45400</v>
      </c>
      <c r="G14" s="300" t="s">
        <v>252</v>
      </c>
      <c r="H14" s="299">
        <v>3000</v>
      </c>
      <c r="I14" s="303">
        <f>IF(X14 = 75, H14 + SUM(S14:S14) - SUM(T14:T14) - SUM(P14:P14) - V14,0)</f>
        <v>0</v>
      </c>
      <c r="J14" s="300" t="s">
        <v>253</v>
      </c>
      <c r="K14" s="300" t="s">
        <v>254</v>
      </c>
      <c r="L14" s="300" t="s">
        <v>147</v>
      </c>
      <c r="M14" s="300" t="s">
        <v>257</v>
      </c>
      <c r="N14" s="313">
        <v>45400</v>
      </c>
      <c r="O14" s="313" t="s">
        <v>271</v>
      </c>
      <c r="P14" s="336">
        <v>3000</v>
      </c>
      <c r="Q14" s="302">
        <v>45406</v>
      </c>
      <c r="R14" s="300"/>
      <c r="S14" s="299"/>
      <c r="T14" s="299"/>
      <c r="U14" s="299"/>
      <c r="V14" s="312"/>
      <c r="W14" s="301"/>
      <c r="X14" s="80">
        <v>75</v>
      </c>
    </row>
    <row r="15" spans="1:24" s="80" customFormat="1" ht="75" x14ac:dyDescent="0.25">
      <c r="A15" s="311">
        <v>6</v>
      </c>
      <c r="B15" s="309" t="s">
        <v>56</v>
      </c>
      <c r="C15" s="308" t="s">
        <v>147</v>
      </c>
      <c r="D15" s="309" t="s">
        <v>158</v>
      </c>
      <c r="E15" s="315">
        <v>102</v>
      </c>
      <c r="F15" s="316">
        <v>45399</v>
      </c>
      <c r="G15" s="308" t="s">
        <v>255</v>
      </c>
      <c r="H15" s="306">
        <v>4500</v>
      </c>
      <c r="I15" s="307">
        <f>IF(X15 = 76, H15 + SUM(S15:S15) - SUM(T15:T15) - SUM(P15:P15) - V15,0)</f>
        <v>0</v>
      </c>
      <c r="J15" s="308" t="s">
        <v>256</v>
      </c>
      <c r="K15" s="308" t="s">
        <v>182</v>
      </c>
      <c r="L15" s="308" t="s">
        <v>147</v>
      </c>
      <c r="M15" s="308" t="s">
        <v>258</v>
      </c>
      <c r="N15" s="316">
        <v>45399</v>
      </c>
      <c r="O15" s="313" t="s">
        <v>269</v>
      </c>
      <c r="P15" s="336">
        <v>4500</v>
      </c>
      <c r="Q15" s="305">
        <v>45405</v>
      </c>
      <c r="R15" s="308"/>
      <c r="S15" s="306"/>
      <c r="T15" s="306"/>
      <c r="U15" s="306"/>
      <c r="V15" s="312"/>
      <c r="W15" s="310"/>
      <c r="X15" s="80">
        <v>76</v>
      </c>
    </row>
    <row r="16" spans="1:24" s="80" customFormat="1" ht="75" x14ac:dyDescent="0.25">
      <c r="A16" s="311">
        <v>7</v>
      </c>
      <c r="B16" s="309" t="s">
        <v>56</v>
      </c>
      <c r="C16" s="308" t="s">
        <v>147</v>
      </c>
      <c r="D16" s="309" t="s">
        <v>158</v>
      </c>
      <c r="E16" s="315">
        <v>3086</v>
      </c>
      <c r="F16" s="316">
        <v>45400</v>
      </c>
      <c r="G16" s="308" t="s">
        <v>259</v>
      </c>
      <c r="H16" s="306">
        <v>8000</v>
      </c>
      <c r="I16" s="307">
        <f>IF(X16 = 77, H16 + SUM(S16:S16) - SUM(T16:T16) - SUM(P16:P16) - V16,0)</f>
        <v>0</v>
      </c>
      <c r="J16" s="308" t="s">
        <v>260</v>
      </c>
      <c r="K16" s="308" t="s">
        <v>261</v>
      </c>
      <c r="L16" s="308" t="s">
        <v>147</v>
      </c>
      <c r="M16" s="308" t="s">
        <v>262</v>
      </c>
      <c r="N16" s="316">
        <v>45400</v>
      </c>
      <c r="O16" s="316" t="s">
        <v>269</v>
      </c>
      <c r="P16" s="336">
        <v>8000</v>
      </c>
      <c r="Q16" s="305">
        <v>45401</v>
      </c>
      <c r="R16" s="308"/>
      <c r="S16" s="306"/>
      <c r="T16" s="306"/>
      <c r="U16" s="306"/>
      <c r="V16" s="312"/>
      <c r="W16" s="310"/>
      <c r="X16" s="80">
        <v>77</v>
      </c>
    </row>
    <row r="17" spans="1:24" s="80" customFormat="1" ht="75" x14ac:dyDescent="0.25">
      <c r="A17" s="332">
        <v>8</v>
      </c>
      <c r="B17" s="326" t="s">
        <v>56</v>
      </c>
      <c r="C17" s="327" t="s">
        <v>147</v>
      </c>
      <c r="D17" s="326" t="s">
        <v>158</v>
      </c>
      <c r="E17" s="315">
        <v>52</v>
      </c>
      <c r="F17" s="346">
        <v>45400</v>
      </c>
      <c r="G17" s="327" t="s">
        <v>268</v>
      </c>
      <c r="H17" s="328">
        <v>8900</v>
      </c>
      <c r="I17" s="331">
        <f>IF(X17 = 78, H17 + SUM(S17:S17) - SUM(T17:T17) - SUM(P17:P17) - V17,0)</f>
        <v>0</v>
      </c>
      <c r="J17" s="327" t="s">
        <v>265</v>
      </c>
      <c r="K17" s="327" t="s">
        <v>266</v>
      </c>
      <c r="L17" s="327" t="s">
        <v>147</v>
      </c>
      <c r="M17" s="327" t="s">
        <v>267</v>
      </c>
      <c r="N17" s="346">
        <v>45400</v>
      </c>
      <c r="O17" s="338" t="s">
        <v>270</v>
      </c>
      <c r="P17" s="336">
        <v>8900</v>
      </c>
      <c r="Q17" s="330">
        <v>45405</v>
      </c>
      <c r="R17" s="327"/>
      <c r="S17" s="328"/>
      <c r="T17" s="328"/>
      <c r="U17" s="328"/>
      <c r="V17" s="312"/>
      <c r="W17" s="329"/>
      <c r="X17" s="80">
        <v>78</v>
      </c>
    </row>
    <row r="18" spans="1:24" s="80" customFormat="1" ht="56.25" x14ac:dyDescent="0.25">
      <c r="A18" s="332">
        <v>9</v>
      </c>
      <c r="B18" s="362" t="s">
        <v>56</v>
      </c>
      <c r="C18" s="327" t="s">
        <v>147</v>
      </c>
      <c r="D18" s="362" t="s">
        <v>158</v>
      </c>
      <c r="E18" s="315" t="s">
        <v>273</v>
      </c>
      <c r="F18" s="346">
        <v>45407</v>
      </c>
      <c r="G18" s="327" t="s">
        <v>274</v>
      </c>
      <c r="H18" s="328">
        <v>3000</v>
      </c>
      <c r="I18" s="331">
        <f>IF(X18 = 79, H18 + SUM(S18:S18) - SUM(T18:T18) - SUM(P18:P18) - V18,0)</f>
        <v>0</v>
      </c>
      <c r="J18" s="327" t="s">
        <v>275</v>
      </c>
      <c r="K18" s="327" t="s">
        <v>276</v>
      </c>
      <c r="L18" s="327" t="s">
        <v>147</v>
      </c>
      <c r="M18" s="327" t="s">
        <v>277</v>
      </c>
      <c r="N18" s="346">
        <v>45407</v>
      </c>
      <c r="O18" s="363" t="s">
        <v>278</v>
      </c>
      <c r="P18" s="328">
        <v>3000</v>
      </c>
      <c r="Q18" s="330"/>
      <c r="R18" s="327"/>
      <c r="S18" s="328"/>
      <c r="T18" s="328"/>
      <c r="U18" s="328"/>
      <c r="V18" s="312"/>
      <c r="W18" s="329"/>
      <c r="X18" s="80">
        <v>79</v>
      </c>
    </row>
    <row r="19" spans="1:24" s="80" customFormat="1" x14ac:dyDescent="0.25">
      <c r="A19" s="332">
        <v>10</v>
      </c>
      <c r="B19" s="327"/>
      <c r="C19" s="327"/>
      <c r="D19" s="327"/>
      <c r="E19" s="315"/>
      <c r="F19" s="346"/>
      <c r="G19" s="327"/>
      <c r="H19" s="328"/>
      <c r="I19" s="331">
        <f>IF(X19 = 80, H19 + SUM(S19:S19) - SUM(T19:T19) - SUM(P19:P19) - V19,0)</f>
        <v>0</v>
      </c>
      <c r="J19" s="327"/>
      <c r="K19" s="327"/>
      <c r="L19" s="327"/>
      <c r="M19" s="327"/>
      <c r="N19" s="346"/>
      <c r="O19" s="346"/>
      <c r="P19" s="328"/>
      <c r="Q19" s="330"/>
      <c r="R19" s="327"/>
      <c r="S19" s="328"/>
      <c r="T19" s="328"/>
      <c r="U19" s="328"/>
      <c r="V19" s="312"/>
      <c r="W19" s="329"/>
      <c r="X19" s="80">
        <v>80</v>
      </c>
    </row>
    <row r="20" spans="1:24" s="80" customFormat="1" x14ac:dyDescent="0.25">
      <c r="A20" s="344">
        <v>11</v>
      </c>
      <c r="B20" s="343"/>
      <c r="C20" s="343"/>
      <c r="D20" s="343"/>
      <c r="E20" s="315"/>
      <c r="F20" s="347"/>
      <c r="G20" s="343"/>
      <c r="H20" s="341"/>
      <c r="I20" s="342">
        <f>IF(X20 = 81, H20 + SUM(S20:S20) - SUM(T20:T20) - SUM(P20:P20) - V20,0)</f>
        <v>0</v>
      </c>
      <c r="J20" s="343"/>
      <c r="K20" s="343"/>
      <c r="L20" s="343"/>
      <c r="M20" s="343"/>
      <c r="N20" s="347"/>
      <c r="O20" s="347"/>
      <c r="P20" s="341"/>
      <c r="Q20" s="340"/>
      <c r="R20" s="343"/>
      <c r="S20" s="341"/>
      <c r="T20" s="341"/>
      <c r="U20" s="341"/>
      <c r="V20" s="312"/>
      <c r="W20" s="345"/>
      <c r="X20" s="80">
        <v>81</v>
      </c>
    </row>
    <row r="21" spans="1:24" x14ac:dyDescent="0.25">
      <c r="A21" s="101"/>
      <c r="B21" s="102"/>
      <c r="C21" s="102"/>
      <c r="D21" s="102"/>
      <c r="E21" s="314"/>
      <c r="F21" s="106"/>
      <c r="G21" s="102"/>
      <c r="H21" s="107"/>
      <c r="I21" s="108">
        <f>IF(X21 = 72, H21 + SUM(S21:S21) - SUM(T21:T21) - SUM(P21:P21) - V21,0)</f>
        <v>0</v>
      </c>
      <c r="J21" s="102"/>
      <c r="K21" s="102"/>
      <c r="L21" s="102"/>
      <c r="M21" s="102"/>
      <c r="N21" s="106"/>
      <c r="O21" s="106"/>
      <c r="P21" s="107"/>
      <c r="Q21" s="103"/>
      <c r="R21" s="105"/>
      <c r="S21" s="107"/>
      <c r="T21" s="107"/>
      <c r="U21" s="107"/>
      <c r="V21" s="104"/>
      <c r="W21" s="105"/>
      <c r="X21" s="2">
        <v>82</v>
      </c>
    </row>
  </sheetData>
  <sheetProtection password="EB34" sheet="1" objects="1" scenarios="1" formatCells="0" formatColumns="0" formatRows="0"/>
  <mergeCells count="24">
    <mergeCell ref="A3:E3"/>
    <mergeCell ref="S2:U2"/>
    <mergeCell ref="N2:O2"/>
    <mergeCell ref="J4:K4"/>
    <mergeCell ref="M4:N4"/>
    <mergeCell ref="O4:P4"/>
    <mergeCell ref="K2:M2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72"/>
  <sheetViews>
    <sheetView showGridLines="0" tabSelected="1" topLeftCell="F1" zoomScale="50" zoomScaleNormal="50" workbookViewId="0">
      <pane ySplit="8" topLeftCell="A42" activePane="bottomLeft" state="frozen"/>
      <selection pane="bottomLeft" activeCell="D67" sqref="D67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585" t="s">
        <v>24</v>
      </c>
      <c r="G2" s="586"/>
      <c r="H2" s="75">
        <f>SUM(H9:H9999)</f>
        <v>1498552.7000000002</v>
      </c>
      <c r="I2" s="65"/>
      <c r="N2" s="453" t="s">
        <v>137</v>
      </c>
      <c r="O2" s="455"/>
      <c r="P2" s="66">
        <f>SUM(P9:P9999)</f>
        <v>799645.82400000002</v>
      </c>
      <c r="R2" s="65"/>
      <c r="S2" s="453" t="s">
        <v>45</v>
      </c>
      <c r="T2" s="454"/>
      <c r="U2" s="455"/>
      <c r="V2" s="67">
        <f>SUM(V9:V9999)</f>
        <v>24261.599999999999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587">
        <v>1</v>
      </c>
      <c r="B9" s="549" t="s">
        <v>56</v>
      </c>
      <c r="C9" s="549" t="s">
        <v>147</v>
      </c>
      <c r="D9" s="549" t="s">
        <v>160</v>
      </c>
      <c r="E9" s="549" t="s">
        <v>195</v>
      </c>
      <c r="F9" s="552">
        <v>45289</v>
      </c>
      <c r="G9" s="555" t="s">
        <v>148</v>
      </c>
      <c r="H9" s="558">
        <v>186161.96</v>
      </c>
      <c r="I9" s="561">
        <f>IF(X9 = 1, H9 + SUM(S9:S15) - SUM(T9:T15) - SUM(P9:P15) - V9,0)</f>
        <v>56719.37999999999</v>
      </c>
      <c r="J9" s="564">
        <v>2308070396</v>
      </c>
      <c r="K9" s="567" t="s">
        <v>149</v>
      </c>
      <c r="L9" s="549" t="s">
        <v>147</v>
      </c>
      <c r="M9" s="549" t="s">
        <v>175</v>
      </c>
      <c r="N9" s="207">
        <v>45300</v>
      </c>
      <c r="O9" s="552" t="s">
        <v>159</v>
      </c>
      <c r="P9" s="195">
        <v>23384.94</v>
      </c>
      <c r="Q9" s="196">
        <v>45320</v>
      </c>
      <c r="R9" s="197"/>
      <c r="S9" s="198"/>
      <c r="T9" s="199"/>
      <c r="U9" s="558"/>
      <c r="V9" s="582"/>
      <c r="W9" s="546"/>
      <c r="X9" s="80">
        <v>1</v>
      </c>
    </row>
    <row r="10" spans="1:24" s="110" customFormat="1" x14ac:dyDescent="0.25">
      <c r="A10" s="588"/>
      <c r="B10" s="550"/>
      <c r="C10" s="550"/>
      <c r="D10" s="550"/>
      <c r="E10" s="550"/>
      <c r="F10" s="553"/>
      <c r="G10" s="556"/>
      <c r="H10" s="559"/>
      <c r="I10" s="562"/>
      <c r="J10" s="565"/>
      <c r="K10" s="568"/>
      <c r="L10" s="550"/>
      <c r="M10" s="550"/>
      <c r="N10" s="208">
        <v>45322</v>
      </c>
      <c r="O10" s="553"/>
      <c r="P10" s="200">
        <v>45807.29</v>
      </c>
      <c r="Q10" s="201">
        <v>45334</v>
      </c>
      <c r="R10" s="202"/>
      <c r="S10" s="203"/>
      <c r="T10" s="203"/>
      <c r="U10" s="559"/>
      <c r="V10" s="583"/>
      <c r="W10" s="547"/>
      <c r="X10" s="110">
        <v>1</v>
      </c>
    </row>
    <row r="11" spans="1:24" s="110" customFormat="1" x14ac:dyDescent="0.25">
      <c r="A11" s="588"/>
      <c r="B11" s="550"/>
      <c r="C11" s="550"/>
      <c r="D11" s="550"/>
      <c r="E11" s="550"/>
      <c r="F11" s="553"/>
      <c r="G11" s="556"/>
      <c r="H11" s="559"/>
      <c r="I11" s="562"/>
      <c r="J11" s="565"/>
      <c r="K11" s="568"/>
      <c r="L11" s="550"/>
      <c r="M11" s="550"/>
      <c r="N11" s="208">
        <v>45323</v>
      </c>
      <c r="O11" s="553"/>
      <c r="P11" s="200">
        <v>7936.09</v>
      </c>
      <c r="Q11" s="201">
        <v>45327</v>
      </c>
      <c r="R11" s="202"/>
      <c r="S11" s="203"/>
      <c r="T11" s="203"/>
      <c r="U11" s="559"/>
      <c r="V11" s="583"/>
      <c r="W11" s="547"/>
      <c r="X11" s="110">
        <v>1</v>
      </c>
    </row>
    <row r="12" spans="1:24" s="110" customFormat="1" x14ac:dyDescent="0.25">
      <c r="A12" s="588"/>
      <c r="B12" s="550"/>
      <c r="C12" s="550"/>
      <c r="D12" s="550"/>
      <c r="E12" s="550"/>
      <c r="F12" s="553"/>
      <c r="G12" s="556"/>
      <c r="H12" s="559"/>
      <c r="I12" s="562"/>
      <c r="J12" s="565"/>
      <c r="K12" s="568"/>
      <c r="L12" s="550"/>
      <c r="M12" s="550"/>
      <c r="N12" s="208">
        <v>45351</v>
      </c>
      <c r="O12" s="553"/>
      <c r="P12" s="200">
        <v>22190.18</v>
      </c>
      <c r="Q12" s="201">
        <v>45363</v>
      </c>
      <c r="R12" s="202"/>
      <c r="S12" s="203"/>
      <c r="T12" s="203"/>
      <c r="U12" s="559"/>
      <c r="V12" s="583"/>
      <c r="W12" s="547"/>
      <c r="X12" s="110">
        <v>1</v>
      </c>
    </row>
    <row r="13" spans="1:24" s="110" customFormat="1" x14ac:dyDescent="0.25">
      <c r="A13" s="588"/>
      <c r="B13" s="550"/>
      <c r="C13" s="550"/>
      <c r="D13" s="550"/>
      <c r="E13" s="550"/>
      <c r="F13" s="553"/>
      <c r="G13" s="556"/>
      <c r="H13" s="559"/>
      <c r="I13" s="562"/>
      <c r="J13" s="565"/>
      <c r="K13" s="568"/>
      <c r="L13" s="550"/>
      <c r="M13" s="550"/>
      <c r="N13" s="208">
        <v>45352</v>
      </c>
      <c r="O13" s="553"/>
      <c r="P13" s="200">
        <v>5957.8</v>
      </c>
      <c r="Q13" s="201">
        <v>45363</v>
      </c>
      <c r="R13" s="202"/>
      <c r="S13" s="203"/>
      <c r="T13" s="203"/>
      <c r="U13" s="559"/>
      <c r="V13" s="583"/>
      <c r="W13" s="547"/>
      <c r="X13" s="110">
        <v>1</v>
      </c>
    </row>
    <row r="14" spans="1:24" s="110" customFormat="1" x14ac:dyDescent="0.25">
      <c r="A14" s="588"/>
      <c r="B14" s="550"/>
      <c r="C14" s="550"/>
      <c r="D14" s="550"/>
      <c r="E14" s="550"/>
      <c r="F14" s="553"/>
      <c r="G14" s="556"/>
      <c r="H14" s="559"/>
      <c r="I14" s="562"/>
      <c r="J14" s="565"/>
      <c r="K14" s="568"/>
      <c r="L14" s="550"/>
      <c r="M14" s="550"/>
      <c r="N14" s="208">
        <v>45382</v>
      </c>
      <c r="O14" s="553"/>
      <c r="P14" s="200">
        <v>16667.91</v>
      </c>
      <c r="Q14" s="201">
        <v>45393</v>
      </c>
      <c r="R14" s="202"/>
      <c r="S14" s="203"/>
      <c r="T14" s="203"/>
      <c r="U14" s="559"/>
      <c r="V14" s="583"/>
      <c r="W14" s="547"/>
      <c r="X14" s="110">
        <v>1</v>
      </c>
    </row>
    <row r="15" spans="1:24" s="110" customFormat="1" x14ac:dyDescent="0.25">
      <c r="A15" s="589"/>
      <c r="B15" s="551"/>
      <c r="C15" s="551"/>
      <c r="D15" s="551"/>
      <c r="E15" s="551"/>
      <c r="F15" s="554"/>
      <c r="G15" s="557"/>
      <c r="H15" s="560"/>
      <c r="I15" s="563"/>
      <c r="J15" s="566"/>
      <c r="K15" s="569"/>
      <c r="L15" s="551"/>
      <c r="M15" s="551"/>
      <c r="N15" s="209">
        <v>45383</v>
      </c>
      <c r="O15" s="554"/>
      <c r="P15" s="334">
        <v>7498.37</v>
      </c>
      <c r="Q15" s="205">
        <v>45385</v>
      </c>
      <c r="R15" s="206"/>
      <c r="S15" s="204"/>
      <c r="T15" s="204"/>
      <c r="U15" s="560"/>
      <c r="V15" s="584"/>
      <c r="W15" s="548"/>
      <c r="X15" s="110">
        <v>1</v>
      </c>
    </row>
    <row r="16" spans="1:24" s="80" customFormat="1" ht="395.45" customHeight="1" x14ac:dyDescent="0.25">
      <c r="A16" s="656">
        <v>2</v>
      </c>
      <c r="B16" s="629" t="s">
        <v>56</v>
      </c>
      <c r="C16" s="629" t="s">
        <v>147</v>
      </c>
      <c r="D16" s="629" t="s">
        <v>160</v>
      </c>
      <c r="E16" s="629" t="s">
        <v>150</v>
      </c>
      <c r="F16" s="638">
        <v>45289</v>
      </c>
      <c r="G16" s="641" t="s">
        <v>151</v>
      </c>
      <c r="H16" s="644">
        <v>600000</v>
      </c>
      <c r="I16" s="647">
        <f>IF(X16 = 2, H16 + SUM(S16:S28) - SUM(T16:T28) - SUM(P16:P28) - V16,0)</f>
        <v>90236.580000000075</v>
      </c>
      <c r="J16" s="650">
        <v>2308119595</v>
      </c>
      <c r="K16" s="653" t="s">
        <v>152</v>
      </c>
      <c r="L16" s="629" t="s">
        <v>147</v>
      </c>
      <c r="M16" s="629" t="s">
        <v>175</v>
      </c>
      <c r="N16" s="270">
        <v>45292</v>
      </c>
      <c r="O16" s="638" t="s">
        <v>153</v>
      </c>
      <c r="P16" s="258">
        <v>19127.439999999999</v>
      </c>
      <c r="Q16" s="259">
        <v>45309</v>
      </c>
      <c r="R16" s="260"/>
      <c r="S16" s="261"/>
      <c r="T16" s="262"/>
      <c r="U16" s="626"/>
      <c r="V16" s="632"/>
      <c r="W16" s="635"/>
      <c r="X16" s="80">
        <v>2</v>
      </c>
    </row>
    <row r="17" spans="1:24" s="110" customFormat="1" x14ac:dyDescent="0.25">
      <c r="A17" s="657"/>
      <c r="B17" s="630"/>
      <c r="C17" s="630"/>
      <c r="D17" s="630"/>
      <c r="E17" s="630"/>
      <c r="F17" s="639"/>
      <c r="G17" s="642"/>
      <c r="H17" s="645"/>
      <c r="I17" s="648"/>
      <c r="J17" s="651"/>
      <c r="K17" s="654"/>
      <c r="L17" s="630"/>
      <c r="M17" s="630"/>
      <c r="N17" s="271">
        <v>45292</v>
      </c>
      <c r="O17" s="639"/>
      <c r="P17" s="263">
        <v>58498.75</v>
      </c>
      <c r="Q17" s="264">
        <v>45309</v>
      </c>
      <c r="R17" s="265"/>
      <c r="S17" s="266"/>
      <c r="T17" s="266"/>
      <c r="U17" s="627"/>
      <c r="V17" s="633"/>
      <c r="W17" s="636"/>
      <c r="X17" s="110">
        <v>2</v>
      </c>
    </row>
    <row r="18" spans="1:24" s="110" customFormat="1" x14ac:dyDescent="0.25">
      <c r="A18" s="657"/>
      <c r="B18" s="630"/>
      <c r="C18" s="630"/>
      <c r="D18" s="630"/>
      <c r="E18" s="630"/>
      <c r="F18" s="639"/>
      <c r="G18" s="642"/>
      <c r="H18" s="645"/>
      <c r="I18" s="648"/>
      <c r="J18" s="651"/>
      <c r="K18" s="654"/>
      <c r="L18" s="630"/>
      <c r="M18" s="630"/>
      <c r="N18" s="271">
        <v>45322</v>
      </c>
      <c r="O18" s="639"/>
      <c r="P18" s="263">
        <v>64640.95</v>
      </c>
      <c r="Q18" s="264">
        <v>45337</v>
      </c>
      <c r="R18" s="265"/>
      <c r="S18" s="266"/>
      <c r="T18" s="266"/>
      <c r="U18" s="627"/>
      <c r="V18" s="633"/>
      <c r="W18" s="636"/>
      <c r="X18" s="110">
        <v>2</v>
      </c>
    </row>
    <row r="19" spans="1:24" s="110" customFormat="1" x14ac:dyDescent="0.25">
      <c r="A19" s="657"/>
      <c r="B19" s="630"/>
      <c r="C19" s="630"/>
      <c r="D19" s="630"/>
      <c r="E19" s="630"/>
      <c r="F19" s="639"/>
      <c r="G19" s="642"/>
      <c r="H19" s="645"/>
      <c r="I19" s="648"/>
      <c r="J19" s="651"/>
      <c r="K19" s="654"/>
      <c r="L19" s="630"/>
      <c r="M19" s="630"/>
      <c r="N19" s="271">
        <v>45323</v>
      </c>
      <c r="O19" s="639"/>
      <c r="P19" s="263">
        <v>43874.06</v>
      </c>
      <c r="Q19" s="264">
        <v>45323</v>
      </c>
      <c r="R19" s="265"/>
      <c r="S19" s="266"/>
      <c r="T19" s="266"/>
      <c r="U19" s="627"/>
      <c r="V19" s="633"/>
      <c r="W19" s="636"/>
      <c r="X19" s="110">
        <v>2</v>
      </c>
    </row>
    <row r="20" spans="1:24" s="110" customFormat="1" x14ac:dyDescent="0.25">
      <c r="A20" s="657"/>
      <c r="B20" s="630"/>
      <c r="C20" s="630"/>
      <c r="D20" s="630"/>
      <c r="E20" s="630"/>
      <c r="F20" s="639"/>
      <c r="G20" s="642"/>
      <c r="H20" s="645"/>
      <c r="I20" s="648"/>
      <c r="J20" s="651"/>
      <c r="K20" s="654"/>
      <c r="L20" s="630"/>
      <c r="M20" s="630"/>
      <c r="N20" s="271">
        <v>45323</v>
      </c>
      <c r="O20" s="639"/>
      <c r="P20" s="263">
        <v>62638.09</v>
      </c>
      <c r="Q20" s="264">
        <v>45337</v>
      </c>
      <c r="R20" s="265"/>
      <c r="S20" s="266"/>
      <c r="T20" s="266"/>
      <c r="U20" s="627"/>
      <c r="V20" s="633"/>
      <c r="W20" s="636"/>
      <c r="X20" s="110">
        <v>2</v>
      </c>
    </row>
    <row r="21" spans="1:24" s="110" customFormat="1" x14ac:dyDescent="0.25">
      <c r="A21" s="657"/>
      <c r="B21" s="630"/>
      <c r="C21" s="630"/>
      <c r="D21" s="630"/>
      <c r="E21" s="630"/>
      <c r="F21" s="639"/>
      <c r="G21" s="642"/>
      <c r="H21" s="645"/>
      <c r="I21" s="648"/>
      <c r="J21" s="651"/>
      <c r="K21" s="654"/>
      <c r="L21" s="630"/>
      <c r="M21" s="630"/>
      <c r="N21" s="271">
        <v>45351</v>
      </c>
      <c r="O21" s="639"/>
      <c r="P21" s="263">
        <v>27216.2</v>
      </c>
      <c r="Q21" s="264">
        <v>45365</v>
      </c>
      <c r="R21" s="265"/>
      <c r="S21" s="266"/>
      <c r="T21" s="266"/>
      <c r="U21" s="627"/>
      <c r="V21" s="633"/>
      <c r="W21" s="636"/>
      <c r="X21" s="110">
        <v>2</v>
      </c>
    </row>
    <row r="22" spans="1:24" s="110" customFormat="1" x14ac:dyDescent="0.25">
      <c r="A22" s="657"/>
      <c r="B22" s="630"/>
      <c r="C22" s="630"/>
      <c r="D22" s="630"/>
      <c r="E22" s="630"/>
      <c r="F22" s="639"/>
      <c r="G22" s="642"/>
      <c r="H22" s="645"/>
      <c r="I22" s="648"/>
      <c r="J22" s="651"/>
      <c r="K22" s="654"/>
      <c r="L22" s="630"/>
      <c r="M22" s="630"/>
      <c r="N22" s="271">
        <v>45352</v>
      </c>
      <c r="O22" s="639"/>
      <c r="P22" s="263">
        <v>46978.57</v>
      </c>
      <c r="Q22" s="264">
        <v>45352</v>
      </c>
      <c r="R22" s="265"/>
      <c r="S22" s="266"/>
      <c r="T22" s="266"/>
      <c r="U22" s="627"/>
      <c r="V22" s="633"/>
      <c r="W22" s="636"/>
      <c r="X22" s="110">
        <v>2</v>
      </c>
    </row>
    <row r="23" spans="1:24" s="110" customFormat="1" x14ac:dyDescent="0.25">
      <c r="A23" s="657"/>
      <c r="B23" s="630"/>
      <c r="C23" s="630"/>
      <c r="D23" s="630"/>
      <c r="E23" s="630"/>
      <c r="F23" s="639"/>
      <c r="G23" s="642"/>
      <c r="H23" s="645"/>
      <c r="I23" s="648"/>
      <c r="J23" s="651"/>
      <c r="K23" s="654"/>
      <c r="L23" s="630"/>
      <c r="M23" s="630"/>
      <c r="N23" s="271">
        <v>45352</v>
      </c>
      <c r="O23" s="639"/>
      <c r="P23" s="263">
        <v>58728.04</v>
      </c>
      <c r="Q23" s="264">
        <v>45365</v>
      </c>
      <c r="R23" s="265"/>
      <c r="S23" s="266"/>
      <c r="T23" s="266"/>
      <c r="U23" s="627"/>
      <c r="V23" s="633"/>
      <c r="W23" s="636"/>
      <c r="X23" s="110">
        <v>2</v>
      </c>
    </row>
    <row r="24" spans="1:24" s="110" customFormat="1" x14ac:dyDescent="0.25">
      <c r="A24" s="657"/>
      <c r="B24" s="630"/>
      <c r="C24" s="630"/>
      <c r="D24" s="630"/>
      <c r="E24" s="630"/>
      <c r="F24" s="639"/>
      <c r="G24" s="642"/>
      <c r="H24" s="645"/>
      <c r="I24" s="648"/>
      <c r="J24" s="651"/>
      <c r="K24" s="654"/>
      <c r="L24" s="630"/>
      <c r="M24" s="630"/>
      <c r="N24" s="271">
        <v>45382</v>
      </c>
      <c r="O24" s="639"/>
      <c r="P24" s="263">
        <v>1422.68</v>
      </c>
      <c r="Q24" s="264">
        <v>45398</v>
      </c>
      <c r="R24" s="265"/>
      <c r="S24" s="266"/>
      <c r="T24" s="266"/>
      <c r="U24" s="627"/>
      <c r="V24" s="633"/>
      <c r="W24" s="636"/>
      <c r="X24" s="110">
        <v>2</v>
      </c>
    </row>
    <row r="25" spans="1:24" s="110" customFormat="1" x14ac:dyDescent="0.25">
      <c r="A25" s="657"/>
      <c r="B25" s="630"/>
      <c r="C25" s="630"/>
      <c r="D25" s="630"/>
      <c r="E25" s="630"/>
      <c r="F25" s="639"/>
      <c r="G25" s="642"/>
      <c r="H25" s="645"/>
      <c r="I25" s="648"/>
      <c r="J25" s="651"/>
      <c r="K25" s="654"/>
      <c r="L25" s="630"/>
      <c r="M25" s="630"/>
      <c r="N25" s="271">
        <v>45383</v>
      </c>
      <c r="O25" s="639"/>
      <c r="P25" s="263">
        <v>44046.02</v>
      </c>
      <c r="Q25" s="264">
        <v>45383</v>
      </c>
      <c r="R25" s="265"/>
      <c r="S25" s="266"/>
      <c r="T25" s="266"/>
      <c r="U25" s="627"/>
      <c r="V25" s="633"/>
      <c r="W25" s="636"/>
      <c r="X25" s="110">
        <v>2</v>
      </c>
    </row>
    <row r="26" spans="1:24" s="110" customFormat="1" x14ac:dyDescent="0.25">
      <c r="A26" s="657"/>
      <c r="B26" s="630"/>
      <c r="C26" s="630"/>
      <c r="D26" s="630"/>
      <c r="E26" s="630"/>
      <c r="F26" s="639"/>
      <c r="G26" s="642"/>
      <c r="H26" s="645"/>
      <c r="I26" s="648"/>
      <c r="J26" s="651"/>
      <c r="K26" s="654"/>
      <c r="L26" s="630"/>
      <c r="M26" s="630"/>
      <c r="N26" s="271">
        <v>45383</v>
      </c>
      <c r="O26" s="639"/>
      <c r="P26" s="263">
        <v>47195.78</v>
      </c>
      <c r="Q26" s="264">
        <v>45398</v>
      </c>
      <c r="R26" s="265"/>
      <c r="S26" s="266"/>
      <c r="T26" s="266"/>
      <c r="U26" s="627"/>
      <c r="V26" s="633"/>
      <c r="W26" s="636"/>
      <c r="X26" s="110">
        <v>2</v>
      </c>
    </row>
    <row r="27" spans="1:24" s="110" customFormat="1" x14ac:dyDescent="0.25">
      <c r="A27" s="657"/>
      <c r="B27" s="630"/>
      <c r="C27" s="630"/>
      <c r="D27" s="630"/>
      <c r="E27" s="630"/>
      <c r="F27" s="639"/>
      <c r="G27" s="642"/>
      <c r="H27" s="645"/>
      <c r="I27" s="648"/>
      <c r="J27" s="651"/>
      <c r="K27" s="654"/>
      <c r="L27" s="630"/>
      <c r="M27" s="630"/>
      <c r="N27" s="271">
        <v>45412</v>
      </c>
      <c r="O27" s="639"/>
      <c r="P27" s="266"/>
      <c r="Q27" s="264"/>
      <c r="R27" s="265"/>
      <c r="S27" s="266"/>
      <c r="T27" s="266"/>
      <c r="U27" s="627"/>
      <c r="V27" s="633"/>
      <c r="W27" s="636"/>
      <c r="X27" s="110">
        <v>2</v>
      </c>
    </row>
    <row r="28" spans="1:24" s="110" customFormat="1" x14ac:dyDescent="0.25">
      <c r="A28" s="658"/>
      <c r="B28" s="631"/>
      <c r="C28" s="631"/>
      <c r="D28" s="631"/>
      <c r="E28" s="631"/>
      <c r="F28" s="640"/>
      <c r="G28" s="643"/>
      <c r="H28" s="646"/>
      <c r="I28" s="649"/>
      <c r="J28" s="652"/>
      <c r="K28" s="655"/>
      <c r="L28" s="631"/>
      <c r="M28" s="631"/>
      <c r="N28" s="272">
        <v>45413</v>
      </c>
      <c r="O28" s="640"/>
      <c r="P28" s="267">
        <v>35396.839999999997</v>
      </c>
      <c r="Q28" s="268"/>
      <c r="R28" s="269"/>
      <c r="S28" s="267"/>
      <c r="T28" s="267"/>
      <c r="U28" s="628"/>
      <c r="V28" s="634"/>
      <c r="W28" s="637"/>
      <c r="X28" s="110">
        <v>2</v>
      </c>
    </row>
    <row r="29" spans="1:24" s="80" customFormat="1" ht="63.6" customHeight="1" x14ac:dyDescent="0.25">
      <c r="A29" s="576">
        <v>3</v>
      </c>
      <c r="B29" s="549" t="s">
        <v>56</v>
      </c>
      <c r="C29" s="549" t="s">
        <v>147</v>
      </c>
      <c r="D29" s="549" t="s">
        <v>158</v>
      </c>
      <c r="E29" s="549" t="s">
        <v>176</v>
      </c>
      <c r="F29" s="552">
        <v>45289</v>
      </c>
      <c r="G29" s="555" t="s">
        <v>177</v>
      </c>
      <c r="H29" s="558">
        <v>22628.22</v>
      </c>
      <c r="I29" s="561">
        <f>IF(X29 = 33, H29 + SUM(S29:S31) - SUM(T29:T31) - SUM(P29:P31) - V29,0)</f>
        <v>11314.11</v>
      </c>
      <c r="J29" s="564">
        <v>2308131994</v>
      </c>
      <c r="K29" s="567" t="s">
        <v>178</v>
      </c>
      <c r="L29" s="549" t="s">
        <v>147</v>
      </c>
      <c r="M29" s="549" t="s">
        <v>175</v>
      </c>
      <c r="N29" s="207">
        <v>45322</v>
      </c>
      <c r="O29" s="552" t="s">
        <v>179</v>
      </c>
      <c r="P29" s="195">
        <v>3771.37</v>
      </c>
      <c r="Q29" s="196">
        <v>45327</v>
      </c>
      <c r="R29" s="197"/>
      <c r="S29" s="198"/>
      <c r="T29" s="198"/>
      <c r="U29" s="558"/>
      <c r="V29" s="582"/>
      <c r="W29" s="546"/>
      <c r="X29" s="80">
        <v>33</v>
      </c>
    </row>
    <row r="30" spans="1:24" s="110" customFormat="1" x14ac:dyDescent="0.25">
      <c r="A30" s="577"/>
      <c r="B30" s="550"/>
      <c r="C30" s="550"/>
      <c r="D30" s="550"/>
      <c r="E30" s="550"/>
      <c r="F30" s="553"/>
      <c r="G30" s="556"/>
      <c r="H30" s="559"/>
      <c r="I30" s="562"/>
      <c r="J30" s="565"/>
      <c r="K30" s="568"/>
      <c r="L30" s="550"/>
      <c r="M30" s="550"/>
      <c r="N30" s="208">
        <v>45351</v>
      </c>
      <c r="O30" s="553"/>
      <c r="P30" s="200">
        <v>3771.37</v>
      </c>
      <c r="Q30" s="201">
        <v>45363</v>
      </c>
      <c r="R30" s="202"/>
      <c r="S30" s="203"/>
      <c r="T30" s="203"/>
      <c r="U30" s="559"/>
      <c r="V30" s="583"/>
      <c r="W30" s="547"/>
      <c r="X30" s="110">
        <v>33</v>
      </c>
    </row>
    <row r="31" spans="1:24" s="110" customFormat="1" x14ac:dyDescent="0.25">
      <c r="A31" s="578"/>
      <c r="B31" s="551"/>
      <c r="C31" s="551"/>
      <c r="D31" s="551"/>
      <c r="E31" s="551"/>
      <c r="F31" s="554"/>
      <c r="G31" s="557"/>
      <c r="H31" s="560"/>
      <c r="I31" s="563"/>
      <c r="J31" s="566"/>
      <c r="K31" s="569"/>
      <c r="L31" s="551"/>
      <c r="M31" s="551"/>
      <c r="N31" s="209">
        <v>45382</v>
      </c>
      <c r="O31" s="554"/>
      <c r="P31" s="334">
        <v>3771.37</v>
      </c>
      <c r="Q31" s="205">
        <v>45385</v>
      </c>
      <c r="R31" s="206"/>
      <c r="S31" s="204"/>
      <c r="T31" s="204"/>
      <c r="U31" s="560"/>
      <c r="V31" s="584"/>
      <c r="W31" s="548"/>
      <c r="X31" s="110">
        <v>33</v>
      </c>
    </row>
    <row r="32" spans="1:24" s="80" customFormat="1" ht="54" customHeight="1" x14ac:dyDescent="0.25">
      <c r="A32" s="662">
        <v>4</v>
      </c>
      <c r="B32" s="460" t="s">
        <v>56</v>
      </c>
      <c r="C32" s="460" t="s">
        <v>147</v>
      </c>
      <c r="D32" s="460" t="s">
        <v>158</v>
      </c>
      <c r="E32" s="460" t="s">
        <v>180</v>
      </c>
      <c r="F32" s="469">
        <v>45289</v>
      </c>
      <c r="G32" s="472" t="s">
        <v>181</v>
      </c>
      <c r="H32" s="457">
        <v>24000</v>
      </c>
      <c r="I32" s="475">
        <f>IF(X32 = 34, H32 + SUM(S32:S35) - SUM(T32:T35) - SUM(P32:P35) - V32,0)</f>
        <v>16000</v>
      </c>
      <c r="J32" s="478">
        <v>2353002302</v>
      </c>
      <c r="K32" s="481" t="s">
        <v>182</v>
      </c>
      <c r="L32" s="460" t="s">
        <v>147</v>
      </c>
      <c r="M32" s="460" t="s">
        <v>175</v>
      </c>
      <c r="N32" s="359">
        <v>45322</v>
      </c>
      <c r="O32" s="469" t="s">
        <v>183</v>
      </c>
      <c r="P32" s="348">
        <v>2000</v>
      </c>
      <c r="Q32" s="349">
        <v>45327</v>
      </c>
      <c r="R32" s="350"/>
      <c r="S32" s="351"/>
      <c r="T32" s="351"/>
      <c r="U32" s="457"/>
      <c r="V32" s="463"/>
      <c r="W32" s="466"/>
      <c r="X32" s="80">
        <v>34</v>
      </c>
    </row>
    <row r="33" spans="1:24" s="110" customFormat="1" x14ac:dyDescent="0.25">
      <c r="A33" s="663"/>
      <c r="B33" s="461"/>
      <c r="C33" s="461"/>
      <c r="D33" s="461"/>
      <c r="E33" s="461"/>
      <c r="F33" s="470"/>
      <c r="G33" s="473"/>
      <c r="H33" s="458"/>
      <c r="I33" s="476"/>
      <c r="J33" s="479"/>
      <c r="K33" s="482"/>
      <c r="L33" s="461"/>
      <c r="M33" s="461"/>
      <c r="N33" s="360">
        <v>45351</v>
      </c>
      <c r="O33" s="470"/>
      <c r="P33" s="352">
        <v>2000</v>
      </c>
      <c r="Q33" s="353">
        <v>45351</v>
      </c>
      <c r="R33" s="354"/>
      <c r="S33" s="355"/>
      <c r="T33" s="355"/>
      <c r="U33" s="458"/>
      <c r="V33" s="464"/>
      <c r="W33" s="467"/>
      <c r="X33" s="110">
        <v>34</v>
      </c>
    </row>
    <row r="34" spans="1:24" s="110" customFormat="1" x14ac:dyDescent="0.25">
      <c r="A34" s="663"/>
      <c r="B34" s="461"/>
      <c r="C34" s="461"/>
      <c r="D34" s="461"/>
      <c r="E34" s="461"/>
      <c r="F34" s="470"/>
      <c r="G34" s="473"/>
      <c r="H34" s="458"/>
      <c r="I34" s="476"/>
      <c r="J34" s="479"/>
      <c r="K34" s="482"/>
      <c r="L34" s="461"/>
      <c r="M34" s="461"/>
      <c r="N34" s="360">
        <v>45382</v>
      </c>
      <c r="O34" s="470"/>
      <c r="P34" s="352">
        <v>2000</v>
      </c>
      <c r="Q34" s="353">
        <v>45385</v>
      </c>
      <c r="R34" s="354"/>
      <c r="S34" s="355"/>
      <c r="T34" s="355"/>
      <c r="U34" s="458"/>
      <c r="V34" s="464"/>
      <c r="W34" s="467"/>
      <c r="X34" s="110">
        <v>34</v>
      </c>
    </row>
    <row r="35" spans="1:24" s="110" customFormat="1" x14ac:dyDescent="0.25">
      <c r="A35" s="664"/>
      <c r="B35" s="462"/>
      <c r="C35" s="462"/>
      <c r="D35" s="462"/>
      <c r="E35" s="462"/>
      <c r="F35" s="471"/>
      <c r="G35" s="474"/>
      <c r="H35" s="459"/>
      <c r="I35" s="477"/>
      <c r="J35" s="480"/>
      <c r="K35" s="483"/>
      <c r="L35" s="462"/>
      <c r="M35" s="462"/>
      <c r="N35" s="361">
        <v>45412</v>
      </c>
      <c r="O35" s="471"/>
      <c r="P35" s="356">
        <v>2000</v>
      </c>
      <c r="Q35" s="357"/>
      <c r="R35" s="358"/>
      <c r="S35" s="356"/>
      <c r="T35" s="356"/>
      <c r="U35" s="459"/>
      <c r="V35" s="465"/>
      <c r="W35" s="468"/>
      <c r="X35" s="110">
        <v>34</v>
      </c>
    </row>
    <row r="36" spans="1:24" s="80" customFormat="1" ht="72" customHeight="1" x14ac:dyDescent="0.25">
      <c r="A36" s="662">
        <v>5</v>
      </c>
      <c r="B36" s="460" t="s">
        <v>56</v>
      </c>
      <c r="C36" s="460" t="s">
        <v>147</v>
      </c>
      <c r="D36" s="460" t="s">
        <v>158</v>
      </c>
      <c r="E36" s="460" t="s">
        <v>184</v>
      </c>
      <c r="F36" s="469">
        <v>45289</v>
      </c>
      <c r="G36" s="472" t="s">
        <v>185</v>
      </c>
      <c r="H36" s="457">
        <v>36000</v>
      </c>
      <c r="I36" s="475">
        <f>IF(X36 = 35, H36 + SUM(S36:S39) - SUM(T36:T39) - SUM(P36:P39) - V36,0)</f>
        <v>24000</v>
      </c>
      <c r="J36" s="478">
        <v>2353002302</v>
      </c>
      <c r="K36" s="481" t="s">
        <v>182</v>
      </c>
      <c r="L36" s="460" t="s">
        <v>147</v>
      </c>
      <c r="M36" s="460" t="s">
        <v>175</v>
      </c>
      <c r="N36" s="359">
        <v>45322</v>
      </c>
      <c r="O36" s="469" t="s">
        <v>203</v>
      </c>
      <c r="P36" s="348">
        <v>3000</v>
      </c>
      <c r="Q36" s="349">
        <v>45327</v>
      </c>
      <c r="R36" s="350"/>
      <c r="S36" s="351"/>
      <c r="T36" s="351"/>
      <c r="U36" s="457"/>
      <c r="V36" s="463"/>
      <c r="W36" s="466"/>
      <c r="X36" s="80">
        <v>35</v>
      </c>
    </row>
    <row r="37" spans="1:24" s="110" customFormat="1" x14ac:dyDescent="0.25">
      <c r="A37" s="663"/>
      <c r="B37" s="461"/>
      <c r="C37" s="461"/>
      <c r="D37" s="461"/>
      <c r="E37" s="461"/>
      <c r="F37" s="470"/>
      <c r="G37" s="473"/>
      <c r="H37" s="458"/>
      <c r="I37" s="476"/>
      <c r="J37" s="479"/>
      <c r="K37" s="482"/>
      <c r="L37" s="461"/>
      <c r="M37" s="461"/>
      <c r="N37" s="360">
        <v>45351</v>
      </c>
      <c r="O37" s="470"/>
      <c r="P37" s="352">
        <v>3000</v>
      </c>
      <c r="Q37" s="353">
        <v>45351</v>
      </c>
      <c r="R37" s="354"/>
      <c r="S37" s="355"/>
      <c r="T37" s="355"/>
      <c r="U37" s="458"/>
      <c r="V37" s="464"/>
      <c r="W37" s="467"/>
      <c r="X37" s="110">
        <v>35</v>
      </c>
    </row>
    <row r="38" spans="1:24" s="110" customFormat="1" x14ac:dyDescent="0.25">
      <c r="A38" s="663"/>
      <c r="B38" s="461"/>
      <c r="C38" s="461"/>
      <c r="D38" s="461"/>
      <c r="E38" s="461"/>
      <c r="F38" s="470"/>
      <c r="G38" s="473"/>
      <c r="H38" s="458"/>
      <c r="I38" s="476"/>
      <c r="J38" s="479"/>
      <c r="K38" s="482"/>
      <c r="L38" s="461"/>
      <c r="M38" s="461"/>
      <c r="N38" s="360">
        <v>45382</v>
      </c>
      <c r="O38" s="470"/>
      <c r="P38" s="352">
        <v>3000</v>
      </c>
      <c r="Q38" s="353">
        <v>38080</v>
      </c>
      <c r="R38" s="354"/>
      <c r="S38" s="355"/>
      <c r="T38" s="355"/>
      <c r="U38" s="458"/>
      <c r="V38" s="464"/>
      <c r="W38" s="467"/>
      <c r="X38" s="110">
        <v>35</v>
      </c>
    </row>
    <row r="39" spans="1:24" s="110" customFormat="1" x14ac:dyDescent="0.25">
      <c r="A39" s="664"/>
      <c r="B39" s="462"/>
      <c r="C39" s="462"/>
      <c r="D39" s="462"/>
      <c r="E39" s="462"/>
      <c r="F39" s="471"/>
      <c r="G39" s="474"/>
      <c r="H39" s="459"/>
      <c r="I39" s="477"/>
      <c r="J39" s="480"/>
      <c r="K39" s="483"/>
      <c r="L39" s="462"/>
      <c r="M39" s="462"/>
      <c r="N39" s="361">
        <v>45412</v>
      </c>
      <c r="O39" s="471"/>
      <c r="P39" s="356">
        <v>3000</v>
      </c>
      <c r="Q39" s="357"/>
      <c r="R39" s="358"/>
      <c r="S39" s="356"/>
      <c r="T39" s="356"/>
      <c r="U39" s="459"/>
      <c r="V39" s="465"/>
      <c r="W39" s="468"/>
      <c r="X39" s="110">
        <v>35</v>
      </c>
    </row>
    <row r="40" spans="1:24" s="80" customFormat="1" ht="90" customHeight="1" x14ac:dyDescent="0.25">
      <c r="A40" s="662">
        <v>6</v>
      </c>
      <c r="B40" s="460" t="s">
        <v>56</v>
      </c>
      <c r="C40" s="460" t="s">
        <v>147</v>
      </c>
      <c r="D40" s="460" t="s">
        <v>158</v>
      </c>
      <c r="E40" s="460" t="s">
        <v>186</v>
      </c>
      <c r="F40" s="469">
        <v>45289</v>
      </c>
      <c r="G40" s="472" t="s">
        <v>187</v>
      </c>
      <c r="H40" s="457">
        <v>27406.080000000002</v>
      </c>
      <c r="I40" s="475">
        <f>IF(X40 = 36, H40 + SUM(S40:S43) - SUM(T40:T43) - SUM(P40:P43) - V40,0)</f>
        <v>18270.72</v>
      </c>
      <c r="J40" s="478">
        <v>2310163739</v>
      </c>
      <c r="K40" s="481" t="s">
        <v>188</v>
      </c>
      <c r="L40" s="460" t="s">
        <v>147</v>
      </c>
      <c r="M40" s="460" t="s">
        <v>175</v>
      </c>
      <c r="N40" s="359">
        <v>45322</v>
      </c>
      <c r="O40" s="469" t="s">
        <v>189</v>
      </c>
      <c r="P40" s="348">
        <v>2283.84</v>
      </c>
      <c r="Q40" s="349">
        <v>45334</v>
      </c>
      <c r="R40" s="350"/>
      <c r="S40" s="351"/>
      <c r="T40" s="351"/>
      <c r="U40" s="457"/>
      <c r="V40" s="463"/>
      <c r="W40" s="466"/>
      <c r="X40" s="80">
        <v>36</v>
      </c>
    </row>
    <row r="41" spans="1:24" s="110" customFormat="1" x14ac:dyDescent="0.25">
      <c r="A41" s="663"/>
      <c r="B41" s="461"/>
      <c r="C41" s="461"/>
      <c r="D41" s="461"/>
      <c r="E41" s="461"/>
      <c r="F41" s="470"/>
      <c r="G41" s="473"/>
      <c r="H41" s="458"/>
      <c r="I41" s="476"/>
      <c r="J41" s="479"/>
      <c r="K41" s="482"/>
      <c r="L41" s="461"/>
      <c r="M41" s="461"/>
      <c r="N41" s="360">
        <v>45351</v>
      </c>
      <c r="O41" s="470"/>
      <c r="P41" s="352">
        <v>2283.84</v>
      </c>
      <c r="Q41" s="353">
        <v>45351</v>
      </c>
      <c r="R41" s="354"/>
      <c r="S41" s="355"/>
      <c r="T41" s="355"/>
      <c r="U41" s="458"/>
      <c r="V41" s="464"/>
      <c r="W41" s="467"/>
      <c r="X41" s="110">
        <v>36</v>
      </c>
    </row>
    <row r="42" spans="1:24" s="110" customFormat="1" x14ac:dyDescent="0.25">
      <c r="A42" s="663"/>
      <c r="B42" s="461"/>
      <c r="C42" s="461"/>
      <c r="D42" s="461"/>
      <c r="E42" s="461"/>
      <c r="F42" s="470"/>
      <c r="G42" s="473"/>
      <c r="H42" s="458"/>
      <c r="I42" s="476"/>
      <c r="J42" s="479"/>
      <c r="K42" s="482"/>
      <c r="L42" s="461"/>
      <c r="M42" s="461"/>
      <c r="N42" s="360">
        <v>45380</v>
      </c>
      <c r="O42" s="470"/>
      <c r="P42" s="352">
        <v>2283.84</v>
      </c>
      <c r="Q42" s="353">
        <v>45385</v>
      </c>
      <c r="R42" s="354"/>
      <c r="S42" s="355"/>
      <c r="T42" s="355"/>
      <c r="U42" s="458"/>
      <c r="V42" s="464"/>
      <c r="W42" s="467"/>
      <c r="X42" s="110">
        <v>36</v>
      </c>
    </row>
    <row r="43" spans="1:24" s="110" customFormat="1" x14ac:dyDescent="0.25">
      <c r="A43" s="664"/>
      <c r="B43" s="462"/>
      <c r="C43" s="462"/>
      <c r="D43" s="462"/>
      <c r="E43" s="462"/>
      <c r="F43" s="471"/>
      <c r="G43" s="474"/>
      <c r="H43" s="459"/>
      <c r="I43" s="477"/>
      <c r="J43" s="480"/>
      <c r="K43" s="483"/>
      <c r="L43" s="462"/>
      <c r="M43" s="462"/>
      <c r="N43" s="361">
        <v>45409</v>
      </c>
      <c r="O43" s="471"/>
      <c r="P43" s="356">
        <v>2283.84</v>
      </c>
      <c r="Q43" s="357"/>
      <c r="R43" s="358"/>
      <c r="S43" s="356"/>
      <c r="T43" s="356"/>
      <c r="U43" s="459"/>
      <c r="V43" s="465"/>
      <c r="W43" s="468"/>
      <c r="X43" s="110">
        <v>36</v>
      </c>
    </row>
    <row r="44" spans="1:24" s="80" customFormat="1" ht="56.25" x14ac:dyDescent="0.25">
      <c r="A44" s="112">
        <v>7</v>
      </c>
      <c r="B44" s="109" t="s">
        <v>56</v>
      </c>
      <c r="C44" s="109" t="s">
        <v>147</v>
      </c>
      <c r="D44" s="109" t="s">
        <v>158</v>
      </c>
      <c r="E44" s="113" t="s">
        <v>196</v>
      </c>
      <c r="F44" s="120">
        <v>45289</v>
      </c>
      <c r="G44" s="114" t="s">
        <v>197</v>
      </c>
      <c r="H44" s="115">
        <v>21000</v>
      </c>
      <c r="I44" s="116">
        <f>IF(X44 = 39, H44 + SUM(S44:S44) - SUM(T44:T44) - SUM(P44:P44) - V44,0)</f>
        <v>12000</v>
      </c>
      <c r="J44" s="117">
        <v>235306577600</v>
      </c>
      <c r="K44" s="118" t="s">
        <v>200</v>
      </c>
      <c r="L44" s="113" t="s">
        <v>147</v>
      </c>
      <c r="M44" s="109" t="s">
        <v>175</v>
      </c>
      <c r="N44" s="120">
        <v>45382</v>
      </c>
      <c r="O44" s="120" t="s">
        <v>198</v>
      </c>
      <c r="P44" s="145">
        <v>9000</v>
      </c>
      <c r="Q44" s="114">
        <v>45384</v>
      </c>
      <c r="R44" s="113"/>
      <c r="S44" s="115"/>
      <c r="T44" s="115"/>
      <c r="U44" s="115"/>
      <c r="V44" s="119"/>
      <c r="W44" s="111"/>
      <c r="X44" s="80">
        <v>39</v>
      </c>
    </row>
    <row r="45" spans="1:24" s="80" customFormat="1" ht="56.25" x14ac:dyDescent="0.25">
      <c r="A45" s="112">
        <v>8</v>
      </c>
      <c r="B45" s="109" t="s">
        <v>56</v>
      </c>
      <c r="C45" s="113" t="s">
        <v>147</v>
      </c>
      <c r="D45" s="109" t="s">
        <v>158</v>
      </c>
      <c r="E45" s="113" t="s">
        <v>116</v>
      </c>
      <c r="F45" s="123">
        <v>45289</v>
      </c>
      <c r="G45" s="114" t="s">
        <v>199</v>
      </c>
      <c r="H45" s="115">
        <v>5179.24</v>
      </c>
      <c r="I45" s="116">
        <f>IF(X45 = 40, H45 + SUM(S45:S45) - SUM(T45:T45) - SUM(P45:P45) - V45,0)</f>
        <v>0</v>
      </c>
      <c r="J45" s="117">
        <v>2353023951</v>
      </c>
      <c r="K45" s="118" t="s">
        <v>201</v>
      </c>
      <c r="L45" s="113" t="s">
        <v>147</v>
      </c>
      <c r="M45" s="109" t="s">
        <v>202</v>
      </c>
      <c r="N45" s="123">
        <v>45321</v>
      </c>
      <c r="O45" s="120" t="s">
        <v>203</v>
      </c>
      <c r="P45" s="145">
        <v>5179.24</v>
      </c>
      <c r="Q45" s="114">
        <v>45327</v>
      </c>
      <c r="R45" s="113"/>
      <c r="S45" s="115"/>
      <c r="T45" s="115"/>
      <c r="U45" s="115"/>
      <c r="V45" s="119"/>
      <c r="W45" s="121"/>
      <c r="X45" s="80">
        <v>40</v>
      </c>
    </row>
    <row r="46" spans="1:24" s="80" customFormat="1" ht="108" customHeight="1" x14ac:dyDescent="0.25">
      <c r="A46" s="659">
        <v>9</v>
      </c>
      <c r="B46" s="570" t="s">
        <v>56</v>
      </c>
      <c r="C46" s="570" t="s">
        <v>147</v>
      </c>
      <c r="D46" s="570" t="s">
        <v>158</v>
      </c>
      <c r="E46" s="570" t="s">
        <v>116</v>
      </c>
      <c r="F46" s="573">
        <v>45289</v>
      </c>
      <c r="G46" s="617" t="s">
        <v>204</v>
      </c>
      <c r="H46" s="593">
        <v>63000</v>
      </c>
      <c r="I46" s="620">
        <f>IF(X46 = 41, H46 + SUM(S46:S48) - SUM(T46:T48) - SUM(P46:P48) - V46,0)</f>
        <v>41950</v>
      </c>
      <c r="J46" s="623">
        <v>2353017179</v>
      </c>
      <c r="K46" s="579" t="s">
        <v>205</v>
      </c>
      <c r="L46" s="570" t="s">
        <v>147</v>
      </c>
      <c r="M46" s="570" t="s">
        <v>175</v>
      </c>
      <c r="N46" s="286">
        <v>45322</v>
      </c>
      <c r="O46" s="573" t="s">
        <v>203</v>
      </c>
      <c r="P46" s="275">
        <v>6950</v>
      </c>
      <c r="Q46" s="276">
        <v>45331</v>
      </c>
      <c r="R46" s="277"/>
      <c r="S46" s="278"/>
      <c r="T46" s="278"/>
      <c r="U46" s="593"/>
      <c r="V46" s="596"/>
      <c r="W46" s="599"/>
      <c r="X46" s="80">
        <v>41</v>
      </c>
    </row>
    <row r="47" spans="1:24" s="110" customFormat="1" x14ac:dyDescent="0.25">
      <c r="A47" s="660"/>
      <c r="B47" s="571"/>
      <c r="C47" s="571"/>
      <c r="D47" s="571"/>
      <c r="E47" s="571"/>
      <c r="F47" s="574"/>
      <c r="G47" s="618"/>
      <c r="H47" s="594"/>
      <c r="I47" s="621"/>
      <c r="J47" s="624"/>
      <c r="K47" s="580"/>
      <c r="L47" s="571"/>
      <c r="M47" s="571"/>
      <c r="N47" s="287">
        <v>45351</v>
      </c>
      <c r="O47" s="574"/>
      <c r="P47" s="279">
        <v>7200</v>
      </c>
      <c r="Q47" s="280">
        <v>45365</v>
      </c>
      <c r="R47" s="281"/>
      <c r="S47" s="282"/>
      <c r="T47" s="282"/>
      <c r="U47" s="594"/>
      <c r="V47" s="597"/>
      <c r="W47" s="600"/>
      <c r="X47" s="110">
        <v>41</v>
      </c>
    </row>
    <row r="48" spans="1:24" s="110" customFormat="1" x14ac:dyDescent="0.25">
      <c r="A48" s="661"/>
      <c r="B48" s="572"/>
      <c r="C48" s="572"/>
      <c r="D48" s="572"/>
      <c r="E48" s="572"/>
      <c r="F48" s="575"/>
      <c r="G48" s="619"/>
      <c r="H48" s="595"/>
      <c r="I48" s="622"/>
      <c r="J48" s="625"/>
      <c r="K48" s="581"/>
      <c r="L48" s="572"/>
      <c r="M48" s="572"/>
      <c r="N48" s="288">
        <v>45382</v>
      </c>
      <c r="O48" s="575"/>
      <c r="P48" s="336">
        <v>6900</v>
      </c>
      <c r="Q48" s="284">
        <v>45393</v>
      </c>
      <c r="R48" s="285"/>
      <c r="S48" s="283"/>
      <c r="T48" s="283"/>
      <c r="U48" s="595"/>
      <c r="V48" s="598"/>
      <c r="W48" s="601"/>
      <c r="X48" s="110">
        <v>41</v>
      </c>
    </row>
    <row r="49" spans="1:24" s="80" customFormat="1" ht="56.25" x14ac:dyDescent="0.25">
      <c r="A49" s="112">
        <v>10</v>
      </c>
      <c r="B49" s="109" t="s">
        <v>56</v>
      </c>
      <c r="C49" s="113" t="s">
        <v>147</v>
      </c>
      <c r="D49" s="109" t="s">
        <v>158</v>
      </c>
      <c r="E49" s="113" t="s">
        <v>36</v>
      </c>
      <c r="F49" s="124">
        <v>45289</v>
      </c>
      <c r="G49" s="114" t="s">
        <v>206</v>
      </c>
      <c r="H49" s="115">
        <v>3600</v>
      </c>
      <c r="I49" s="116">
        <f>IF(X49 = 42, H49 + SUM(S49:S49) - SUM(T49:T49) - SUM(P49:P49) - V49,0)</f>
        <v>2700</v>
      </c>
      <c r="J49" s="117">
        <v>2369000660</v>
      </c>
      <c r="K49" s="118" t="s">
        <v>207</v>
      </c>
      <c r="L49" s="113" t="s">
        <v>147</v>
      </c>
      <c r="M49" s="109" t="s">
        <v>175</v>
      </c>
      <c r="N49" s="124">
        <v>45382</v>
      </c>
      <c r="O49" s="124" t="s">
        <v>203</v>
      </c>
      <c r="P49" s="145">
        <v>900</v>
      </c>
      <c r="Q49" s="114">
        <v>45384</v>
      </c>
      <c r="R49" s="113"/>
      <c r="S49" s="115"/>
      <c r="T49" s="115"/>
      <c r="U49" s="115"/>
      <c r="V49" s="119"/>
      <c r="W49" s="122"/>
      <c r="X49" s="80">
        <v>42</v>
      </c>
    </row>
    <row r="50" spans="1:24" s="80" customFormat="1" ht="36" customHeight="1" x14ac:dyDescent="0.25">
      <c r="A50" s="543">
        <v>11</v>
      </c>
      <c r="B50" s="528" t="s">
        <v>56</v>
      </c>
      <c r="C50" s="528" t="s">
        <v>147</v>
      </c>
      <c r="D50" s="528" t="s">
        <v>158</v>
      </c>
      <c r="E50" s="528" t="s">
        <v>211</v>
      </c>
      <c r="F50" s="611">
        <v>45289</v>
      </c>
      <c r="G50" s="614" t="s">
        <v>208</v>
      </c>
      <c r="H50" s="590">
        <v>4500</v>
      </c>
      <c r="I50" s="602">
        <f>IF(X50 = 43, H50 + SUM(S50:S52) - SUM(T50:T52) - SUM(P50:P52) - V50,0)</f>
        <v>3344.4</v>
      </c>
      <c r="J50" s="605">
        <v>7707049388</v>
      </c>
      <c r="K50" s="608" t="s">
        <v>209</v>
      </c>
      <c r="L50" s="528" t="s">
        <v>210</v>
      </c>
      <c r="M50" s="528" t="s">
        <v>175</v>
      </c>
      <c r="N50" s="240">
        <v>45322</v>
      </c>
      <c r="O50" s="611" t="s">
        <v>203</v>
      </c>
      <c r="P50" s="229">
        <v>375.6</v>
      </c>
      <c r="Q50" s="230">
        <v>45328</v>
      </c>
      <c r="R50" s="231"/>
      <c r="S50" s="232"/>
      <c r="T50" s="232"/>
      <c r="U50" s="590"/>
      <c r="V50" s="531"/>
      <c r="W50" s="538"/>
      <c r="X50" s="80">
        <v>43</v>
      </c>
    </row>
    <row r="51" spans="1:24" s="110" customFormat="1" x14ac:dyDescent="0.25">
      <c r="A51" s="544"/>
      <c r="B51" s="529"/>
      <c r="C51" s="529"/>
      <c r="D51" s="529"/>
      <c r="E51" s="529"/>
      <c r="F51" s="612"/>
      <c r="G51" s="615"/>
      <c r="H51" s="591"/>
      <c r="I51" s="603"/>
      <c r="J51" s="606"/>
      <c r="K51" s="609"/>
      <c r="L51" s="529"/>
      <c r="M51" s="529"/>
      <c r="N51" s="241">
        <v>45351</v>
      </c>
      <c r="O51" s="612"/>
      <c r="P51" s="233">
        <v>390</v>
      </c>
      <c r="Q51" s="234">
        <v>45363</v>
      </c>
      <c r="R51" s="235"/>
      <c r="S51" s="236"/>
      <c r="T51" s="236"/>
      <c r="U51" s="591"/>
      <c r="V51" s="532"/>
      <c r="W51" s="539"/>
      <c r="X51" s="110">
        <v>43</v>
      </c>
    </row>
    <row r="52" spans="1:24" s="110" customFormat="1" x14ac:dyDescent="0.25">
      <c r="A52" s="545"/>
      <c r="B52" s="530"/>
      <c r="C52" s="530"/>
      <c r="D52" s="530"/>
      <c r="E52" s="530"/>
      <c r="F52" s="613"/>
      <c r="G52" s="616"/>
      <c r="H52" s="592"/>
      <c r="I52" s="604"/>
      <c r="J52" s="607"/>
      <c r="K52" s="610"/>
      <c r="L52" s="530"/>
      <c r="M52" s="530"/>
      <c r="N52" s="242">
        <v>45382</v>
      </c>
      <c r="O52" s="613"/>
      <c r="P52" s="335">
        <v>390</v>
      </c>
      <c r="Q52" s="238">
        <v>45391</v>
      </c>
      <c r="R52" s="239"/>
      <c r="S52" s="237"/>
      <c r="T52" s="237"/>
      <c r="U52" s="592"/>
      <c r="V52" s="533"/>
      <c r="W52" s="540"/>
      <c r="X52" s="110">
        <v>43</v>
      </c>
    </row>
    <row r="53" spans="1:24" s="80" customFormat="1" ht="56.25" x14ac:dyDescent="0.25">
      <c r="A53" s="133">
        <v>12</v>
      </c>
      <c r="B53" s="109" t="s">
        <v>56</v>
      </c>
      <c r="C53" s="125" t="s">
        <v>147</v>
      </c>
      <c r="D53" s="109" t="s">
        <v>158</v>
      </c>
      <c r="E53" s="125" t="s">
        <v>212</v>
      </c>
      <c r="F53" s="134">
        <v>45289</v>
      </c>
      <c r="G53" s="126" t="s">
        <v>213</v>
      </c>
      <c r="H53" s="127">
        <v>50</v>
      </c>
      <c r="I53" s="128">
        <f>IF(X53 = 44, H53 + SUM(S53:S53) - SUM(T53:T53) - SUM(P53:P53) - V53,0)</f>
        <v>50</v>
      </c>
      <c r="J53" s="129">
        <v>7707049388</v>
      </c>
      <c r="K53" s="130" t="s">
        <v>209</v>
      </c>
      <c r="L53" s="125" t="s">
        <v>147</v>
      </c>
      <c r="M53" s="125" t="s">
        <v>175</v>
      </c>
      <c r="N53" s="134"/>
      <c r="O53" s="124" t="s">
        <v>203</v>
      </c>
      <c r="P53" s="127"/>
      <c r="Q53" s="126"/>
      <c r="R53" s="125"/>
      <c r="S53" s="127"/>
      <c r="T53" s="127"/>
      <c r="U53" s="127"/>
      <c r="V53" s="131"/>
      <c r="W53" s="132"/>
      <c r="X53" s="80">
        <v>44</v>
      </c>
    </row>
    <row r="54" spans="1:24" s="80" customFormat="1" ht="36" customHeight="1" x14ac:dyDescent="0.25">
      <c r="A54" s="514">
        <v>13</v>
      </c>
      <c r="B54" s="524" t="s">
        <v>56</v>
      </c>
      <c r="C54" s="524" t="s">
        <v>147</v>
      </c>
      <c r="D54" s="524" t="s">
        <v>158</v>
      </c>
      <c r="E54" s="524" t="s">
        <v>117</v>
      </c>
      <c r="F54" s="516">
        <v>45323</v>
      </c>
      <c r="G54" s="541" t="s">
        <v>199</v>
      </c>
      <c r="H54" s="526">
        <v>38479.32</v>
      </c>
      <c r="I54" s="518">
        <f>IF(X54 = 45, H54 + SUM(S54:S55) - SUM(T54:T55) - SUM(P54:P55) - V54,0)</f>
        <v>37575.56</v>
      </c>
      <c r="J54" s="520">
        <v>2353023951</v>
      </c>
      <c r="K54" s="522" t="s">
        <v>201</v>
      </c>
      <c r="L54" s="524" t="s">
        <v>147</v>
      </c>
      <c r="M54" s="524" t="s">
        <v>216</v>
      </c>
      <c r="N54" s="226">
        <v>45350</v>
      </c>
      <c r="O54" s="516" t="s">
        <v>203</v>
      </c>
      <c r="P54" s="219">
        <v>173.8</v>
      </c>
      <c r="Q54" s="220">
        <v>45352</v>
      </c>
      <c r="R54" s="221"/>
      <c r="S54" s="222"/>
      <c r="T54" s="222"/>
      <c r="U54" s="526"/>
      <c r="V54" s="534"/>
      <c r="W54" s="536"/>
      <c r="X54" s="80">
        <v>45</v>
      </c>
    </row>
    <row r="55" spans="1:24" s="110" customFormat="1" x14ac:dyDescent="0.25">
      <c r="A55" s="515"/>
      <c r="B55" s="525"/>
      <c r="C55" s="525"/>
      <c r="D55" s="525"/>
      <c r="E55" s="525"/>
      <c r="F55" s="517"/>
      <c r="G55" s="542"/>
      <c r="H55" s="527"/>
      <c r="I55" s="519"/>
      <c r="J55" s="521"/>
      <c r="K55" s="523"/>
      <c r="L55" s="525"/>
      <c r="M55" s="525"/>
      <c r="N55" s="227">
        <v>45380</v>
      </c>
      <c r="O55" s="517"/>
      <c r="P55" s="333">
        <v>729.96</v>
      </c>
      <c r="Q55" s="224">
        <v>45385</v>
      </c>
      <c r="R55" s="225"/>
      <c r="S55" s="223"/>
      <c r="T55" s="223"/>
      <c r="U55" s="527"/>
      <c r="V55" s="535"/>
      <c r="W55" s="537"/>
      <c r="X55" s="110">
        <v>45</v>
      </c>
    </row>
    <row r="56" spans="1:24" s="80" customFormat="1" ht="42" customHeight="1" x14ac:dyDescent="0.25">
      <c r="A56" s="135">
        <v>14</v>
      </c>
      <c r="B56" s="109" t="s">
        <v>56</v>
      </c>
      <c r="C56" s="136" t="s">
        <v>147</v>
      </c>
      <c r="D56" s="109" t="s">
        <v>158</v>
      </c>
      <c r="E56" s="136" t="s">
        <v>217</v>
      </c>
      <c r="F56" s="144">
        <v>45289</v>
      </c>
      <c r="G56" s="137" t="s">
        <v>218</v>
      </c>
      <c r="H56" s="138">
        <v>12135.8</v>
      </c>
      <c r="I56" s="139">
        <f>IF(X56 = 46, H56 + SUM(S56:S56) - SUM(T56:T56) - SUM(P56:P56) - V56,0)</f>
        <v>9101.8459999999995</v>
      </c>
      <c r="J56" s="140">
        <v>2353018870</v>
      </c>
      <c r="K56" s="141" t="s">
        <v>219</v>
      </c>
      <c r="L56" s="136" t="s">
        <v>147</v>
      </c>
      <c r="M56" s="136" t="s">
        <v>175</v>
      </c>
      <c r="N56" s="144">
        <v>45376</v>
      </c>
      <c r="O56" s="124" t="s">
        <v>203</v>
      </c>
      <c r="P56" s="152">
        <v>3033.9540000000002</v>
      </c>
      <c r="Q56" s="137">
        <v>45378</v>
      </c>
      <c r="R56" s="136"/>
      <c r="S56" s="138"/>
      <c r="T56" s="138"/>
      <c r="U56" s="138"/>
      <c r="V56" s="142"/>
      <c r="W56" s="143"/>
      <c r="X56" s="80">
        <v>46</v>
      </c>
    </row>
    <row r="57" spans="1:24" s="80" customFormat="1" ht="56.25" x14ac:dyDescent="0.25">
      <c r="A57" s="135">
        <v>15</v>
      </c>
      <c r="B57" s="109" t="s">
        <v>56</v>
      </c>
      <c r="C57" s="136" t="s">
        <v>147</v>
      </c>
      <c r="D57" s="109" t="s">
        <v>158</v>
      </c>
      <c r="E57" s="136" t="s">
        <v>111</v>
      </c>
      <c r="F57" s="144">
        <v>45317</v>
      </c>
      <c r="G57" s="137" t="s">
        <v>220</v>
      </c>
      <c r="H57" s="138">
        <v>3000</v>
      </c>
      <c r="I57" s="139">
        <f>IF(X57 = 47, H57 + SUM(S57:S57) - SUM(T57:T57) - SUM(P57:P57) - V57,0)</f>
        <v>0</v>
      </c>
      <c r="J57" s="140">
        <v>2369980106</v>
      </c>
      <c r="K57" s="141" t="s">
        <v>222</v>
      </c>
      <c r="L57" s="136" t="s">
        <v>147</v>
      </c>
      <c r="M57" s="136" t="s">
        <v>223</v>
      </c>
      <c r="N57" s="144">
        <v>45324</v>
      </c>
      <c r="O57" s="124" t="s">
        <v>203</v>
      </c>
      <c r="P57" s="152">
        <v>3000</v>
      </c>
      <c r="Q57" s="137">
        <v>45335</v>
      </c>
      <c r="R57" s="136"/>
      <c r="S57" s="138"/>
      <c r="T57" s="138"/>
      <c r="U57" s="138"/>
      <c r="V57" s="142"/>
      <c r="W57" s="143"/>
      <c r="X57" s="80">
        <v>47</v>
      </c>
    </row>
    <row r="58" spans="1:24" s="80" customFormat="1" ht="56.25" x14ac:dyDescent="0.25">
      <c r="A58" s="135">
        <v>16</v>
      </c>
      <c r="B58" s="109" t="s">
        <v>56</v>
      </c>
      <c r="C58" s="136" t="s">
        <v>147</v>
      </c>
      <c r="D58" s="109" t="s">
        <v>158</v>
      </c>
      <c r="E58" s="136" t="s">
        <v>112</v>
      </c>
      <c r="F58" s="144">
        <v>45320</v>
      </c>
      <c r="G58" s="137" t="s">
        <v>221</v>
      </c>
      <c r="H58" s="138">
        <v>1500</v>
      </c>
      <c r="I58" s="139">
        <f>IF(X58 = 48, H58 + SUM(S58:S58) - SUM(T58:T58) - SUM(P58:P58) - V58,0)</f>
        <v>0</v>
      </c>
      <c r="J58" s="140">
        <v>2369980106</v>
      </c>
      <c r="K58" s="141" t="s">
        <v>222</v>
      </c>
      <c r="L58" s="136" t="s">
        <v>147</v>
      </c>
      <c r="M58" s="136" t="s">
        <v>224</v>
      </c>
      <c r="N58" s="144">
        <v>45324</v>
      </c>
      <c r="O58" s="124" t="s">
        <v>203</v>
      </c>
      <c r="P58" s="152">
        <v>1500</v>
      </c>
      <c r="Q58" s="137">
        <v>45335</v>
      </c>
      <c r="R58" s="136"/>
      <c r="S58" s="138"/>
      <c r="T58" s="138"/>
      <c r="U58" s="138"/>
      <c r="V58" s="142"/>
      <c r="W58" s="143"/>
      <c r="X58" s="80">
        <v>48</v>
      </c>
    </row>
    <row r="59" spans="1:24" s="80" customFormat="1" ht="36" customHeight="1" x14ac:dyDescent="0.25">
      <c r="A59" s="508">
        <v>17</v>
      </c>
      <c r="B59" s="487" t="s">
        <v>56</v>
      </c>
      <c r="C59" s="487" t="s">
        <v>147</v>
      </c>
      <c r="D59" s="487" t="s">
        <v>158</v>
      </c>
      <c r="E59" s="487" t="s">
        <v>226</v>
      </c>
      <c r="F59" s="490">
        <v>45290</v>
      </c>
      <c r="G59" s="493" t="s">
        <v>227</v>
      </c>
      <c r="H59" s="496">
        <v>12916.8</v>
      </c>
      <c r="I59" s="499">
        <f>IF(X59 = 49, H59 + SUM(S59:S61) - SUM(T59:T61) - SUM(P59:P61) - V59,0)</f>
        <v>-1.4779288903810084E-12</v>
      </c>
      <c r="J59" s="502">
        <v>235300582900</v>
      </c>
      <c r="K59" s="505" t="s">
        <v>230</v>
      </c>
      <c r="L59" s="487" t="s">
        <v>147</v>
      </c>
      <c r="M59" s="487" t="s">
        <v>228</v>
      </c>
      <c r="N59" s="181">
        <v>45324</v>
      </c>
      <c r="O59" s="490" t="s">
        <v>203</v>
      </c>
      <c r="P59" s="171">
        <v>4222.8</v>
      </c>
      <c r="Q59" s="172">
        <v>45336</v>
      </c>
      <c r="R59" s="173"/>
      <c r="S59" s="174"/>
      <c r="T59" s="174"/>
      <c r="U59" s="496" t="s">
        <v>263</v>
      </c>
      <c r="V59" s="510">
        <v>993.6</v>
      </c>
      <c r="W59" s="484"/>
      <c r="X59" s="80">
        <v>49</v>
      </c>
    </row>
    <row r="60" spans="1:24" s="110" customFormat="1" x14ac:dyDescent="0.25">
      <c r="A60" s="509"/>
      <c r="B60" s="488"/>
      <c r="C60" s="488"/>
      <c r="D60" s="488"/>
      <c r="E60" s="488"/>
      <c r="F60" s="491"/>
      <c r="G60" s="494"/>
      <c r="H60" s="497"/>
      <c r="I60" s="500"/>
      <c r="J60" s="503"/>
      <c r="K60" s="506"/>
      <c r="L60" s="488"/>
      <c r="M60" s="488"/>
      <c r="N60" s="182">
        <v>45356</v>
      </c>
      <c r="O60" s="491"/>
      <c r="P60" s="228">
        <v>4843.8</v>
      </c>
      <c r="Q60" s="176">
        <v>45384</v>
      </c>
      <c r="R60" s="177"/>
      <c r="S60" s="175"/>
      <c r="T60" s="175"/>
      <c r="U60" s="497"/>
      <c r="V60" s="511"/>
      <c r="W60" s="485"/>
      <c r="X60" s="110">
        <v>49</v>
      </c>
    </row>
    <row r="61" spans="1:24" s="110" customFormat="1" x14ac:dyDescent="0.25">
      <c r="A61" s="512"/>
      <c r="B61" s="489"/>
      <c r="C61" s="489"/>
      <c r="D61" s="489"/>
      <c r="E61" s="489"/>
      <c r="F61" s="492"/>
      <c r="G61" s="495"/>
      <c r="H61" s="498"/>
      <c r="I61" s="501"/>
      <c r="J61" s="504"/>
      <c r="K61" s="507"/>
      <c r="L61" s="489"/>
      <c r="M61" s="489"/>
      <c r="N61" s="183">
        <v>45373</v>
      </c>
      <c r="O61" s="492"/>
      <c r="P61" s="337">
        <v>2856.6</v>
      </c>
      <c r="Q61" s="179">
        <v>45386</v>
      </c>
      <c r="R61" s="180"/>
      <c r="S61" s="178"/>
      <c r="T61" s="178"/>
      <c r="U61" s="498"/>
      <c r="V61" s="513"/>
      <c r="W61" s="486"/>
      <c r="X61" s="110">
        <v>49</v>
      </c>
    </row>
    <row r="62" spans="1:24" s="80" customFormat="1" ht="36" customHeight="1" x14ac:dyDescent="0.25">
      <c r="A62" s="508">
        <v>18</v>
      </c>
      <c r="B62" s="487" t="s">
        <v>56</v>
      </c>
      <c r="C62" s="487" t="s">
        <v>147</v>
      </c>
      <c r="D62" s="487" t="s">
        <v>158</v>
      </c>
      <c r="E62" s="487" t="s">
        <v>225</v>
      </c>
      <c r="F62" s="490">
        <v>45290</v>
      </c>
      <c r="G62" s="493" t="s">
        <v>229</v>
      </c>
      <c r="H62" s="496">
        <v>52624</v>
      </c>
      <c r="I62" s="499">
        <f>IF(X62 = 50, H62 + SUM(S62:S64) - SUM(T62:T64) - SUM(P62:P64) - V62,0)</f>
        <v>1.8189894035458565E-12</v>
      </c>
      <c r="J62" s="502">
        <v>235300582900</v>
      </c>
      <c r="K62" s="505" t="s">
        <v>171</v>
      </c>
      <c r="L62" s="487" t="s">
        <v>147</v>
      </c>
      <c r="M62" s="487" t="s">
        <v>228</v>
      </c>
      <c r="N62" s="181">
        <v>45324</v>
      </c>
      <c r="O62" s="490" t="s">
        <v>203</v>
      </c>
      <c r="P62" s="171">
        <v>13787.4</v>
      </c>
      <c r="Q62" s="172">
        <v>45338</v>
      </c>
      <c r="R62" s="173"/>
      <c r="S62" s="174"/>
      <c r="T62" s="174"/>
      <c r="U62" s="496" t="s">
        <v>263</v>
      </c>
      <c r="V62" s="510">
        <v>15740.4</v>
      </c>
      <c r="W62" s="484"/>
      <c r="X62" s="80">
        <v>50</v>
      </c>
    </row>
    <row r="63" spans="1:24" s="110" customFormat="1" x14ac:dyDescent="0.25">
      <c r="A63" s="509"/>
      <c r="B63" s="488"/>
      <c r="C63" s="488"/>
      <c r="D63" s="488"/>
      <c r="E63" s="488"/>
      <c r="F63" s="491"/>
      <c r="G63" s="494"/>
      <c r="H63" s="497"/>
      <c r="I63" s="500"/>
      <c r="J63" s="503"/>
      <c r="K63" s="506"/>
      <c r="L63" s="488"/>
      <c r="M63" s="488"/>
      <c r="N63" s="182"/>
      <c r="O63" s="491"/>
      <c r="P63" s="228">
        <v>12618.8</v>
      </c>
      <c r="Q63" s="176">
        <v>45365</v>
      </c>
      <c r="R63" s="177"/>
      <c r="S63" s="175"/>
      <c r="T63" s="175"/>
      <c r="U63" s="497"/>
      <c r="V63" s="511"/>
      <c r="W63" s="485"/>
      <c r="X63" s="110">
        <v>50</v>
      </c>
    </row>
    <row r="64" spans="1:24" s="110" customFormat="1" x14ac:dyDescent="0.25">
      <c r="A64" s="512"/>
      <c r="B64" s="489"/>
      <c r="C64" s="489"/>
      <c r="D64" s="489"/>
      <c r="E64" s="489"/>
      <c r="F64" s="492"/>
      <c r="G64" s="495"/>
      <c r="H64" s="498"/>
      <c r="I64" s="501"/>
      <c r="J64" s="504"/>
      <c r="K64" s="507"/>
      <c r="L64" s="489"/>
      <c r="M64" s="489"/>
      <c r="N64" s="183">
        <v>45373</v>
      </c>
      <c r="O64" s="492"/>
      <c r="P64" s="337">
        <v>10477.4</v>
      </c>
      <c r="Q64" s="179">
        <v>45386</v>
      </c>
      <c r="R64" s="180"/>
      <c r="S64" s="178"/>
      <c r="T64" s="178"/>
      <c r="U64" s="498"/>
      <c r="V64" s="513"/>
      <c r="W64" s="486"/>
      <c r="X64" s="110">
        <v>50</v>
      </c>
    </row>
    <row r="65" spans="1:24" s="80" customFormat="1" ht="72" customHeight="1" x14ac:dyDescent="0.25">
      <c r="A65" s="508">
        <v>19</v>
      </c>
      <c r="B65" s="487" t="s">
        <v>56</v>
      </c>
      <c r="C65" s="487" t="s">
        <v>147</v>
      </c>
      <c r="D65" s="487" t="s">
        <v>158</v>
      </c>
      <c r="E65" s="487" t="s">
        <v>232</v>
      </c>
      <c r="F65" s="490">
        <v>45309</v>
      </c>
      <c r="G65" s="493" t="s">
        <v>233</v>
      </c>
      <c r="H65" s="496">
        <v>23025.599999999999</v>
      </c>
      <c r="I65" s="499">
        <f>IF(X65 = 51, H65 + SUM(S65:S66) - SUM(T65:T66) - SUM(P65:P66) - V65,0)</f>
        <v>-1.8189894035458565E-12</v>
      </c>
      <c r="J65" s="502">
        <v>235300582900</v>
      </c>
      <c r="K65" s="505" t="s">
        <v>171</v>
      </c>
      <c r="L65" s="487" t="s">
        <v>147</v>
      </c>
      <c r="M65" s="487" t="s">
        <v>231</v>
      </c>
      <c r="N65" s="181">
        <v>45324</v>
      </c>
      <c r="O65" s="490" t="s">
        <v>203</v>
      </c>
      <c r="P65" s="171">
        <v>5412</v>
      </c>
      <c r="Q65" s="172">
        <v>45334</v>
      </c>
      <c r="R65" s="173"/>
      <c r="S65" s="174"/>
      <c r="T65" s="174"/>
      <c r="U65" s="496" t="s">
        <v>264</v>
      </c>
      <c r="V65" s="510">
        <v>5928.6</v>
      </c>
      <c r="W65" s="484"/>
      <c r="X65" s="80">
        <v>51</v>
      </c>
    </row>
    <row r="66" spans="1:24" s="110" customFormat="1" x14ac:dyDescent="0.25">
      <c r="A66" s="509"/>
      <c r="B66" s="488"/>
      <c r="C66" s="488"/>
      <c r="D66" s="488"/>
      <c r="E66" s="488"/>
      <c r="F66" s="491"/>
      <c r="G66" s="494"/>
      <c r="H66" s="497"/>
      <c r="I66" s="500"/>
      <c r="J66" s="503"/>
      <c r="K66" s="506"/>
      <c r="L66" s="488"/>
      <c r="M66" s="488"/>
      <c r="N66" s="182">
        <v>45356</v>
      </c>
      <c r="O66" s="491"/>
      <c r="P66" s="228">
        <v>11685</v>
      </c>
      <c r="Q66" s="176">
        <v>45366</v>
      </c>
      <c r="R66" s="177"/>
      <c r="S66" s="175"/>
      <c r="T66" s="175"/>
      <c r="U66" s="497"/>
      <c r="V66" s="511"/>
      <c r="W66" s="485"/>
      <c r="X66" s="110">
        <v>51</v>
      </c>
    </row>
    <row r="67" spans="1:24" s="80" customFormat="1" ht="68.45" customHeight="1" x14ac:dyDescent="0.25">
      <c r="A67" s="153">
        <v>20</v>
      </c>
      <c r="B67" s="154" t="s">
        <v>56</v>
      </c>
      <c r="C67" s="154" t="s">
        <v>147</v>
      </c>
      <c r="D67" s="154" t="s">
        <v>158</v>
      </c>
      <c r="E67" s="154" t="s">
        <v>234</v>
      </c>
      <c r="F67" s="161">
        <v>45351</v>
      </c>
      <c r="G67" s="155" t="s">
        <v>233</v>
      </c>
      <c r="H67" s="156">
        <v>9963</v>
      </c>
      <c r="I67" s="157">
        <f>IF(X67 = 52, H67 + SUM(S67:S67) - SUM(T67:T67) - SUM(P67:P67) - V67,0)</f>
        <v>0</v>
      </c>
      <c r="J67" s="158">
        <v>235300582900</v>
      </c>
      <c r="K67" s="159" t="s">
        <v>171</v>
      </c>
      <c r="L67" s="154" t="s">
        <v>147</v>
      </c>
      <c r="M67" s="154" t="s">
        <v>235</v>
      </c>
      <c r="N67" s="161">
        <v>45373</v>
      </c>
      <c r="O67" s="161" t="s">
        <v>203</v>
      </c>
      <c r="P67" s="339">
        <v>8364</v>
      </c>
      <c r="Q67" s="155">
        <v>45386</v>
      </c>
      <c r="R67" s="154"/>
      <c r="S67" s="156"/>
      <c r="T67" s="156"/>
      <c r="U67" s="156" t="s">
        <v>263</v>
      </c>
      <c r="V67" s="160">
        <v>1599</v>
      </c>
      <c r="W67" s="151"/>
      <c r="X67" s="80">
        <v>52</v>
      </c>
    </row>
    <row r="68" spans="1:24" s="80" customFormat="1" ht="56.25" x14ac:dyDescent="0.25">
      <c r="A68" s="211">
        <v>21</v>
      </c>
      <c r="B68" s="154" t="s">
        <v>56</v>
      </c>
      <c r="C68" s="213" t="s">
        <v>147</v>
      </c>
      <c r="D68" s="154" t="s">
        <v>158</v>
      </c>
      <c r="E68" s="213" t="s">
        <v>129</v>
      </c>
      <c r="F68" s="217">
        <v>45380</v>
      </c>
      <c r="G68" s="215" t="s">
        <v>245</v>
      </c>
      <c r="H68" s="212">
        <v>275947.56</v>
      </c>
      <c r="I68" s="216">
        <f>IF(X68 = 53, H68 + SUM(S68:S68) - SUM(T68:T68) - SUM(P68:P68) - V68,0)</f>
        <v>275947.56</v>
      </c>
      <c r="J68" s="158">
        <v>235300582900</v>
      </c>
      <c r="K68" s="159" t="s">
        <v>171</v>
      </c>
      <c r="L68" s="154" t="s">
        <v>147</v>
      </c>
      <c r="M68" s="213" t="s">
        <v>246</v>
      </c>
      <c r="N68" s="217"/>
      <c r="O68" s="161" t="s">
        <v>203</v>
      </c>
      <c r="P68" s="212"/>
      <c r="Q68" s="215"/>
      <c r="R68" s="213"/>
      <c r="S68" s="212"/>
      <c r="T68" s="212"/>
      <c r="U68" s="212"/>
      <c r="V68" s="210"/>
      <c r="W68" s="214"/>
      <c r="X68" s="80">
        <v>53</v>
      </c>
    </row>
    <row r="69" spans="1:24" s="80" customFormat="1" ht="56.25" x14ac:dyDescent="0.25">
      <c r="A69" s="295">
        <v>22</v>
      </c>
      <c r="B69" s="154" t="s">
        <v>56</v>
      </c>
      <c r="C69" s="290" t="s">
        <v>147</v>
      </c>
      <c r="D69" s="154" t="s">
        <v>158</v>
      </c>
      <c r="E69" s="290" t="s">
        <v>247</v>
      </c>
      <c r="F69" s="304">
        <v>45380</v>
      </c>
      <c r="G69" s="293" t="s">
        <v>229</v>
      </c>
      <c r="H69" s="289">
        <v>36432</v>
      </c>
      <c r="I69" s="294">
        <f>IF(X69 = 54, H69 + SUM(S69:S69) - SUM(T69:T69) - SUM(P69:P69) - V69,0)</f>
        <v>36432</v>
      </c>
      <c r="J69" s="158">
        <v>235300582900</v>
      </c>
      <c r="K69" s="159" t="s">
        <v>171</v>
      </c>
      <c r="L69" s="154" t="s">
        <v>147</v>
      </c>
      <c r="M69" s="296" t="s">
        <v>246</v>
      </c>
      <c r="N69" s="304"/>
      <c r="O69" s="161" t="s">
        <v>203</v>
      </c>
      <c r="P69" s="289"/>
      <c r="Q69" s="293"/>
      <c r="R69" s="290"/>
      <c r="S69" s="289"/>
      <c r="T69" s="289"/>
      <c r="U69" s="289"/>
      <c r="V69" s="291"/>
      <c r="W69" s="292"/>
      <c r="X69" s="80">
        <v>54</v>
      </c>
    </row>
    <row r="70" spans="1:24" s="80" customFormat="1" ht="131.25" x14ac:dyDescent="0.25">
      <c r="A70" s="295">
        <v>23</v>
      </c>
      <c r="B70" s="154" t="s">
        <v>56</v>
      </c>
      <c r="C70" s="290" t="s">
        <v>147</v>
      </c>
      <c r="D70" s="154" t="s">
        <v>158</v>
      </c>
      <c r="E70" s="290" t="s">
        <v>248</v>
      </c>
      <c r="F70" s="304">
        <v>45380</v>
      </c>
      <c r="G70" s="293" t="s">
        <v>249</v>
      </c>
      <c r="H70" s="289">
        <v>39003.120000000003</v>
      </c>
      <c r="I70" s="294">
        <f>IF(X70 = 55, H70 + SUM(S70:S70) - SUM(T70:T70) - SUM(P70:P70) - V70,0)</f>
        <v>39003.120000000003</v>
      </c>
      <c r="J70" s="158">
        <v>235300582900</v>
      </c>
      <c r="K70" s="159" t="s">
        <v>171</v>
      </c>
      <c r="L70" s="154" t="s">
        <v>147</v>
      </c>
      <c r="M70" s="296" t="s">
        <v>246</v>
      </c>
      <c r="N70" s="304"/>
      <c r="O70" s="161" t="s">
        <v>203</v>
      </c>
      <c r="P70" s="289"/>
      <c r="Q70" s="293"/>
      <c r="R70" s="290"/>
      <c r="S70" s="289"/>
      <c r="T70" s="289"/>
      <c r="U70" s="289"/>
      <c r="V70" s="291"/>
      <c r="W70" s="292"/>
      <c r="X70" s="80">
        <v>55</v>
      </c>
    </row>
    <row r="71" spans="1:24" s="80" customFormat="1" x14ac:dyDescent="0.25">
      <c r="A71" s="325">
        <v>24</v>
      </c>
      <c r="B71" s="322"/>
      <c r="C71" s="322"/>
      <c r="D71" s="322"/>
      <c r="E71" s="322"/>
      <c r="F71" s="338"/>
      <c r="G71" s="317"/>
      <c r="H71" s="318"/>
      <c r="I71" s="319">
        <f>IF(X71 = 56, H71 + SUM(S71:S71) - SUM(T71:T71) - SUM(P71:P71) - V71,0)</f>
        <v>0</v>
      </c>
      <c r="J71" s="320"/>
      <c r="K71" s="321"/>
      <c r="L71" s="322"/>
      <c r="M71" s="322"/>
      <c r="N71" s="338"/>
      <c r="O71" s="338"/>
      <c r="P71" s="318"/>
      <c r="Q71" s="317"/>
      <c r="R71" s="322"/>
      <c r="S71" s="318"/>
      <c r="T71" s="318"/>
      <c r="U71" s="318"/>
      <c r="V71" s="323"/>
      <c r="W71" s="324"/>
      <c r="X71" s="80">
        <v>56</v>
      </c>
    </row>
    <row r="72" spans="1:24" x14ac:dyDescent="0.25">
      <c r="X72" s="2">
        <v>57</v>
      </c>
    </row>
  </sheetData>
  <sheetProtection password="EB34" sheet="1" objects="1" scenarios="1" formatCells="0" formatColumns="0" formatRows="0"/>
  <mergeCells count="207">
    <mergeCell ref="A16:A28"/>
    <mergeCell ref="O16:O28"/>
    <mergeCell ref="A46:A48"/>
    <mergeCell ref="B46:B48"/>
    <mergeCell ref="A40:A43"/>
    <mergeCell ref="O40:O43"/>
    <mergeCell ref="A36:A39"/>
    <mergeCell ref="A32:A35"/>
    <mergeCell ref="O32:O35"/>
    <mergeCell ref="B36:B39"/>
    <mergeCell ref="C36:C39"/>
    <mergeCell ref="U16:U28"/>
    <mergeCell ref="B16:B28"/>
    <mergeCell ref="V16:V28"/>
    <mergeCell ref="C16:C28"/>
    <mergeCell ref="W16:W28"/>
    <mergeCell ref="D16:D28"/>
    <mergeCell ref="E16:E28"/>
    <mergeCell ref="F16:F28"/>
    <mergeCell ref="G16:G28"/>
    <mergeCell ref="H16:H28"/>
    <mergeCell ref="I16:I28"/>
    <mergeCell ref="J16:J28"/>
    <mergeCell ref="K16:K28"/>
    <mergeCell ref="L16:L28"/>
    <mergeCell ref="M16:M28"/>
    <mergeCell ref="D50:D52"/>
    <mergeCell ref="H50:H52"/>
    <mergeCell ref="O46:O48"/>
    <mergeCell ref="U46:U48"/>
    <mergeCell ref="V46:V48"/>
    <mergeCell ref="C46:C48"/>
    <mergeCell ref="W46:W48"/>
    <mergeCell ref="D46:D48"/>
    <mergeCell ref="I50:I52"/>
    <mergeCell ref="J50:J52"/>
    <mergeCell ref="K50:K52"/>
    <mergeCell ref="L50:L52"/>
    <mergeCell ref="M50:M52"/>
    <mergeCell ref="C50:C52"/>
    <mergeCell ref="E50:E52"/>
    <mergeCell ref="F50:F52"/>
    <mergeCell ref="G50:G52"/>
    <mergeCell ref="G46:G48"/>
    <mergeCell ref="H46:H48"/>
    <mergeCell ref="I46:I48"/>
    <mergeCell ref="J46:J48"/>
    <mergeCell ref="O50:O52"/>
    <mergeCell ref="U50:U52"/>
    <mergeCell ref="W9:W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S2:U2"/>
    <mergeCell ref="F2:G2"/>
    <mergeCell ref="N2:O2"/>
    <mergeCell ref="A9:A15"/>
    <mergeCell ref="O9:O15"/>
    <mergeCell ref="U9:U15"/>
    <mergeCell ref="B9:B15"/>
    <mergeCell ref="V9:V15"/>
    <mergeCell ref="C9:C15"/>
    <mergeCell ref="A50:A52"/>
    <mergeCell ref="W29:W31"/>
    <mergeCell ref="D29:D31"/>
    <mergeCell ref="E29:E31"/>
    <mergeCell ref="F29:F31"/>
    <mergeCell ref="G29:G31"/>
    <mergeCell ref="H29:H31"/>
    <mergeCell ref="I29:I31"/>
    <mergeCell ref="J29:J31"/>
    <mergeCell ref="K29:K31"/>
    <mergeCell ref="L29:L31"/>
    <mergeCell ref="M29:M31"/>
    <mergeCell ref="E46:E48"/>
    <mergeCell ref="F46:F48"/>
    <mergeCell ref="A29:A31"/>
    <mergeCell ref="O29:O31"/>
    <mergeCell ref="K46:K48"/>
    <mergeCell ref="L46:L48"/>
    <mergeCell ref="M46:M48"/>
    <mergeCell ref="U29:U31"/>
    <mergeCell ref="B29:B31"/>
    <mergeCell ref="C29:C31"/>
    <mergeCell ref="V29:V31"/>
    <mergeCell ref="O36:O39"/>
    <mergeCell ref="B50:B52"/>
    <mergeCell ref="V50:V52"/>
    <mergeCell ref="W59:W61"/>
    <mergeCell ref="D59:D61"/>
    <mergeCell ref="E59:E61"/>
    <mergeCell ref="F59:F61"/>
    <mergeCell ref="G59:G61"/>
    <mergeCell ref="H59:H61"/>
    <mergeCell ref="I59:I61"/>
    <mergeCell ref="J59:J61"/>
    <mergeCell ref="K59:K61"/>
    <mergeCell ref="L59:L61"/>
    <mergeCell ref="M59:M61"/>
    <mergeCell ref="B54:B55"/>
    <mergeCell ref="V54:V55"/>
    <mergeCell ref="C54:C55"/>
    <mergeCell ref="W54:W55"/>
    <mergeCell ref="D54:D55"/>
    <mergeCell ref="M54:M55"/>
    <mergeCell ref="E54:E55"/>
    <mergeCell ref="W50:W52"/>
    <mergeCell ref="F54:F55"/>
    <mergeCell ref="G54:G55"/>
    <mergeCell ref="H54:H55"/>
    <mergeCell ref="A59:A61"/>
    <mergeCell ref="O59:O61"/>
    <mergeCell ref="U59:U61"/>
    <mergeCell ref="B59:B61"/>
    <mergeCell ref="V59:V61"/>
    <mergeCell ref="C59:C61"/>
    <mergeCell ref="A54:A55"/>
    <mergeCell ref="O54:O55"/>
    <mergeCell ref="I54:I55"/>
    <mergeCell ref="J54:J55"/>
    <mergeCell ref="K54:K55"/>
    <mergeCell ref="L54:L55"/>
    <mergeCell ref="U54:U55"/>
    <mergeCell ref="A65:A66"/>
    <mergeCell ref="O65:O66"/>
    <mergeCell ref="U65:U66"/>
    <mergeCell ref="B65:B66"/>
    <mergeCell ref="V65:V66"/>
    <mergeCell ref="C65:C66"/>
    <mergeCell ref="A62:A64"/>
    <mergeCell ref="O62:O64"/>
    <mergeCell ref="U62:U64"/>
    <mergeCell ref="B62:B64"/>
    <mergeCell ref="V62:V64"/>
    <mergeCell ref="C62:C64"/>
    <mergeCell ref="W65:W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W62:W64"/>
    <mergeCell ref="D62:D64"/>
    <mergeCell ref="E62:E64"/>
    <mergeCell ref="F62:F64"/>
    <mergeCell ref="G62:G64"/>
    <mergeCell ref="H62:H64"/>
    <mergeCell ref="I62:I64"/>
    <mergeCell ref="J62:J64"/>
    <mergeCell ref="K62:K64"/>
    <mergeCell ref="L62:L64"/>
    <mergeCell ref="M62:M64"/>
    <mergeCell ref="U40:U43"/>
    <mergeCell ref="B40:B43"/>
    <mergeCell ref="V40:V43"/>
    <mergeCell ref="C40:C43"/>
    <mergeCell ref="W40:W43"/>
    <mergeCell ref="D40:D43"/>
    <mergeCell ref="E40:E43"/>
    <mergeCell ref="F40:F43"/>
    <mergeCell ref="G40:G43"/>
    <mergeCell ref="H40:H43"/>
    <mergeCell ref="I40:I43"/>
    <mergeCell ref="J40:J43"/>
    <mergeCell ref="K40:K43"/>
    <mergeCell ref="L40:L43"/>
    <mergeCell ref="M40:M43"/>
    <mergeCell ref="W36:W39"/>
    <mergeCell ref="D36:D39"/>
    <mergeCell ref="E36:E39"/>
    <mergeCell ref="F36:F39"/>
    <mergeCell ref="G36:G39"/>
    <mergeCell ref="H36:H39"/>
    <mergeCell ref="I36:I39"/>
    <mergeCell ref="J36:J39"/>
    <mergeCell ref="K36:K39"/>
    <mergeCell ref="L36:L39"/>
    <mergeCell ref="M36:M39"/>
    <mergeCell ref="U36:U39"/>
    <mergeCell ref="V36:V39"/>
    <mergeCell ref="U32:U35"/>
    <mergeCell ref="B32:B35"/>
    <mergeCell ref="V32:V35"/>
    <mergeCell ref="C32:C35"/>
    <mergeCell ref="W32:W35"/>
    <mergeCell ref="D32:D35"/>
    <mergeCell ref="E32:E35"/>
    <mergeCell ref="F32:F35"/>
    <mergeCell ref="G32:G35"/>
    <mergeCell ref="H32:H35"/>
    <mergeCell ref="I32:I35"/>
    <mergeCell ref="J32:J35"/>
    <mergeCell ref="K32:K35"/>
    <mergeCell ref="L32:L35"/>
    <mergeCell ref="M32:M3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0"/>
  <sheetViews>
    <sheetView showGridLines="0" topLeftCell="D1" zoomScale="50" zoomScaleNormal="50" workbookViewId="0">
      <pane ySplit="8" topLeftCell="A9" activePane="bottomLeft" state="frozen"/>
      <selection pane="bottomLeft" activeCell="Q9" sqref="Q9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585" t="s">
        <v>24</v>
      </c>
      <c r="F2" s="586"/>
      <c r="G2" s="75">
        <f>SUM(G9:G9999)</f>
        <v>587944.5</v>
      </c>
      <c r="L2" s="665" t="s">
        <v>137</v>
      </c>
      <c r="M2" s="666"/>
      <c r="N2" s="66">
        <f>SUM(N9:N9999)</f>
        <v>549485.19999999995</v>
      </c>
      <c r="P2" s="65"/>
      <c r="Q2" s="453" t="s">
        <v>45</v>
      </c>
      <c r="R2" s="454"/>
      <c r="S2" s="455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6.25" x14ac:dyDescent="0.25">
      <c r="A9" s="369">
        <v>1</v>
      </c>
      <c r="B9" s="364" t="s">
        <v>284</v>
      </c>
      <c r="C9" s="364" t="s">
        <v>158</v>
      </c>
      <c r="D9" s="364" t="s">
        <v>279</v>
      </c>
      <c r="E9" s="371">
        <v>45366</v>
      </c>
      <c r="F9" s="367" t="s">
        <v>280</v>
      </c>
      <c r="G9" s="365">
        <v>587944.5</v>
      </c>
      <c r="H9" s="368">
        <f>IF(V9 = 2, G9 + SUM(Q9:Q9) - SUM(R9:R9) - SUM(N9:N9) - T9,0)</f>
        <v>38459.300000000047</v>
      </c>
      <c r="I9" s="370">
        <v>7715995942</v>
      </c>
      <c r="J9" s="364" t="s">
        <v>281</v>
      </c>
      <c r="K9" s="364" t="s">
        <v>282</v>
      </c>
      <c r="L9" s="371">
        <v>45406</v>
      </c>
      <c r="M9" s="364" t="s">
        <v>283</v>
      </c>
      <c r="N9" s="365">
        <v>549485.19999999995</v>
      </c>
      <c r="O9" s="371"/>
      <c r="P9" s="367"/>
      <c r="Q9" s="365"/>
      <c r="R9" s="365"/>
      <c r="S9" s="367"/>
      <c r="T9" s="365"/>
      <c r="U9" s="366"/>
      <c r="V9" s="80">
        <v>2</v>
      </c>
    </row>
    <row r="10" spans="1:22" x14ac:dyDescent="0.25">
      <c r="V10" s="2">
        <v>3</v>
      </c>
    </row>
  </sheetData>
  <sheetProtection password="EB34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3"/>
  <sheetViews>
    <sheetView showGridLines="0" topLeftCell="H1" zoomScale="50" zoomScaleNormal="50" workbookViewId="0">
      <pane ySplit="8" topLeftCell="A9" activePane="bottomLeft" state="frozen"/>
      <selection pane="bottomLeft" activeCell="I40" sqref="I40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585" t="s">
        <v>139</v>
      </c>
      <c r="F2" s="586"/>
      <c r="G2" s="77">
        <f>SUM(G9:G9999)</f>
        <v>740465.76</v>
      </c>
      <c r="O2" s="585" t="s">
        <v>24</v>
      </c>
      <c r="P2" s="586"/>
      <c r="Q2" s="75">
        <f>SUM(Q9:Q9999)</f>
        <v>392446.84</v>
      </c>
      <c r="T2" s="453" t="s">
        <v>137</v>
      </c>
      <c r="U2" s="455"/>
      <c r="V2" s="66">
        <f>SUM(V9:V9999)</f>
        <v>266775.65999999997</v>
      </c>
      <c r="X2" s="65"/>
      <c r="Y2" s="453" t="s">
        <v>45</v>
      </c>
      <c r="Z2" s="454"/>
      <c r="AA2" s="455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685">
        <v>1</v>
      </c>
      <c r="B9" s="670" t="s">
        <v>56</v>
      </c>
      <c r="C9" s="670" t="s">
        <v>161</v>
      </c>
      <c r="D9" s="670" t="s">
        <v>158</v>
      </c>
      <c r="E9" s="670" t="s">
        <v>162</v>
      </c>
      <c r="F9" s="670" t="s">
        <v>154</v>
      </c>
      <c r="G9" s="676">
        <v>740465.76</v>
      </c>
      <c r="H9" s="679">
        <f>IF(AD9 = 1, G9 - Q9,0)</f>
        <v>348018.92</v>
      </c>
      <c r="I9" s="676">
        <v>5</v>
      </c>
      <c r="J9" s="676">
        <v>0</v>
      </c>
      <c r="K9" s="670" t="s">
        <v>194</v>
      </c>
      <c r="L9" s="670" t="s">
        <v>163</v>
      </c>
      <c r="M9" s="670" t="s">
        <v>164</v>
      </c>
      <c r="N9" s="682">
        <v>45286</v>
      </c>
      <c r="O9" s="670" t="s">
        <v>155</v>
      </c>
      <c r="P9" s="670" t="s">
        <v>156</v>
      </c>
      <c r="Q9" s="676">
        <v>392446.84</v>
      </c>
      <c r="R9" s="679">
        <f>IF(AD9 = 1, Q9 + SUM(Y9:Y12) - SUM(Z9:Z12) - SUM(V9:V12) - AB9,0)</f>
        <v>125671.18000000005</v>
      </c>
      <c r="S9" s="670" t="s">
        <v>165</v>
      </c>
      <c r="T9" s="380">
        <v>45323</v>
      </c>
      <c r="U9" s="688" t="s">
        <v>157</v>
      </c>
      <c r="V9" s="372">
        <v>68347.48</v>
      </c>
      <c r="W9" s="380">
        <v>45327</v>
      </c>
      <c r="X9" s="373"/>
      <c r="Y9" s="374"/>
      <c r="Z9" s="374"/>
      <c r="AA9" s="691"/>
      <c r="AB9" s="667"/>
      <c r="AC9" s="673"/>
      <c r="AD9" s="80">
        <v>1</v>
      </c>
    </row>
    <row r="10" spans="1:30" s="110" customFormat="1" x14ac:dyDescent="0.25">
      <c r="A10" s="686"/>
      <c r="B10" s="671"/>
      <c r="C10" s="671"/>
      <c r="D10" s="671"/>
      <c r="E10" s="671"/>
      <c r="F10" s="671"/>
      <c r="G10" s="677"/>
      <c r="H10" s="680"/>
      <c r="I10" s="677"/>
      <c r="J10" s="677"/>
      <c r="K10" s="671"/>
      <c r="L10" s="671"/>
      <c r="M10" s="671"/>
      <c r="N10" s="683"/>
      <c r="O10" s="671"/>
      <c r="P10" s="671"/>
      <c r="Q10" s="677"/>
      <c r="R10" s="680"/>
      <c r="S10" s="671"/>
      <c r="T10" s="381">
        <v>45352</v>
      </c>
      <c r="U10" s="689"/>
      <c r="V10" s="375">
        <v>63937.97</v>
      </c>
      <c r="W10" s="381">
        <v>45356</v>
      </c>
      <c r="X10" s="376"/>
      <c r="Y10" s="377"/>
      <c r="Z10" s="377"/>
      <c r="AA10" s="692"/>
      <c r="AB10" s="668"/>
      <c r="AC10" s="674"/>
      <c r="AD10" s="110">
        <v>1</v>
      </c>
    </row>
    <row r="11" spans="1:30" s="110" customFormat="1" x14ac:dyDescent="0.25">
      <c r="A11" s="686"/>
      <c r="B11" s="671"/>
      <c r="C11" s="671"/>
      <c r="D11" s="671"/>
      <c r="E11" s="671"/>
      <c r="F11" s="671"/>
      <c r="G11" s="677"/>
      <c r="H11" s="680"/>
      <c r="I11" s="677"/>
      <c r="J11" s="677"/>
      <c r="K11" s="671"/>
      <c r="L11" s="671"/>
      <c r="M11" s="671"/>
      <c r="N11" s="683"/>
      <c r="O11" s="671"/>
      <c r="P11" s="671"/>
      <c r="Q11" s="677"/>
      <c r="R11" s="680"/>
      <c r="S11" s="671"/>
      <c r="T11" s="381">
        <v>45384</v>
      </c>
      <c r="U11" s="689"/>
      <c r="V11" s="375">
        <v>68347.48</v>
      </c>
      <c r="W11" s="381">
        <v>45384</v>
      </c>
      <c r="X11" s="376"/>
      <c r="Y11" s="377"/>
      <c r="Z11" s="377"/>
      <c r="AA11" s="692"/>
      <c r="AB11" s="668"/>
      <c r="AC11" s="674"/>
      <c r="AD11" s="110">
        <v>1</v>
      </c>
    </row>
    <row r="12" spans="1:30" s="110" customFormat="1" x14ac:dyDescent="0.25">
      <c r="A12" s="687"/>
      <c r="B12" s="672"/>
      <c r="C12" s="672"/>
      <c r="D12" s="672"/>
      <c r="E12" s="672"/>
      <c r="F12" s="672"/>
      <c r="G12" s="678"/>
      <c r="H12" s="681"/>
      <c r="I12" s="678"/>
      <c r="J12" s="678"/>
      <c r="K12" s="672"/>
      <c r="L12" s="672"/>
      <c r="M12" s="672"/>
      <c r="N12" s="684"/>
      <c r="O12" s="672"/>
      <c r="P12" s="672"/>
      <c r="Q12" s="678"/>
      <c r="R12" s="681"/>
      <c r="S12" s="672"/>
      <c r="T12" s="382">
        <v>45414</v>
      </c>
      <c r="U12" s="690"/>
      <c r="V12" s="378">
        <v>66142.73</v>
      </c>
      <c r="W12" s="382"/>
      <c r="X12" s="379"/>
      <c r="Y12" s="378"/>
      <c r="Z12" s="378"/>
      <c r="AA12" s="693"/>
      <c r="AB12" s="669"/>
      <c r="AC12" s="675"/>
      <c r="AD12" s="110">
        <v>1</v>
      </c>
    </row>
    <row r="13" spans="1:30" x14ac:dyDescent="0.25">
      <c r="AD13" s="2">
        <v>2</v>
      </c>
    </row>
  </sheetData>
  <sheetProtection password="EB34" sheet="1" objects="1" scenarios="1" formatCells="0" formatColumns="0" formatRows="0"/>
  <mergeCells count="27">
    <mergeCell ref="A9:A12"/>
    <mergeCell ref="B9:B12"/>
    <mergeCell ref="U9:U12"/>
    <mergeCell ref="AA9:AA12"/>
    <mergeCell ref="E2:F2"/>
    <mergeCell ref="O2:P2"/>
    <mergeCell ref="Y2:AA2"/>
    <mergeCell ref="T2:U2"/>
    <mergeCell ref="Q9:Q12"/>
    <mergeCell ref="R9:R12"/>
    <mergeCell ref="S9:S12"/>
    <mergeCell ref="AB9:AB12"/>
    <mergeCell ref="C9:C12"/>
    <mergeCell ref="AC9:A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opLeftCell="N1" zoomScale="50" zoomScaleNormal="50" workbookViewId="0">
      <pane ySplit="8" topLeftCell="A9" activePane="bottomLeft" state="frozen"/>
      <selection pane="bottomLeft" activeCell="V13" sqref="V13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585" t="s">
        <v>139</v>
      </c>
      <c r="F2" s="586"/>
      <c r="G2" s="77">
        <f>SUM(G9:G9999)</f>
        <v>359413.18</v>
      </c>
      <c r="H2" s="10"/>
      <c r="O2" s="585" t="s">
        <v>24</v>
      </c>
      <c r="P2" s="586"/>
      <c r="Q2" s="75">
        <f>SUM(Q9:Q9999)</f>
        <v>359413.18</v>
      </c>
      <c r="T2" s="453" t="s">
        <v>137</v>
      </c>
      <c r="U2" s="455"/>
      <c r="V2" s="66">
        <f>SUM(V9:V9999)</f>
        <v>354059.69999999995</v>
      </c>
      <c r="X2" s="65"/>
      <c r="Y2" s="453" t="s">
        <v>45</v>
      </c>
      <c r="Z2" s="454"/>
      <c r="AA2" s="455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6" t="s">
        <v>36</v>
      </c>
      <c r="B8" s="146"/>
      <c r="C8" s="146" t="s">
        <v>73</v>
      </c>
      <c r="D8" s="146" t="s">
        <v>74</v>
      </c>
      <c r="E8" s="146" t="s">
        <v>71</v>
      </c>
      <c r="F8" s="146" t="s">
        <v>72</v>
      </c>
      <c r="G8" s="147">
        <v>15500.01</v>
      </c>
      <c r="H8" s="147">
        <f t="shared" ref="H8" si="0">G8-Q8</f>
        <v>6725</v>
      </c>
      <c r="I8" s="148">
        <v>6</v>
      </c>
      <c r="J8" s="148">
        <v>0</v>
      </c>
      <c r="K8" s="146" t="s">
        <v>75</v>
      </c>
      <c r="L8" s="146" t="s">
        <v>76</v>
      </c>
      <c r="M8" s="146" t="s">
        <v>77</v>
      </c>
      <c r="N8" s="149">
        <v>43655</v>
      </c>
      <c r="O8" s="146" t="s">
        <v>79</v>
      </c>
      <c r="P8" s="146" t="s">
        <v>78</v>
      </c>
      <c r="Q8" s="147">
        <v>8775.01</v>
      </c>
      <c r="R8" s="147">
        <f>Q8-V8</f>
        <v>0</v>
      </c>
      <c r="S8" s="146" t="s">
        <v>80</v>
      </c>
      <c r="T8" s="149">
        <v>43677</v>
      </c>
      <c r="U8" s="146" t="s">
        <v>81</v>
      </c>
      <c r="V8" s="147">
        <v>8775.01</v>
      </c>
      <c r="W8" s="149">
        <v>43696</v>
      </c>
      <c r="X8" s="146"/>
      <c r="Y8" s="146"/>
      <c r="Z8" s="146"/>
      <c r="AA8" s="146"/>
      <c r="AB8" s="147"/>
      <c r="AC8" s="150" t="s">
        <v>64</v>
      </c>
    </row>
    <row r="9" spans="1:30" s="80" customFormat="1" ht="54.6" customHeight="1" x14ac:dyDescent="0.25">
      <c r="A9" s="712">
        <v>1</v>
      </c>
      <c r="B9" s="697" t="s">
        <v>56</v>
      </c>
      <c r="C9" s="697" t="s">
        <v>166</v>
      </c>
      <c r="D9" s="697" t="s">
        <v>158</v>
      </c>
      <c r="E9" s="697" t="s">
        <v>167</v>
      </c>
      <c r="F9" s="697" t="s">
        <v>174</v>
      </c>
      <c r="G9" s="694">
        <v>359413.18</v>
      </c>
      <c r="H9" s="703">
        <f>IF(AD9 = 1, G9 - Q9,0)</f>
        <v>0</v>
      </c>
      <c r="I9" s="694">
        <v>1</v>
      </c>
      <c r="J9" s="694">
        <v>0</v>
      </c>
      <c r="K9" s="697" t="s">
        <v>194</v>
      </c>
      <c r="L9" s="706" t="s">
        <v>169</v>
      </c>
      <c r="M9" s="697" t="s">
        <v>168</v>
      </c>
      <c r="N9" s="709">
        <v>45285</v>
      </c>
      <c r="O9" s="697" t="s">
        <v>170</v>
      </c>
      <c r="P9" s="697" t="s">
        <v>171</v>
      </c>
      <c r="Q9" s="694">
        <v>359413.18</v>
      </c>
      <c r="R9" s="703">
        <f>IF(AD9 = 1, Q9 + SUM(Y9:Y13) - SUM(Z9:Z13) - SUM(V9:V13) - AB9,0)</f>
        <v>4.0017766878008842E-11</v>
      </c>
      <c r="S9" s="697" t="s">
        <v>172</v>
      </c>
      <c r="T9" s="192">
        <v>45324</v>
      </c>
      <c r="U9" s="697" t="s">
        <v>173</v>
      </c>
      <c r="V9" s="184">
        <v>64120.09</v>
      </c>
      <c r="W9" s="192">
        <v>45338</v>
      </c>
      <c r="X9" s="185"/>
      <c r="Y9" s="186"/>
      <c r="Z9" s="186"/>
      <c r="AA9" s="697" t="s">
        <v>285</v>
      </c>
      <c r="AB9" s="694">
        <v>5353.48</v>
      </c>
      <c r="AC9" s="700"/>
      <c r="AD9" s="80">
        <v>1</v>
      </c>
    </row>
    <row r="10" spans="1:30" s="110" customFormat="1" x14ac:dyDescent="0.25">
      <c r="A10" s="713"/>
      <c r="B10" s="698"/>
      <c r="C10" s="698"/>
      <c r="D10" s="698"/>
      <c r="E10" s="698"/>
      <c r="F10" s="698"/>
      <c r="G10" s="695"/>
      <c r="H10" s="704"/>
      <c r="I10" s="695"/>
      <c r="J10" s="695"/>
      <c r="K10" s="698"/>
      <c r="L10" s="707"/>
      <c r="M10" s="698"/>
      <c r="N10" s="710"/>
      <c r="O10" s="698"/>
      <c r="P10" s="698"/>
      <c r="Q10" s="695"/>
      <c r="R10" s="704"/>
      <c r="S10" s="698"/>
      <c r="T10" s="193">
        <v>45324</v>
      </c>
      <c r="U10" s="698"/>
      <c r="V10" s="187">
        <v>51101.4</v>
      </c>
      <c r="W10" s="193">
        <v>45338</v>
      </c>
      <c r="X10" s="188"/>
      <c r="Y10" s="189"/>
      <c r="Z10" s="189"/>
      <c r="AA10" s="698"/>
      <c r="AB10" s="695"/>
      <c r="AC10" s="701"/>
      <c r="AD10" s="110">
        <v>1</v>
      </c>
    </row>
    <row r="11" spans="1:30" s="110" customFormat="1" x14ac:dyDescent="0.25">
      <c r="A11" s="713"/>
      <c r="B11" s="698"/>
      <c r="C11" s="698"/>
      <c r="D11" s="698"/>
      <c r="E11" s="698"/>
      <c r="F11" s="698"/>
      <c r="G11" s="695"/>
      <c r="H11" s="704"/>
      <c r="I11" s="695"/>
      <c r="J11" s="695"/>
      <c r="K11" s="698"/>
      <c r="L11" s="707"/>
      <c r="M11" s="698"/>
      <c r="N11" s="710"/>
      <c r="O11" s="698"/>
      <c r="P11" s="698"/>
      <c r="Q11" s="695"/>
      <c r="R11" s="704"/>
      <c r="S11" s="698"/>
      <c r="T11" s="193">
        <v>45342</v>
      </c>
      <c r="U11" s="698"/>
      <c r="V11" s="187">
        <v>60956.67</v>
      </c>
      <c r="W11" s="193">
        <v>45344</v>
      </c>
      <c r="X11" s="188"/>
      <c r="Y11" s="189"/>
      <c r="Z11" s="189"/>
      <c r="AA11" s="698"/>
      <c r="AB11" s="695"/>
      <c r="AC11" s="701"/>
      <c r="AD11" s="110">
        <v>1</v>
      </c>
    </row>
    <row r="12" spans="1:30" s="110" customFormat="1" x14ac:dyDescent="0.25">
      <c r="A12" s="713"/>
      <c r="B12" s="698"/>
      <c r="C12" s="698"/>
      <c r="D12" s="698"/>
      <c r="E12" s="698"/>
      <c r="F12" s="698"/>
      <c r="G12" s="695"/>
      <c r="H12" s="704"/>
      <c r="I12" s="695"/>
      <c r="J12" s="695"/>
      <c r="K12" s="698"/>
      <c r="L12" s="707"/>
      <c r="M12" s="698"/>
      <c r="N12" s="710"/>
      <c r="O12" s="698"/>
      <c r="P12" s="698"/>
      <c r="Q12" s="695"/>
      <c r="R12" s="704"/>
      <c r="S12" s="698"/>
      <c r="T12" s="193">
        <v>45357</v>
      </c>
      <c r="U12" s="698"/>
      <c r="V12" s="187">
        <v>72515.320000000007</v>
      </c>
      <c r="W12" s="193">
        <v>45371</v>
      </c>
      <c r="X12" s="188"/>
      <c r="Y12" s="189"/>
      <c r="Z12" s="189"/>
      <c r="AA12" s="698"/>
      <c r="AB12" s="695"/>
      <c r="AC12" s="701"/>
      <c r="AD12" s="110">
        <v>1</v>
      </c>
    </row>
    <row r="13" spans="1:30" s="110" customFormat="1" x14ac:dyDescent="0.25">
      <c r="A13" s="714"/>
      <c r="B13" s="699"/>
      <c r="C13" s="699"/>
      <c r="D13" s="699"/>
      <c r="E13" s="699"/>
      <c r="F13" s="699"/>
      <c r="G13" s="696"/>
      <c r="H13" s="705"/>
      <c r="I13" s="696"/>
      <c r="J13" s="696"/>
      <c r="K13" s="699"/>
      <c r="L13" s="708"/>
      <c r="M13" s="699"/>
      <c r="N13" s="711"/>
      <c r="O13" s="699"/>
      <c r="P13" s="699"/>
      <c r="Q13" s="696"/>
      <c r="R13" s="705"/>
      <c r="S13" s="699"/>
      <c r="T13" s="194">
        <v>45373</v>
      </c>
      <c r="U13" s="699"/>
      <c r="V13" s="383">
        <v>105366.22</v>
      </c>
      <c r="W13" s="194">
        <v>45394</v>
      </c>
      <c r="X13" s="191"/>
      <c r="Y13" s="190"/>
      <c r="Z13" s="190"/>
      <c r="AA13" s="699"/>
      <c r="AB13" s="696"/>
      <c r="AC13" s="702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9" activePane="bottomLeft" state="frozen"/>
      <selection pane="bottomLeft" activeCell="P51" sqref="P5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585" t="s">
        <v>139</v>
      </c>
      <c r="F2" s="586"/>
      <c r="G2" s="77">
        <f>SUM(G9:G9999)</f>
        <v>0</v>
      </c>
      <c r="H2" s="10"/>
      <c r="O2" s="585" t="s">
        <v>24</v>
      </c>
      <c r="P2" s="586"/>
      <c r="Q2" s="75">
        <f>SUM(Q9:Q9999)</f>
        <v>0</v>
      </c>
      <c r="T2" s="453" t="s">
        <v>137</v>
      </c>
      <c r="U2" s="455"/>
      <c r="V2" s="66">
        <f>SUM(V9:V9999)</f>
        <v>0</v>
      </c>
      <c r="X2" s="65"/>
      <c r="Y2" s="453" t="s">
        <v>45</v>
      </c>
      <c r="Z2" s="454"/>
      <c r="AA2" s="455"/>
      <c r="AB2" s="67">
        <f>SUM(AB9:AB9999)</f>
        <v>0</v>
      </c>
    </row>
    <row r="4" spans="1:30" ht="39.950000000000003" customHeight="1" x14ac:dyDescent="0.25">
      <c r="P4" s="452"/>
      <c r="Q4" s="452"/>
      <c r="R4" s="452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20</v>
      </c>
      <c r="B1" s="46">
        <v>11</v>
      </c>
      <c r="C1" s="46">
        <v>9</v>
      </c>
      <c r="D1" s="717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718"/>
      <c r="E2" s="31"/>
      <c r="F2" s="59">
        <v>81</v>
      </c>
      <c r="G2" s="63">
        <v>56</v>
      </c>
      <c r="H2" s="62">
        <v>2</v>
      </c>
      <c r="I2" s="61">
        <v>1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71</v>
      </c>
      <c r="B4" s="43">
        <v>24</v>
      </c>
      <c r="C4" s="43">
        <v>9</v>
      </c>
      <c r="D4" s="719" t="s">
        <v>102</v>
      </c>
      <c r="E4" s="31"/>
      <c r="F4" s="59">
        <v>82</v>
      </c>
      <c r="G4" s="63">
        <v>57</v>
      </c>
      <c r="H4" s="62">
        <v>3</v>
      </c>
      <c r="I4" s="61">
        <v>2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720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9</v>
      </c>
      <c r="B7" s="45">
        <v>1</v>
      </c>
      <c r="C7" s="45">
        <v>9</v>
      </c>
      <c r="D7" s="721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722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12</v>
      </c>
      <c r="B10" s="41">
        <v>1</v>
      </c>
      <c r="C10" s="41">
        <v>9</v>
      </c>
      <c r="D10" s="723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724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725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726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715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716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2024-05-02T10:04:26Z</dcterms:modified>
</cp:coreProperties>
</file>