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workbookProtection workbookPassword="EB34" lockStructure="1"/>
  <bookViews>
    <workbookView xWindow="0" yWindow="0" windowWidth="28800" windowHeight="12330" tabRatio="603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 iterate="1"/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19"/>
  <c r="N2" i="19"/>
  <c r="T2" i="19"/>
  <c r="I83" i="27" l="1"/>
  <c r="G2" i="20"/>
  <c r="Q2" i="20"/>
  <c r="V2" i="20"/>
  <c r="AB2" i="20"/>
  <c r="G2" i="22"/>
  <c r="Q2" i="22"/>
  <c r="V2" i="22"/>
  <c r="AB2" i="22"/>
  <c r="G2" i="17"/>
  <c r="Q2" i="17"/>
  <c r="V2" i="17"/>
  <c r="AB2" i="17"/>
  <c r="I82" i="27"/>
  <c r="I81" i="27"/>
  <c r="I80" i="27"/>
  <c r="I211" i="31"/>
  <c r="I79" i="27"/>
  <c r="I78" i="27"/>
  <c r="I77" i="27"/>
  <c r="I76" i="27"/>
  <c r="I75" i="27"/>
  <c r="I74" i="27" l="1"/>
  <c r="I210" i="31"/>
  <c r="I73" i="27"/>
  <c r="I72" i="27"/>
  <c r="I71" i="27"/>
  <c r="I69" i="27"/>
  <c r="I68" i="27"/>
  <c r="I67" i="27"/>
  <c r="I208" i="31"/>
  <c r="I206" i="31"/>
  <c r="I63" i="27"/>
  <c r="I60" i="27"/>
  <c r="I66" i="27"/>
  <c r="I65" i="27"/>
  <c r="I9" i="31" l="1"/>
  <c r="I59" i="27" l="1"/>
  <c r="I58" i="27" l="1"/>
  <c r="I57" i="27"/>
  <c r="I56" i="27"/>
  <c r="I55" i="27"/>
  <c r="I54" i="27"/>
  <c r="I53" i="27"/>
  <c r="H9" i="20" l="1"/>
  <c r="R9" i="20"/>
  <c r="I71" i="31" l="1"/>
  <c r="I49" i="27" l="1"/>
  <c r="I52" i="27"/>
  <c r="I51" i="27"/>
  <c r="I48" i="27"/>
  <c r="I203" i="31" l="1"/>
  <c r="I47" i="27" l="1"/>
  <c r="I198" i="31" l="1"/>
  <c r="I46" i="27"/>
  <c r="I45" i="27" l="1"/>
  <c r="I44" i="27"/>
  <c r="I43" i="27"/>
  <c r="I42" i="27"/>
  <c r="I41" i="27"/>
  <c r="I40" i="27"/>
  <c r="I39" i="27"/>
  <c r="I38" i="27"/>
  <c r="I37" i="27"/>
  <c r="I36" i="27"/>
  <c r="I197" i="31"/>
  <c r="I178" i="31"/>
  <c r="I35" i="27"/>
  <c r="I127" i="31"/>
  <c r="I34" i="27"/>
  <c r="I33" i="27"/>
  <c r="I32" i="27"/>
  <c r="I31" i="27"/>
  <c r="I30" i="27"/>
  <c r="I177" i="31"/>
  <c r="I139" i="31" l="1"/>
  <c r="H9" i="19" l="1"/>
  <c r="I29" i="27" l="1"/>
  <c r="I28" i="27"/>
  <c r="I27" i="27" l="1"/>
  <c r="I26" i="27"/>
  <c r="I25" i="27"/>
  <c r="I24" i="27"/>
  <c r="I156" i="31" l="1"/>
  <c r="I169" i="31" l="1"/>
  <c r="I23" i="27"/>
  <c r="I22" i="27"/>
  <c r="I21" i="27"/>
  <c r="I20" i="27"/>
  <c r="I19" i="27"/>
  <c r="I18" i="27"/>
  <c r="I17" i="27"/>
  <c r="I175" i="31"/>
  <c r="I173" i="31"/>
  <c r="I16" i="27"/>
  <c r="I15" i="27"/>
  <c r="I13" i="27"/>
  <c r="I165" i="31" l="1"/>
  <c r="I163" i="31"/>
  <c r="I161" i="31"/>
  <c r="I12" i="27"/>
  <c r="I64" i="31"/>
  <c r="I144" i="31" l="1"/>
  <c r="I11" i="27"/>
  <c r="I115" i="31"/>
  <c r="I103" i="31" l="1"/>
  <c r="I63" i="31" l="1"/>
  <c r="I51" i="31"/>
  <c r="I10" i="27" l="1"/>
  <c r="I39" i="31" l="1"/>
  <c r="I9" i="27" l="1"/>
  <c r="I35" i="31" l="1"/>
  <c r="H9" i="17" l="1"/>
  <c r="R9" i="17"/>
  <c r="I29" i="31"/>
  <c r="I22" i="3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<sst xmlns="http://schemas.openxmlformats.org/spreadsheetml/2006/main" count="1432" uniqueCount="580">
  <si>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</si>
  <si>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</si>
  <si>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</si>
  <si>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</si>
  <si>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</si>
  <si>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</si>
  <si>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</si>
  <si>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</si>
  <si>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</si>
  <si>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</si>
  <si>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</si>
  <si>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</si>
  <si>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</si>
  <si>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</si>
  <si>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</si>
  <si>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</si>
  <si>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</si>
  <si>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</si>
  <si>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</si>
  <si>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</si>
  <si>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</si>
  <si>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</si>
  <si>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</si>
  <si>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</si>
  <si>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</si>
  <si>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</si>
  <si>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</si>
  <si>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</si>
  <si>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</si>
  <si>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</si>
  <si>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</si>
  <si>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</si>
  <si>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</si>
  <si>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</si>
  <si>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</si>
  <si>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</si>
  <si>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</si>
  <si>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</si>
  <si>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</si>
  <si>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</si>
  <si>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</si>
  <si>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</si>
  <si>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</si>
  <si>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</si>
  <si>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</si>
  <si>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</si>
  <si>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</si>
  <si>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</si>
  <si>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</si>
  <si>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</si>
  <si>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</si>
  <si>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</si>
  <si>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</si>
  <si>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</si>
  <si>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</si>
  <si>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</si>
  <si>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</si>
  <si>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</si>
  <si>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</si>
  <si>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</si>
  <si>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</si>
  <si>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</si>
  <si>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</si>
  <si>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</si>
  <si>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</si>
  <si>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</si>
  <si>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</si>
  <si>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</si>
  <si>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</si>
  <si>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</si>
  <si>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</si>
  <si>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</si>
  <si>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</si>
  <si>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</si>
  <si>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</si>
  <si>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</si>
  <si>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</si>
  <si>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</si>
  <si>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</si>
  <si>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</si>
  <si>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</si>
  <si>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</si>
  <si>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</si>
  <si>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</si>
  <si>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</si>
  <si>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</si>
  <si>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</si>
  <si>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</si>
  <si>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</si>
  <si>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</si>
  <si>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</si>
  <si>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</si>
  <si>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</si>
  <si>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</si>
  <si>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</si>
  <si>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</si>
  <si>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</si>
  <si>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</si>
  <si>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</si>
  <si>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</si>
  <si>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</si>
  <si>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</si>
  <si>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</si>
  <si>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</si>
  <si>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</si>
  <si>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</si>
  <si>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</si>
  <si>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</si>
  <si>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</si>
  <si>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</si>
  <si>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</si>
  <si>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</si>
  <si>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</si>
  <si>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</si>
  <si>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</si>
  <si>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</si>
  <si>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</si>
  <si>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</si>
  <si>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</si>
  <si>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</si>
  <si>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</si>
  <si>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</si>
  <si>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</si>
  <si>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</si>
  <si>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</si>
  <si>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</si>
  <si>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</si>
  <si>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</si>
  <si>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</si>
  <si>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</si>
  <si>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</si>
  <si>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</si>
  <si>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</si>
  <si>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</si>
  <si>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</si>
  <si>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</si>
  <si>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</si>
  <si>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</si>
  <si>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</si>
  <si>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</si>
  <si>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</si>
  <si>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</si>
  <si>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</si>
  <si>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</si>
  <si>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</si>
  <si>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</si>
  <si>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</si>
  <si>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</si>
  <si>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25-11-03009/23</t>
  </si>
  <si>
    <t>Поставка газа</t>
  </si>
  <si>
    <t xml:space="preserve">ООО "Газпром межрегионгаз Краснодар" </t>
  </si>
  <si>
    <t>с 01.01.2023 по 31.12.2023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</si>
  <si>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</si>
  <si>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</si>
  <si>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</si>
  <si>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</si>
  <si>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34550722/046872</t>
  </si>
  <si>
    <t>Бензин</t>
  </si>
  <si>
    <t>ООО "РН-Карт"</t>
  </si>
  <si>
    <t>с 01.01.2023 по 30.06.2023</t>
  </si>
  <si>
    <t>Поставщик не из КК</t>
  </si>
  <si>
    <t>Оплата производится в срок, не превыщающий 10 рабочих дней с даты подписания Отчетных документов</t>
  </si>
  <si>
    <t>Оказание охранных услуг</t>
  </si>
  <si>
    <t>223235301533323530100100130018010244</t>
  </si>
  <si>
    <t>0818300019922000336-21</t>
  </si>
  <si>
    <t xml:space="preserve">2304067057 </t>
  </si>
  <si>
    <t xml:space="preserve">ООО ЧОО "ЛЕГИОН" </t>
  </si>
  <si>
    <t>с 01 января 2023 г. по 19 октября 2023 г. до 24 ч.00 мин  (включительно)</t>
  </si>
  <si>
    <t xml:space="preserve">0818300019922000336 </t>
  </si>
  <si>
    <t>СМП</t>
  </si>
  <si>
    <t>в течение не более чем 7 рабочих дней с даты подписания Заказчиком документа о приемке</t>
  </si>
  <si>
    <t>3235301533322000004</t>
  </si>
  <si>
    <t>925 0000 0000000000 244</t>
  </si>
  <si>
    <t>ДГ-23/45</t>
  </si>
  <si>
    <t>Техническое сопровождение транспортного средства</t>
  </si>
  <si>
    <t>ООО "КАНкорт"</t>
  </si>
  <si>
    <t>в течение не более 7 (семи) рабочих дней с момента подписания акта выполненных работ</t>
  </si>
  <si>
    <t>без номера</t>
  </si>
  <si>
    <t>Предоставление услуг по базированию транспортных средств</t>
  </si>
  <si>
    <t>ИП Лукоянов Ю.В.</t>
  </si>
  <si>
    <t>в течение не более 7 (семи) рабочих дней со дня подписания счета</t>
  </si>
  <si>
    <t>235306577600</t>
  </si>
  <si>
    <t>с 01.01.2023 по 30.11.2023 (включительно)</t>
  </si>
  <si>
    <t xml:space="preserve">ФГКУ "УВО ВНГ России по Краснодарскому краю" </t>
  </si>
  <si>
    <t>34000851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</si>
  <si>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</si>
  <si>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>в срок не превышающий 10 рабочих дней с даты подписания документов о приемке оказанных услуг</t>
  </si>
  <si>
    <t>в течение 5 (пяти) рабочих дней со дня заключения договора</t>
  </si>
  <si>
    <t>Союз «Тимашевская торгово-промышленная палата»</t>
  </si>
  <si>
    <t>Оказание услуги по оценке рыночной стоимости права аренды муниципального имущества</t>
  </si>
  <si>
    <t>2335015365</t>
  </si>
  <si>
    <t>172</t>
  </si>
  <si>
    <t xml:space="preserve">Оказание услуг электросвязи </t>
  </si>
  <si>
    <t>ПАО "Ростелеком"</t>
  </si>
  <si>
    <t>в течение 7 (семи) рабочих дней с даты подписания акта оказанных услуг</t>
  </si>
  <si>
    <t>172-Б2</t>
  </si>
  <si>
    <t>Оказание услуг электросвязи (междугородная и международная телефонная связь)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</si>
  <si>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</si>
  <si>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</si>
  <si>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ИП Эжбаев Ю.Н.</t>
  </si>
  <si>
    <t>21-нш</t>
  </si>
  <si>
    <t>Оказание услуги по организации горячего питания в соответствии с меню, разработанным для учащихся 1-4 классов</t>
  </si>
  <si>
    <t>с 09.01.2023 по 24.03.2023 (включительно)</t>
  </si>
  <si>
    <t>в течение 7 (семи) рабочих дней после подписания акта приема- передачи оказанных услуг</t>
  </si>
  <si>
    <t xml:space="preserve">Оказание услуги по организации горячего питания (стоимость горячего питания) обучающихся по образовательным программам основного общего образования </t>
  </si>
  <si>
    <t>21-ош</t>
  </si>
  <si>
    <t>с 09.01.2023 по 20.05.2023</t>
  </si>
  <si>
    <t>Осуществление  доврачебной медицинской помощи по медицинским (предрейсовым и послерейсовым) осмотрам водителей и техническим осмотрам транспортного средства (предрейсовым и послерейсовым)</t>
  </si>
  <si>
    <t>ТРО КРООО "ВОА"</t>
  </si>
  <si>
    <t>09-04/2023</t>
  </si>
  <si>
    <t>в течение 10 рабочих дней со дня подписания акта сдачи-приемки оказанных услуг</t>
  </si>
  <si>
    <t>52-С</t>
  </si>
  <si>
    <t>ООО "Сигнал"</t>
  </si>
  <si>
    <t>Подряд на техническое обслуживание установки системы пожарного мониторинга "Стрелец-мониторинг"</t>
  </si>
  <si>
    <t>в течение 10 рабочих дней с даты подписания акта сдачи-приемки выполненных работ</t>
  </si>
  <si>
    <t>48</t>
  </si>
  <si>
    <t>Техническое обслуживание автоматических установок пожарной сигнализации</t>
  </si>
  <si>
    <t>Пользование (отпуск) воды</t>
  </si>
  <si>
    <t xml:space="preserve">ООО "Водоснаб" </t>
  </si>
  <si>
    <t>в течение 10 рабочих дней с момента подписания документов о приемке</t>
  </si>
  <si>
    <t>31Ю/23-8/1</t>
  </si>
  <si>
    <t>Исследование и подготовка технического заключения объекта недвижимости</t>
  </si>
  <si>
    <t>ГБУ КК «Краевая техническая инвентаризация - Краевое БТИ»</t>
  </si>
  <si>
    <t>2308248329</t>
  </si>
  <si>
    <t>в течение 30 (тридцати) календарных дней c даты начала их производства</t>
  </si>
  <si>
    <t>в течение 10 рабочих дней со дня подписания акта приема-передачи выполненных работ</t>
  </si>
  <si>
    <t>до 10-го числа месяца, следующего за месяцем, в котором была оказана услуга</t>
  </si>
  <si>
    <t xml:space="preserve">АО "Мусороуборочная компания" </t>
  </si>
  <si>
    <t>Оказание услуг по обращению с твердыми коммунальными отходами</t>
  </si>
  <si>
    <t>20517/ТМ</t>
  </si>
  <si>
    <t>2353023951</t>
  </si>
  <si>
    <t>Откачка и вывоз жидких бытовых отходов</t>
  </si>
  <si>
    <t>21-услуга</t>
  </si>
  <si>
    <t>Оказание услуги по организации горячего питания (услуги по приготовлению горячего питания) для детей из семей граждан, призванных на военную службу по мобилизации в Вооруженные Силы Российской Федерации и детей-инвалидов (инвалидов), не являющихся обучающимися с ограниченными возможностями здоровья, получающих начальное общее и основное общее образование</t>
  </si>
  <si>
    <t>с 11.01.2023 по 24.03.2023 (включительно)</t>
  </si>
  <si>
    <t>в течение 10 (десяти) рабочих дней с момента подписания Заказчиком Акта оказанных услуг</t>
  </si>
  <si>
    <t>21-инв.</t>
  </si>
  <si>
    <t>Оказание услуги по обеспечению двухразовым питанием детей-инвалидов (инвалидов), не являющихся обучающимися с ограниченными возможностями здоровья, получающих начальное общее и основное общее образование</t>
  </si>
  <si>
    <t>с 01 февраля по 20 мая 2023 года</t>
  </si>
  <si>
    <t>21--моб.</t>
  </si>
  <si>
    <t>в течение 10 (десяти) рабочих дней с момента подписания счета и акта выполненных работ по факту</t>
  </si>
  <si>
    <t>ООО "Дезинфекция"</t>
  </si>
  <si>
    <t>Систематическая дератизация, дезинсекция</t>
  </si>
  <si>
    <t xml:space="preserve">Оказание услуги по обеспечению ежедневным одноразовым питанием детей из семей граждан, призванных на военную службу по мобилизации в Вооруженные Силы Российской Федерации (стоимость затрат на приобретение продуктов питания (завтрак)) </t>
  </si>
  <si>
    <t>в течение 60 календарных дней с момента заключения контракта</t>
  </si>
  <si>
    <t>ООО "РООС"</t>
  </si>
  <si>
    <t xml:space="preserve">2369007754  </t>
  </si>
  <si>
    <t>1/2023/20</t>
  </si>
  <si>
    <t>Оказание услуг по публичному показу музейных предметов, музейных коллекций (в условиях стационара), экскурсионному обслуживанию на экспозициях и фондовых выставках</t>
  </si>
  <si>
    <t xml:space="preserve">2310052884  </t>
  </si>
  <si>
    <t>ГБУК КК "Краснодарский государственный историко-археологический музей-заповедник им. Е.Д.Фелицына"</t>
  </si>
  <si>
    <t>с момента заключения по 31.03.2023</t>
  </si>
  <si>
    <t>30% предоплаты от общей цены контракта в течение 10 рабочих дней со дня получения счета; окончательный расчет в течение 7 рабочих дней с момента подписания акта оказанных услуг</t>
  </si>
  <si>
    <t xml:space="preserve">ООО "АйТи Мониторинг" </t>
  </si>
  <si>
    <t>АТ00-005020</t>
  </si>
  <si>
    <t>2311187588</t>
  </si>
  <si>
    <t>Обслуживание в Удостоверяющем центре ООО "АйТи Мониторинг"</t>
  </si>
  <si>
    <t>1 год</t>
  </si>
  <si>
    <t>в течение 10 рабочих дней с даты подписания документов о приемке</t>
  </si>
  <si>
    <t>А0048545</t>
  </si>
  <si>
    <t>Поставка учебной литературы</t>
  </si>
  <si>
    <t xml:space="preserve">АО "Издательство "Просвещение" </t>
  </si>
  <si>
    <t>7715995942</t>
  </si>
  <si>
    <t>до 25.08.2023</t>
  </si>
  <si>
    <t>в течение 10 рабочих дней со дня подписания УПД</t>
  </si>
  <si>
    <t>21-нш/1</t>
  </si>
  <si>
    <t>21/23</t>
  </si>
  <si>
    <t>21-моб./1</t>
  </si>
  <si>
    <t>21-услуга/1</t>
  </si>
  <si>
    <t>не позднее 10 рабочих дней с момента подписания документов о приемке</t>
  </si>
  <si>
    <t>в течение 14 календарных дней</t>
  </si>
  <si>
    <t xml:space="preserve">ИП Кушнаренко Л.В.   </t>
  </si>
  <si>
    <t>Поставка продукции (баннер)</t>
  </si>
  <si>
    <t xml:space="preserve">235304188742  </t>
  </si>
  <si>
    <t>ООО "Художественный салон "Сокол"</t>
  </si>
  <si>
    <t>84</t>
  </si>
  <si>
    <t>Поставка учебно-наглядного пособия</t>
  </si>
  <si>
    <t xml:space="preserve">в течение 30 календарных  дней </t>
  </si>
  <si>
    <t xml:space="preserve">2350009645    </t>
  </si>
  <si>
    <t>в течение 7 рабочих дней с момента подписания документов о приемке</t>
  </si>
  <si>
    <t xml:space="preserve">ИП Коваленко Г.Н.  </t>
  </si>
  <si>
    <t>278</t>
  </si>
  <si>
    <t>235300809163</t>
  </si>
  <si>
    <t>в течение 5 рабочих дней с момента заключения контракта</t>
  </si>
  <si>
    <t>Поставка товара (бумага А4 SvetoCopy 80 г/м)</t>
  </si>
  <si>
    <t>в течение 10 рабочих дней с момента подписания товарной накладной</t>
  </si>
  <si>
    <t>ИП Авраменко В.А.</t>
  </si>
  <si>
    <t>Поставка товар (сетка заградительная)</t>
  </si>
  <si>
    <t>233500335541</t>
  </si>
  <si>
    <t>в течение 14 календарных дней с момента заключения договора</t>
  </si>
  <si>
    <t xml:space="preserve">ООО "Краснодарский учколлектор" </t>
  </si>
  <si>
    <t>Поставка учебно-педагогической документации</t>
  </si>
  <si>
    <t xml:space="preserve">2310132554 </t>
  </si>
  <si>
    <t>до 11.08.2023</t>
  </si>
  <si>
    <t xml:space="preserve">в течение 10 рабочих дней с момента подписания документов </t>
  </si>
  <si>
    <t>235303016116</t>
  </si>
  <si>
    <t>1/2023</t>
  </si>
  <si>
    <t xml:space="preserve">ИП Демченко В.В. </t>
  </si>
  <si>
    <t>Поставка товара (лампа светодиодная, плафон, светильник)</t>
  </si>
  <si>
    <t>в течение 7 рабочих дней после получения товара</t>
  </si>
  <si>
    <t>в течение 5 календарных дней с даты подписания договора</t>
  </si>
  <si>
    <t xml:space="preserve">ИП Архангельский А.А.  </t>
  </si>
  <si>
    <t>3086</t>
  </si>
  <si>
    <t>Предоставление неисключительного права использования программы для ЭВМ «Куб CMS» в режиме «Управление сайтом онлайн», сроком на 1 год</t>
  </si>
  <si>
    <t>в течение 10 дней</t>
  </si>
  <si>
    <t>234602203000</t>
  </si>
  <si>
    <t>в течение 10 рабочих дней со дня подписания акта оказанных услуг</t>
  </si>
  <si>
    <t>№1 от 14.04.2023</t>
  </si>
  <si>
    <t>с 02.04.2023 по 20.05.2023</t>
  </si>
  <si>
    <t>90/23</t>
  </si>
  <si>
    <t>Оказание платных медицинских услуг (медицинское освидетельствование с целью получения заключения к управлению транспортным средством)</t>
  </si>
  <si>
    <t xml:space="preserve">2353006498  </t>
  </si>
  <si>
    <t>ГБУЗ "Тимашевская ЦРБ" МЗ КК</t>
  </si>
  <si>
    <t>30.05.2023</t>
  </si>
  <si>
    <t>в течение 10 рабочих дней с момента подписания акта сдачи-приемки оказанных услуг</t>
  </si>
  <si>
    <t>21-23-К</t>
  </si>
  <si>
    <t xml:space="preserve">ООО "Дезинфекция" </t>
  </si>
  <si>
    <t>2353018870</t>
  </si>
  <si>
    <t>Акарицидная обработка</t>
  </si>
  <si>
    <t>с 18.05.2023 по 19.06.2023</t>
  </si>
  <si>
    <t>в течение 10 рабочих дней с момента подписания счета и акта выполненных работ</t>
  </si>
  <si>
    <t>ООО "Водоснаб"</t>
  </si>
  <si>
    <t>Услуги по ремонту водоснабжения в МБОУ ООШ № 21</t>
  </si>
  <si>
    <t>в течение 14 календарных дней с момента подписания контракта</t>
  </si>
  <si>
    <t>2023/2615</t>
  </si>
  <si>
    <t xml:space="preserve">ИП Плахотнюк С.А.         </t>
  </si>
  <si>
    <t>Передача неисключительных прав на программу для ЭВМ</t>
  </si>
  <si>
    <t>366204875463</t>
  </si>
  <si>
    <t>с 29.05.2023 до 31.12.2023</t>
  </si>
  <si>
    <t>в течение 10 рабочих дней с даты подписания акта приема-передачи неисключительных прав</t>
  </si>
  <si>
    <t>11/23</t>
  </si>
  <si>
    <t>№1 от 15.05.2023</t>
  </si>
  <si>
    <t>№1 от 19.05.2023</t>
  </si>
  <si>
    <t>94/23</t>
  </si>
  <si>
    <t xml:space="preserve">Оказание платных медицинских услуг </t>
  </si>
  <si>
    <t xml:space="preserve">2353006498 </t>
  </si>
  <si>
    <t>21.07.2023</t>
  </si>
  <si>
    <t>в течение 10 рабочих дней с момента подписания акта оказанных услуг</t>
  </si>
  <si>
    <t>94-1/23</t>
  </si>
  <si>
    <t>А0056457</t>
  </si>
  <si>
    <t>АО "Издательство "Просвещение"</t>
  </si>
  <si>
    <t>до 30.09.2023</t>
  </si>
  <si>
    <t>№ б/н от 20.06.20230</t>
  </si>
  <si>
    <t>3235301533323000001</t>
  </si>
  <si>
    <t>№1 от 02.08.2023</t>
  </si>
  <si>
    <t>в течение 7 (семь) рабочих дней</t>
  </si>
  <si>
    <t>21/ЛДП</t>
  </si>
  <si>
    <t>Оказание услуг по организации питания в лагере с дневным пребыванием детей</t>
  </si>
  <si>
    <t>с 29.05.2023 по 18.06.2023</t>
  </si>
  <si>
    <t>не более 10 рабочих дней после подписания акта оказанных услуг</t>
  </si>
  <si>
    <t>Поставка товара (дверной комплект "Финка")</t>
  </si>
  <si>
    <t xml:space="preserve">ИП Витюхов В.Ю.   </t>
  </si>
  <si>
    <t>233013594263</t>
  </si>
  <si>
    <t>до 30 календарных дней с даты подписания контракта</t>
  </si>
  <si>
    <t>в течение 10 рабочих дней после подписания документов о приемке</t>
  </si>
  <si>
    <t xml:space="preserve">ИП Аполонов А.А.   </t>
  </si>
  <si>
    <t>Оказание услуг по техническому обслуживанию и ремонту автотранспортных средств</t>
  </si>
  <si>
    <t>235303483777</t>
  </si>
  <si>
    <t>в течение 30 календарных  дней с момента подписания договора</t>
  </si>
  <si>
    <t>в течение 10 рабочих дней, с момента подписания акта выполненных работ (услуг)</t>
  </si>
  <si>
    <t>131</t>
  </si>
  <si>
    <t>31</t>
  </si>
  <si>
    <t xml:space="preserve">235303016116 </t>
  </si>
  <si>
    <t>Поставка товара (краска, известь)</t>
  </si>
  <si>
    <t>в течение 30 календарных дней с даты подписания договора</t>
  </si>
  <si>
    <t>в течение 10 рабочих дней после подписания товарной накладной</t>
  </si>
  <si>
    <t>Оказание услуг по техническому обслуживанию и ремонту транспортных средств</t>
  </si>
  <si>
    <t>в течение 30 календарных  дней с момента заключения договора</t>
  </si>
  <si>
    <t xml:space="preserve">ИП Черненко А.Г. </t>
  </si>
  <si>
    <t>в течение 10 (десяти) рабочих дней с момента подписания товарной накладной</t>
  </si>
  <si>
    <t xml:space="preserve">235303841817 </t>
  </si>
  <si>
    <t>Поставка товара (счетчик газа)</t>
  </si>
  <si>
    <t>в течение 10 (десяти) рабочих дней с момента подписания договора</t>
  </si>
  <si>
    <t>Продажа электрической энергии (мощности)</t>
  </si>
  <si>
    <t>30% стоимости электрической энергии (мощности) в подлежащем оплате объеме покупки в месяце, за который осуществляется оплата, вносится до 10-го числа этого месяца; 40% стоимости электрической энергии (мощности)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(мощности) в месяце, за который осуществляется оплата, за вычетом средств, внесенных в качестве оплаты электрической энергии (мощности) в течение этого месяца, оплачивается до 18-го числа месяца, следующего за месяцем, за который осуществляется оплата</t>
  </si>
  <si>
    <t>с 00 часов 00 минут 01.05.2023 по 31.12.2023 (включительно)</t>
  </si>
  <si>
    <t>30-23</t>
  </si>
  <si>
    <t xml:space="preserve">ООО "Агропромэнерго"   </t>
  </si>
  <si>
    <t xml:space="preserve">2353018101 </t>
  </si>
  <si>
    <t>Выполнение работ по электролабораторным испытаниям и электрическим измерениям электроустановок электрохозяйства МБОУ ООШ № 21</t>
  </si>
  <si>
    <t xml:space="preserve">в течение 14 календарных дней </t>
  </si>
  <si>
    <t>в течение 10 рабочих дней после подписания акта о приемке выполненных работ</t>
  </si>
  <si>
    <t>Выполнение работ по монтажу систем автоматической пожарной сигнализации и оповещения людей в МБОУ ООШ № 21</t>
  </si>
  <si>
    <t>ИП Даценко И.Н.</t>
  </si>
  <si>
    <t>с даты заключения контракта до 27.08.2023 (включительно)</t>
  </si>
  <si>
    <t>не более чем 10 рабочих дней, с даты подписания документов о приемке выполненных работ</t>
  </si>
  <si>
    <t>Поставка товара (лакокрасочные и строительные материалы)</t>
  </si>
  <si>
    <t>ИП Озеров В.В.</t>
  </si>
  <si>
    <t xml:space="preserve">235309678500 </t>
  </si>
  <si>
    <t>ИП Ледовская О.А.</t>
  </si>
  <si>
    <t>235307503505</t>
  </si>
  <si>
    <t>Поставка товара (линолеум, клей, угол, плинтус, стык)</t>
  </si>
  <si>
    <t>не позднее 10 рабочих дней с момента подписания документа о приемке товара</t>
  </si>
  <si>
    <t>в течение 14 календарных дней после подписания контракта</t>
  </si>
  <si>
    <t>ИП Козырева Е.Н.</t>
  </si>
  <si>
    <t>561</t>
  </si>
  <si>
    <t>Услуги по подготовке декларации НВОС, отчет 2 ТП (отходы), журнал движения отходов</t>
  </si>
  <si>
    <t xml:space="preserve">235307568414 </t>
  </si>
  <si>
    <t>с момента заключения по 31.12.2023</t>
  </si>
  <si>
    <t>в течение 10 рабочих дней с момента подписания документа и оказания услуг</t>
  </si>
  <si>
    <t>684</t>
  </si>
  <si>
    <t>Оказание услуги по подготовке актуализации корректировки о присвоении объекту категории НВОС</t>
  </si>
  <si>
    <t>с момента подписания договора до 30.08.2023 (включительно)</t>
  </si>
  <si>
    <t>Поставка товара (металлопластиковые изделия Дверь)</t>
  </si>
  <si>
    <t>10 рабочих дней с момента подписания договора</t>
  </si>
  <si>
    <t>734</t>
  </si>
  <si>
    <t>Оказание услуг по подготовке журналов движения отходов на 2023 год</t>
  </si>
  <si>
    <t>113</t>
  </si>
  <si>
    <t>ООО "Лидер-Юг"</t>
  </si>
  <si>
    <t>Мебель ученическая</t>
  </si>
  <si>
    <t xml:space="preserve">2308172990 </t>
  </si>
  <si>
    <t>в течение 10 рабочих дней с момента получения товара и подписания товарной накладной</t>
  </si>
  <si>
    <t>Право использования программы для ЭВМ "Контур. Экстерн". Услуги по сопровождению программы для ЭВМ "Контур. Экстерн".</t>
  </si>
  <si>
    <t>К1036185/23</t>
  </si>
  <si>
    <t xml:space="preserve">АО "Производственная фирма "СКБ Контур" </t>
  </si>
  <si>
    <t xml:space="preserve">6663003127  </t>
  </si>
  <si>
    <t>в течение 5 рабочих дней</t>
  </si>
  <si>
    <t>в течение 10 рабочих дней с момента подписания акта сдачи-приемки</t>
  </si>
  <si>
    <t>Настройка программного обеспечения для работы в Системе "Контур. Экстерн"</t>
  </si>
  <si>
    <t>1090</t>
  </si>
  <si>
    <t>ИП Железняк И.И.</t>
  </si>
  <si>
    <t>235309088540</t>
  </si>
  <si>
    <t>в течение 10 рабочих дней с момента подписания акта выполненных работ</t>
  </si>
  <si>
    <t>в течение 5 рабочих дней с момента подписания договора</t>
  </si>
  <si>
    <t xml:space="preserve">2369000660 </t>
  </si>
  <si>
    <t>482</t>
  </si>
  <si>
    <t>Услуга по формированию заявления "Карта водителя с СКЗИ"</t>
  </si>
  <si>
    <t>30 рабочих дней с даты регистрации заявления в программе</t>
  </si>
  <si>
    <t>23-10611</t>
  </si>
  <si>
    <t xml:space="preserve">ООО "СпецБланк-Москва"   </t>
  </si>
  <si>
    <t>7706526550</t>
  </si>
  <si>
    <t>Полиграфическая, в том числе защищенная от подделок и строгого учета продукция (аттестаты, приложения к аттестатам)</t>
  </si>
  <si>
    <t>до 20.06.2023</t>
  </si>
  <si>
    <t>в течение 7 рабочих дней с момента получения продукции, счет-фактуры, накладной и акта сдачи-приемки</t>
  </si>
  <si>
    <t>не позднее 10 рабочих дней с даты подписания отчетных документов</t>
  </si>
  <si>
    <t>с 01.08.2023 по 31.12.2023</t>
  </si>
  <si>
    <t>34550723/025097</t>
  </si>
  <si>
    <t>Спец.счет</t>
  </si>
  <si>
    <t>32317250-2353015333-010823</t>
  </si>
  <si>
    <t>Обязательное страхование гражданской ответственности владельца транспортных средств</t>
  </si>
  <si>
    <t xml:space="preserve">7707067683  </t>
  </si>
  <si>
    <t>ПАО СК "Росгосстрах"</t>
  </si>
  <si>
    <t>с 00 ч. 00 мин. 31.08.2023 по 23 ч. 59 мин. 30.08.2024</t>
  </si>
  <si>
    <t>в течение 10 рабочих дней со дня выставления счета</t>
  </si>
  <si>
    <t>233235301533323530100100090015629244</t>
  </si>
  <si>
    <t>0818300019923000278</t>
  </si>
  <si>
    <t>Оказание услуг по организации питания учащихся в МБОУ ООШ № 21</t>
  </si>
  <si>
    <t>Да</t>
  </si>
  <si>
    <t>3235301533323000002</t>
  </si>
  <si>
    <t>0818300019923000278-01</t>
  </si>
  <si>
    <t>ИП Эжбаев Юрий Николаевич</t>
  </si>
  <si>
    <t>235300582900</t>
  </si>
  <si>
    <t>не ранее 01 сентября 2023 г. по 30 ноября 2023 г.</t>
  </si>
  <si>
    <t>в течение 7 (семи) рабочих дней после подписания документа о приемке</t>
  </si>
  <si>
    <t>№1 от 07.07.2023</t>
  </si>
  <si>
    <t>№1 от 21.07.2023</t>
  </si>
  <si>
    <t>с 01.07.2023 по 31.12.2023</t>
  </si>
  <si>
    <t>в течение 30 календарных дней с момента заключения договора</t>
  </si>
  <si>
    <t>Муниципальная программа "Обеспечение безопасноти населения и территорий Тимашевского района"</t>
  </si>
  <si>
    <t>№1 от 02.06.2023</t>
  </si>
  <si>
    <t>1/2023/39</t>
  </si>
  <si>
    <t>2310052884</t>
  </si>
  <si>
    <t>с 01.09.2023 по 30.09.2023</t>
  </si>
  <si>
    <t>197-ТО</t>
  </si>
  <si>
    <t>Проведение технического осмотра автомобильной техники</t>
  </si>
  <si>
    <t>235305769122</t>
  </si>
  <si>
    <t xml:space="preserve">ИП Барма И.Н.   </t>
  </si>
  <si>
    <t>в течение 10 рабочих дней</t>
  </si>
  <si>
    <t>Оказание экскурсионных услуг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</si>
  <si>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Патриархат)</t>
  </si>
  <si>
    <t xml:space="preserve"> 2353016418  </t>
  </si>
  <si>
    <t>не позднее 10 рабочих дней с момента подписания документа о приемке услуг</t>
  </si>
  <si>
    <t>№1 от 30.08.2023</t>
  </si>
  <si>
    <t>до 15.09.2023 (включительно)</t>
  </si>
  <si>
    <t>21-ош/1</t>
  </si>
  <si>
    <t xml:space="preserve">235300582900  </t>
  </si>
  <si>
    <t>с 01 сентября по 30 ноября 2023 года (включительно)</t>
  </si>
  <si>
    <t>21-ОВЗ</t>
  </si>
  <si>
    <t>Оказание услуги по организации горячего питания обучающимся детям с ограниченными возможностями здоровья</t>
  </si>
  <si>
    <t>не ранее 01 сентября 2023 года по 29 сентября 2023 года (включительно)</t>
  </si>
  <si>
    <t>в течение 10 рабочих дней после подписания документа о приемке</t>
  </si>
  <si>
    <t>21-ОВЗ/1</t>
  </si>
  <si>
    <t>не ранее 02 октября 2023 года по 27 октября 2023 года (включительно)</t>
  </si>
  <si>
    <t>235</t>
  </si>
  <si>
    <t>Периодическая проверка дымовых и вентиляционных каналов с выдачей акта Ф-6</t>
  </si>
  <si>
    <t>235303841817</t>
  </si>
  <si>
    <t>в течение 10 рабочих дней с момента подписания договора</t>
  </si>
  <si>
    <t>в течение 10 рабочих дней с момента подписания акта приемки выполненных работ</t>
  </si>
  <si>
    <t xml:space="preserve">АО "Газпром газораспределение Краснодар"    </t>
  </si>
  <si>
    <t>17.1СЧ-1</t>
  </si>
  <si>
    <t>Замена газового счетчика</t>
  </si>
  <si>
    <t>2308021656</t>
  </si>
  <si>
    <t>не позднее 30 рабочих дней с момента подписания контракта</t>
  </si>
  <si>
    <t>в течение 10 рабочих дней с момента подписания документов о приемке выполненных работ</t>
  </si>
  <si>
    <t>15-23</t>
  </si>
  <si>
    <t>в течение 14 календарных дней с момента заключения контракта</t>
  </si>
  <si>
    <t>2369007754</t>
  </si>
  <si>
    <t>12309296066</t>
  </si>
  <si>
    <t>7605016030</t>
  </si>
  <si>
    <t xml:space="preserve">ООО "Компания "Тензор" </t>
  </si>
  <si>
    <t>Передача неисключительных прав на использование программу для ЭВМ "Web-система СБИС" модуль ЭДО Старт</t>
  </si>
  <si>
    <t>с 02.12.2023 по 01.12.2024</t>
  </si>
  <si>
    <t>в течение 10 рабочих дней с момента подписания акта приема-передачи неисключительных прав</t>
  </si>
  <si>
    <t>№1 от 27.10.2023</t>
  </si>
  <si>
    <t>№ б.н от 01.11.2023</t>
  </si>
  <si>
    <t>№1 от 26.10.2023</t>
  </si>
  <si>
    <t>с 10.10.2023 по 27.10.2023 года (включительно)</t>
  </si>
  <si>
    <t>ООО ЧОО "ЛЕГИОН"</t>
  </si>
  <si>
    <t>2304067057</t>
  </si>
  <si>
    <t>с 20.10.2023 по 31.12.2023 до 24 ч.00 мин  (включительно)</t>
  </si>
  <si>
    <t>в течение не более чем 10 рабочих дней с даты подписания документа о приемке</t>
  </si>
  <si>
    <t>АО "Газпром газораспределение Краснодар"</t>
  </si>
  <si>
    <t>Техническое обслуживание, ремонт, услуги по локализации и ликвидации аварий, аварийно-диспетчерское обслуживание сетей газораспределения/газопотребления</t>
  </si>
  <si>
    <t>в течение 30 календарных дней с момента подписания договора</t>
  </si>
  <si>
    <t>не позднее 10 рабочих дней</t>
  </si>
  <si>
    <t>21-ош/2</t>
  </si>
  <si>
    <t>с 01.10.2023 по 27.10.2023 (включительно)</t>
  </si>
  <si>
    <t>в течение 10 рабочих дней с момента подписания Акта оказанных услуг</t>
  </si>
  <si>
    <t>с 01.11.2023 по 31.12.2023</t>
  </si>
  <si>
    <t>21-ош/3</t>
  </si>
  <si>
    <t>Оказание услуги по обеспечению двухразовым питанием дитей-инвалидов (инвалидов), не являющихся обучающимися с ограниченными возможностями здоровья, получающими основное общее образования</t>
  </si>
  <si>
    <t>в течение 10 (десяти) рабочих дней с момента подписания Акта оказанных услуг</t>
  </si>
  <si>
    <t>с 07 ноября по 29 декабря 2023 года (включительно)</t>
  </si>
  <si>
    <t>21-ОВЗ/2</t>
  </si>
  <si>
    <t xml:space="preserve"> в течение 10 (десяти) рабочих дней после подписания документа о приемке</t>
  </si>
  <si>
    <t>07 ноября 2023 года по 30 ноября 2023 года (включительно)</t>
  </si>
  <si>
    <t>21-инв./1</t>
  </si>
  <si>
    <t xml:space="preserve">Оказание услуги по обеспечению двухразовым питанием дитей-инвалидов (инвалидов), не являющихся обучающимися с ограниченными возможностями здоровья, получающими основное общее образование </t>
  </si>
  <si>
    <t>с 17.10.2023 по 27.10.2023 (включительно)</t>
  </si>
  <si>
    <t xml:space="preserve">ГБУК КК "Краснодарский государственный историко-археологический музей-заповедник им. Е.Д.Фелицына"  </t>
  </si>
  <si>
    <t>с момента заключения контракта по 30.11.2023</t>
  </si>
  <si>
    <t>1/2023/60</t>
  </si>
  <si>
    <t xml:space="preserve">2310052884 </t>
  </si>
  <si>
    <t xml:space="preserve">ООО "Институт дополнительного профессионального образования" </t>
  </si>
  <si>
    <t>95744/2023</t>
  </si>
  <si>
    <t>2308279278</t>
  </si>
  <si>
    <t>с 20.11.2023 по 08.12.2023</t>
  </si>
  <si>
    <t>Курсы повышения квалификации</t>
  </si>
  <si>
    <t>не более 10 рабочих дней с даты подписания акта сдачи-приемки услуг</t>
  </si>
  <si>
    <t>16-23</t>
  </si>
  <si>
    <t>37-04/2023</t>
  </si>
  <si>
    <t xml:space="preserve">Союз «Тимашевская торгово-промышленная палата» </t>
  </si>
  <si>
    <t>в течение 4 рабочих дней с момента заключения договора</t>
  </si>
  <si>
    <t>Оказание услуг по организации питания учащихся 1-4 классов</t>
  </si>
  <si>
    <t>с 01.12.2023 по 29.12.2023 (включительно)</t>
  </si>
  <si>
    <t>21-ОВЗ/3</t>
  </si>
  <si>
    <t>в течение 10 (десяти) рабочих дней после подписания документа о приемке</t>
  </si>
  <si>
    <t>с 01 декабря 2023 года по 29 декабря 2023 года (включительно)</t>
  </si>
  <si>
    <t>22/12</t>
  </si>
  <si>
    <t>в течение 10 рабочих дней с момента подписания докуменитов о приемке</t>
  </si>
  <si>
    <t>в течение 15 рабочих дней с даты подписания договора</t>
  </si>
  <si>
    <t xml:space="preserve">ИП Потерина К.А.  </t>
  </si>
  <si>
    <t>235306346352</t>
  </si>
  <si>
    <t>Изделия из ПВХ профиля для помещения пищеблока (окно)</t>
  </si>
  <si>
    <t>790</t>
  </si>
  <si>
    <t>Оказание услуг по подготовке технического отчета по обращению отходов</t>
  </si>
  <si>
    <t xml:space="preserve">235307568414  </t>
  </si>
  <si>
    <t xml:space="preserve">ИП Коваленко Г.Н.     </t>
  </si>
  <si>
    <t>Заправка картриджей</t>
  </si>
  <si>
    <t>в течение 7 рабочих дней с момента подписания акта выполненных работ</t>
  </si>
  <si>
    <t>Поставка товара (картриджи)</t>
  </si>
  <si>
    <t>в течение 15 рабочих дней</t>
  </si>
  <si>
    <t xml:space="preserve">ИП Ледовская С.В.  </t>
  </si>
  <si>
    <t>Бюджет КК</t>
  </si>
  <si>
    <t>235300203781</t>
  </si>
  <si>
    <t>Поставка оборудования для учебных целей (проектор, МФУ, принтер)</t>
  </si>
  <si>
    <t>не более 10 рабочих дней с даты подписания документа о приемке товара</t>
  </si>
  <si>
    <t>Поставка оборудования (МФУ, ноутбук, телевизор)</t>
  </si>
  <si>
    <t>ИП Ледовская С.В.</t>
  </si>
  <si>
    <t>32</t>
  </si>
  <si>
    <t>Поставка товара (согласно спецификации)</t>
  </si>
  <si>
    <t>Ремонт системных блоков</t>
  </si>
  <si>
    <t>в течение 7 календарных дней</t>
  </si>
  <si>
    <t>Поставка товара (огнетушители, крепления и подставки для огнетушителей)</t>
  </si>
  <si>
    <t>не более 7 рабочих дней с даты подписания документа о приемке товара</t>
  </si>
  <si>
    <t>№ 1 от 01.12.2023</t>
  </si>
  <si>
    <t>№1 от 22.12.2023</t>
  </si>
  <si>
    <t>с 01.12.2023 по 31.12.2023 (включительно)</t>
  </si>
  <si>
    <t>не позднее 25 декабря 2023 года</t>
  </si>
  <si>
    <t>№1 от 25.12.2023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</si>
</sst>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2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1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5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Border="1" applyAlignment="1" applyProtection="1">
      <alignment horizontal="center" vertical="center" wrapText="1"/>
      <protection locked="0"/>
    </xf>
    <xf numFmtId="4" fontId="1" fillId="0" borderId="51" xfId="0" applyNumberFormat="1" applyFont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Border="1" applyAlignment="1" applyProtection="1">
      <alignment horizontal="center" vertical="center" wrapText="1"/>
      <protection locked="0"/>
    </xf>
    <xf numFmtId="4" fontId="1" fillId="0" borderId="54" xfId="0" applyNumberFormat="1" applyFont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Border="1" applyAlignment="1" applyProtection="1">
      <alignment horizontal="center" vertical="center" wrapText="1"/>
      <protection locked="0"/>
    </xf>
    <xf numFmtId="4" fontId="1" fillId="0" borderId="60" xfId="0" applyNumberFormat="1" applyFont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Border="1" applyAlignment="1" applyProtection="1">
      <alignment horizontal="center" vertical="center" wrapText="1"/>
      <protection locked="0"/>
    </xf>
    <xf numFmtId="4" fontId="1" fillId="0" borderId="63" xfId="0" applyNumberFormat="1" applyFont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Border="1" applyAlignment="1" applyProtection="1">
      <alignment horizontal="center" vertical="center" wrapText="1"/>
      <protection locked="0"/>
    </xf>
    <xf numFmtId="4" fontId="1" fillId="0" borderId="69" xfId="0" applyNumberFormat="1" applyFont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Border="1" applyAlignment="1" applyProtection="1">
      <alignment horizontal="center" vertical="center" wrapText="1"/>
      <protection locked="0"/>
    </xf>
    <xf numFmtId="4" fontId="1" fillId="0" borderId="72" xfId="0" applyNumberFormat="1" applyFont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3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64" xfId="0" applyNumberFormat="1" applyFont="1" applyFill="1" applyBorder="1" applyAlignment="1">
      <alignment horizontal="center" vertical="center" wrapText="1"/>
    </xf>
    <xf numFmtId="49" fontId="15" fillId="3" borderId="46" xfId="0" applyNumberFormat="1" applyFont="1" applyFill="1" applyBorder="1" applyAlignment="1">
      <alignment horizontal="center" vertical="center" wrapText="1"/>
    </xf>
    <xf numFmtId="49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Border="1" applyAlignment="1" applyProtection="1">
      <alignment horizontal="center" vertical="center" wrapText="1"/>
      <protection locked="0"/>
    </xf>
    <xf numFmtId="4" fontId="1" fillId="0" borderId="76" xfId="0" applyNumberFormat="1" applyFont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Border="1" applyAlignment="1" applyProtection="1">
      <alignment horizontal="center" vertical="center" wrapText="1"/>
      <protection locked="0"/>
    </xf>
    <xf numFmtId="4" fontId="1" fillId="0" borderId="81" xfId="0" applyNumberFormat="1" applyFont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Border="1" applyAlignment="1" applyProtection="1">
      <alignment horizontal="center" vertical="center" wrapText="1"/>
      <protection locked="0"/>
    </xf>
    <xf numFmtId="4" fontId="1" fillId="0" borderId="84" xfId="0" applyNumberFormat="1" applyFont="1" applyBorder="1" applyAlignment="1" applyProtection="1">
      <alignment horizontal="center" vertical="center" wrapText="1"/>
      <protection locked="0"/>
    </xf>
    <xf numFmtId="165" fontId="1" fillId="0" borderId="84" xfId="0" applyNumberFormat="1" applyFont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>
      <alignment horizontal="center" vertical="center" wrapText="1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Border="1" applyAlignment="1" applyProtection="1">
      <alignment horizontal="center" vertical="center" wrapText="1"/>
      <protection locked="0"/>
    </xf>
    <xf numFmtId="4" fontId="1" fillId="0" borderId="91" xfId="0" applyNumberFormat="1" applyFont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Border="1" applyAlignment="1" applyProtection="1">
      <alignment horizontal="center" vertical="center" wrapText="1"/>
      <protection locked="0"/>
    </xf>
    <xf numFmtId="49" fontId="1" fillId="3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6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Border="1" applyAlignment="1" applyProtection="1">
      <alignment horizontal="center" vertical="center" wrapText="1"/>
      <protection locked="0"/>
    </xf>
    <xf numFmtId="4" fontId="1" fillId="0" borderId="94" xfId="0" applyNumberFormat="1" applyFont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7" xfId="0" applyNumberFormat="1" applyFont="1" applyBorder="1" applyAlignment="1" applyProtection="1">
      <alignment horizontal="center" vertical="center" wrapText="1"/>
      <protection locked="0"/>
    </xf>
    <xf numFmtId="165" fontId="1" fillId="0" borderId="97" xfId="0" applyNumberFormat="1" applyFont="1" applyBorder="1" applyAlignment="1" applyProtection="1">
      <alignment horizontal="center" vertical="center" wrapText="1"/>
      <protection locked="0"/>
    </xf>
    <xf numFmtId="4" fontId="1" fillId="0" borderId="98" xfId="0" applyNumberFormat="1" applyFont="1" applyBorder="1" applyAlignment="1" applyProtection="1">
      <alignment horizontal="center" vertical="center" wrapText="1"/>
      <protection locked="0"/>
    </xf>
    <xf numFmtId="165" fontId="1" fillId="0" borderId="98" xfId="0" applyNumberFormat="1" applyFont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7" xfId="0" applyNumberFormat="1" applyFont="1" applyBorder="1" applyAlignment="1" applyProtection="1">
      <alignment horizontal="center" vertical="center" wrapText="1"/>
      <protection locked="0"/>
    </xf>
    <xf numFmtId="14" fontId="1" fillId="0" borderId="98" xfId="0" applyNumberFormat="1" applyFont="1" applyBorder="1" applyAlignment="1" applyProtection="1">
      <alignment horizontal="center" vertical="center" wrapText="1"/>
      <protection locked="0"/>
    </xf>
    <xf numFmtId="49" fontId="15" fillId="3" borderId="86" xfId="0" applyNumberFormat="1" applyFont="1" applyFill="1" applyBorder="1" applyAlignment="1">
      <alignment horizontal="center" vertical="center" wrapText="1"/>
    </xf>
    <xf numFmtId="49" fontId="1" fillId="3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9" xfId="0" applyNumberFormat="1" applyFont="1" applyFill="1" applyBorder="1" applyAlignment="1">
      <alignment horizontal="center" vertical="center" wrapText="1"/>
    </xf>
    <xf numFmtId="14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99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9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9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3" xfId="0" applyNumberFormat="1" applyFont="1" applyFill="1" applyBorder="1" applyAlignment="1">
      <alignment horizontal="center" vertical="center" wrapText="1"/>
    </xf>
    <xf numFmtId="49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0" xfId="0" applyNumberFormat="1" applyFont="1" applyFill="1" applyBorder="1" applyAlignment="1">
      <alignment horizontal="center" vertical="center" wrapText="1"/>
    </xf>
    <xf numFmtId="49" fontId="15" fillId="3" borderId="99" xfId="0" applyNumberFormat="1" applyFont="1" applyFill="1" applyBorder="1" applyAlignment="1">
      <alignment horizontal="center" vertical="center" wrapText="1"/>
    </xf>
    <xf numFmtId="4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0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0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5" xfId="0" applyNumberFormat="1" applyFont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5" xfId="0" applyNumberFormat="1" applyFont="1" applyBorder="1" applyAlignment="1" applyProtection="1">
      <alignment horizontal="center" vertical="center" wrapText="1"/>
      <protection locked="0"/>
    </xf>
    <xf numFmtId="165" fontId="1" fillId="3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8" xfId="0" applyNumberFormat="1" applyFont="1" applyBorder="1" applyAlignment="1" applyProtection="1">
      <alignment horizontal="center" vertical="center" wrapText="1"/>
      <protection locked="0"/>
    </xf>
    <xf numFmtId="4" fontId="1" fillId="0" borderId="108" xfId="0" applyNumberFormat="1" applyFont="1" applyBorder="1" applyAlignment="1" applyProtection="1">
      <alignment horizontal="center" vertical="center" wrapText="1"/>
      <protection locked="0"/>
    </xf>
    <xf numFmtId="165" fontId="1" fillId="3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1" xfId="0" applyNumberFormat="1" applyFont="1" applyBorder="1" applyAlignment="1" applyProtection="1">
      <alignment horizontal="center" vertical="center" wrapText="1"/>
      <protection locked="0"/>
    </xf>
    <xf numFmtId="165" fontId="1" fillId="0" borderId="111" xfId="0" applyNumberFormat="1" applyFont="1" applyBorder="1" applyAlignment="1" applyProtection="1">
      <alignment horizontal="center" vertical="center" wrapText="1"/>
      <protection locked="0"/>
    </xf>
    <xf numFmtId="49" fontId="1" fillId="3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1" xfId="0" applyNumberFormat="1" applyFont="1" applyBorder="1" applyAlignment="1" applyProtection="1">
      <alignment horizontal="center" vertical="center" wrapText="1"/>
      <protection locked="0"/>
    </xf>
    <xf numFmtId="0" fontId="1" fillId="18" borderId="111" xfId="0" applyFont="1" applyFill="1" applyBorder="1" applyAlignment="1" applyProtection="1">
      <alignment horizontal="center" vertical="center" wrapText="1"/>
      <protection locked="0"/>
    </xf>
    <xf numFmtId="16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>
      <alignment horizontal="center" vertical="center" wrapText="1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11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3" xfId="0" applyNumberFormat="1" applyFont="1" applyBorder="1" applyAlignment="1" applyProtection="1">
      <alignment horizontal="center" vertical="center" wrapText="1"/>
      <protection locked="0"/>
    </xf>
    <xf numFmtId="165" fontId="1" fillId="0" borderId="113" xfId="0" applyNumberFormat="1" applyFont="1" applyBorder="1" applyAlignment="1" applyProtection="1">
      <alignment horizontal="center" vertical="center" wrapText="1"/>
      <protection locked="0"/>
    </xf>
    <xf numFmtId="49" fontId="1" fillId="0" borderId="113" xfId="0" applyNumberFormat="1" applyFont="1" applyBorder="1" applyAlignment="1" applyProtection="1">
      <alignment horizontal="center" vertical="center" wrapText="1"/>
      <protection locked="0"/>
    </xf>
    <xf numFmtId="1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3" xfId="0" applyNumberFormat="1" applyFont="1" applyBorder="1" applyAlignment="1" applyProtection="1">
      <alignment horizontal="center" vertical="center" wrapText="1"/>
      <protection locked="0"/>
    </xf>
    <xf numFmtId="1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8" xfId="0" applyNumberFormat="1" applyFont="1" applyBorder="1" applyAlignment="1" applyProtection="1">
      <alignment horizontal="center" vertical="center" wrapText="1"/>
      <protection locked="0"/>
    </xf>
    <xf numFmtId="4" fontId="1" fillId="0" borderId="118" xfId="0" applyNumberFormat="1" applyFont="1" applyBorder="1" applyAlignment="1" applyProtection="1">
      <alignment horizontal="center" vertical="center" wrapText="1"/>
      <protection locked="0"/>
    </xf>
    <xf numFmtId="165" fontId="1" fillId="0" borderId="118" xfId="0" applyNumberFormat="1" applyFont="1" applyBorder="1" applyAlignment="1" applyProtection="1">
      <alignment horizontal="center" vertical="center" wrapText="1"/>
      <protection locked="0"/>
    </xf>
    <xf numFmtId="49" fontId="1" fillId="0" borderId="118" xfId="0" applyNumberFormat="1" applyFont="1" applyBorder="1" applyAlignment="1" applyProtection="1">
      <alignment horizontal="center" vertical="center" wrapText="1"/>
      <protection locked="0"/>
    </xf>
    <xf numFmtId="49" fontId="1" fillId="0" borderId="111" xfId="0" applyNumberFormat="1" applyFont="1" applyBorder="1" applyAlignment="1" applyProtection="1">
      <alignment horizontal="center" vertical="center" wrapText="1"/>
      <protection locked="0"/>
    </xf>
    <xf numFmtId="49" fontId="1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9" xfId="0" applyNumberFormat="1" applyFont="1" applyFill="1" applyBorder="1" applyAlignment="1">
      <alignment horizontal="center" vertical="center" wrapText="1"/>
    </xf>
    <xf numFmtId="4" fontId="1" fillId="18" borderId="119" xfId="0" applyNumberFormat="1" applyFont="1" applyFill="1" applyBorder="1" applyAlignment="1">
      <alignment horizontal="center" vertical="center" wrapText="1"/>
    </xf>
    <xf numFmtId="49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4" xfId="0" applyNumberFormat="1" applyFont="1" applyBorder="1" applyAlignment="1" applyProtection="1">
      <alignment horizontal="center" vertical="center" wrapText="1"/>
      <protection locked="0"/>
    </xf>
    <xf numFmtId="4" fontId="1" fillId="0" borderId="124" xfId="0" applyNumberFormat="1" applyFont="1" applyBorder="1" applyAlignment="1" applyProtection="1">
      <alignment horizontal="center" vertical="center" wrapText="1"/>
      <protection locked="0"/>
    </xf>
    <xf numFmtId="165" fontId="1" fillId="0" borderId="124" xfId="0" applyNumberFormat="1" applyFont="1" applyBorder="1" applyAlignment="1" applyProtection="1">
      <alignment horizontal="center" vertical="center" wrapText="1"/>
      <protection locked="0"/>
    </xf>
    <xf numFmtId="49" fontId="1" fillId="0" borderId="124" xfId="0" applyNumberFormat="1" applyFont="1" applyBorder="1" applyAlignment="1" applyProtection="1">
      <alignment horizontal="center" vertical="center" wrapText="1"/>
      <protection locked="0"/>
    </xf>
    <xf numFmtId="14" fontId="1" fillId="0" borderId="127" xfId="0" applyNumberFormat="1" applyFont="1" applyBorder="1" applyAlignment="1" applyProtection="1">
      <alignment horizontal="center" vertical="center" wrapText="1"/>
      <protection locked="0"/>
    </xf>
    <xf numFmtId="4" fontId="1" fillId="0" borderId="127" xfId="0" applyNumberFormat="1" applyFont="1" applyBorder="1" applyAlignment="1" applyProtection="1">
      <alignment horizontal="center" vertical="center" wrapText="1"/>
      <protection locked="0"/>
    </xf>
    <xf numFmtId="165" fontId="1" fillId="0" borderId="127" xfId="0" applyNumberFormat="1" applyFont="1" applyBorder="1" applyAlignment="1" applyProtection="1">
      <alignment horizontal="center" vertical="center" wrapText="1"/>
      <protection locked="0"/>
    </xf>
    <xf numFmtId="49" fontId="1" fillId="0" borderId="127" xfId="0" applyNumberFormat="1" applyFont="1" applyBorder="1" applyAlignment="1" applyProtection="1">
      <alignment horizontal="center" vertical="center" wrapText="1"/>
      <protection locked="0"/>
    </xf>
    <xf numFmtId="49" fontId="15" fillId="3" borderId="111" xfId="0" applyNumberFormat="1" applyFont="1" applyFill="1" applyBorder="1" applyAlignment="1">
      <alignment horizontal="center" vertical="center" wrapText="1"/>
    </xf>
    <xf numFmtId="0" fontId="1" fillId="19" borderId="46" xfId="0" applyFont="1" applyFill="1" applyBorder="1" applyAlignment="1" applyProtection="1">
      <alignment horizontal="center" vertical="center" wrapText="1"/>
      <protection locked="0"/>
    </xf>
    <xf numFmtId="49" fontId="15" fillId="3" borderId="100" xfId="0" applyNumberFormat="1" applyFont="1" applyFill="1" applyBorder="1" applyAlignment="1">
      <alignment horizontal="center" vertical="center" wrapText="1"/>
    </xf>
    <xf numFmtId="49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8" xfId="0" applyNumberFormat="1" applyFont="1" applyFill="1" applyBorder="1" applyAlignment="1">
      <alignment horizontal="center" vertical="center" wrapText="1"/>
    </xf>
    <xf numFmtId="165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2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2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2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4" fontId="1" fillId="0" borderId="27" xfId="0" applyNumberFormat="1" applyFont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4" xfId="0" applyNumberFormat="1" applyFont="1" applyBorder="1" applyAlignment="1" applyProtection="1">
      <alignment horizontal="center" vertical="center" wrapText="1"/>
      <protection locked="0"/>
    </xf>
    <xf numFmtId="4" fontId="1" fillId="0" borderId="134" xfId="0" applyNumberFormat="1" applyFont="1" applyBorder="1" applyAlignment="1" applyProtection="1">
      <alignment horizontal="center" vertical="center" wrapText="1"/>
      <protection locked="0"/>
    </xf>
    <xf numFmtId="165" fontId="1" fillId="0" borderId="134" xfId="0" applyNumberFormat="1" applyFont="1" applyBorder="1" applyAlignment="1" applyProtection="1">
      <alignment horizontal="center" vertical="center" wrapText="1"/>
      <protection locked="0"/>
    </xf>
    <xf numFmtId="49" fontId="16" fillId="18" borderId="12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6" xfId="0" applyNumberFormat="1" applyFont="1" applyFill="1" applyBorder="1" applyAlignment="1">
      <alignment horizontal="center" vertical="center" wrapText="1"/>
    </xf>
    <xf numFmtId="49" fontId="15" fillId="3" borderId="128" xfId="0" applyNumberFormat="1" applyFont="1" applyFill="1" applyBorder="1" applyAlignment="1">
      <alignment horizontal="center" vertical="center" wrapText="1"/>
    </xf>
    <xf numFmtId="168" fontId="1" fillId="3" borderId="1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8" xfId="0" applyNumberFormat="1" applyFont="1" applyBorder="1" applyAlignment="1" applyProtection="1">
      <alignment horizontal="center" vertical="center" wrapText="1"/>
      <protection locked="0"/>
    </xf>
    <xf numFmtId="165" fontId="1" fillId="0" borderId="138" xfId="0" applyNumberFormat="1" applyFont="1" applyBorder="1" applyAlignment="1" applyProtection="1">
      <alignment horizontal="center" vertical="center" wrapText="1"/>
      <protection locked="0"/>
    </xf>
    <xf numFmtId="14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8" xfId="0" applyNumberFormat="1" applyFont="1" applyBorder="1" applyAlignment="1" applyProtection="1">
      <alignment horizontal="center" vertical="center" wrapText="1"/>
      <protection locked="0"/>
    </xf>
    <xf numFmtId="49" fontId="1" fillId="3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36" xfId="0" applyNumberFormat="1" applyFont="1" applyFill="1" applyBorder="1" applyAlignment="1">
      <alignment horizontal="center" vertical="center" wrapText="1"/>
    </xf>
    <xf numFmtId="49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7" xfId="0" applyNumberFormat="1" applyFont="1" applyFill="1" applyBorder="1" applyAlignment="1">
      <alignment horizontal="center" vertical="center" wrapText="1"/>
    </xf>
    <xf numFmtId="168" fontId="1" fillId="3" borderId="13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37" xfId="0" applyNumberFormat="1" applyFont="1" applyFill="1" applyBorder="1" applyAlignment="1">
      <alignment horizontal="center" vertical="center" wrapText="1"/>
    </xf>
    <xf numFmtId="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9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0" xfId="0" applyNumberFormat="1" applyFont="1" applyBorder="1" applyAlignment="1" applyProtection="1">
      <alignment horizontal="center" vertical="center" wrapText="1"/>
      <protection locked="0"/>
    </xf>
    <xf numFmtId="165" fontId="1" fillId="0" borderId="140" xfId="0" applyNumberFormat="1" applyFont="1" applyBorder="1" applyAlignment="1" applyProtection="1">
      <alignment horizontal="center" vertical="center" wrapText="1"/>
      <protection locked="0"/>
    </xf>
    <xf numFmtId="49" fontId="1" fillId="3" borderId="14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1" xfId="0" applyNumberFormat="1" applyFont="1" applyBorder="1" applyAlignment="1" applyProtection="1">
      <alignment horizontal="center" vertical="center" wrapText="1"/>
      <protection locked="0"/>
    </xf>
    <xf numFmtId="165" fontId="1" fillId="0" borderId="141" xfId="0" applyNumberFormat="1" applyFont="1" applyBorder="1" applyAlignment="1" applyProtection="1">
      <alignment horizontal="center" vertical="center" wrapText="1"/>
      <protection locked="0"/>
    </xf>
    <xf numFmtId="1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0" xfId="0" applyNumberFormat="1" applyFont="1" applyBorder="1" applyAlignment="1" applyProtection="1">
      <alignment horizontal="center" vertical="center" wrapText="1"/>
      <protection locked="0"/>
    </xf>
    <xf numFmtId="14" fontId="1" fillId="0" borderId="141" xfId="0" applyNumberFormat="1" applyFont="1" applyBorder="1" applyAlignment="1" applyProtection="1">
      <alignment horizontal="center" vertical="center" wrapText="1"/>
      <protection locked="0"/>
    </xf>
    <xf numFmtId="49" fontId="1" fillId="3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6" xfId="0" applyNumberFormat="1" applyFont="1" applyBorder="1" applyAlignment="1" applyProtection="1">
      <alignment horizontal="center" vertical="center" wrapText="1"/>
      <protection locked="0"/>
    </xf>
    <xf numFmtId="49" fontId="1" fillId="0" borderId="146" xfId="0" applyNumberFormat="1" applyFont="1" applyBorder="1" applyAlignment="1" applyProtection="1">
      <alignment horizontal="center" vertical="center" wrapText="1"/>
      <protection locked="0"/>
    </xf>
    <xf numFmtId="4" fontId="1" fillId="0" borderId="149" xfId="0" applyNumberFormat="1" applyFont="1" applyBorder="1" applyAlignment="1" applyProtection="1">
      <alignment horizontal="center" vertical="center" wrapText="1"/>
      <protection locked="0"/>
    </xf>
    <xf numFmtId="49" fontId="1" fillId="0" borderId="149" xfId="0" applyNumberFormat="1" applyFont="1" applyBorder="1" applyAlignment="1" applyProtection="1">
      <alignment horizontal="center" vertical="center" wrapText="1"/>
      <protection locked="0"/>
    </xf>
    <xf numFmtId="1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6" xfId="0" applyNumberFormat="1" applyFont="1" applyBorder="1" applyAlignment="1" applyProtection="1">
      <alignment horizontal="center" vertical="center" wrapText="1"/>
      <protection locked="0"/>
    </xf>
    <xf numFmtId="14" fontId="1" fillId="0" borderId="149" xfId="0" applyNumberFormat="1" applyFont="1" applyBorder="1" applyAlignment="1" applyProtection="1">
      <alignment horizontal="center" vertical="center" wrapText="1"/>
      <protection locked="0"/>
    </xf>
    <xf numFmtId="49" fontId="15" fillId="18" borderId="150" xfId="0" applyNumberFormat="1" applyFont="1" applyFill="1" applyBorder="1" applyAlignment="1">
      <alignment horizontal="center" vertical="center" wrapText="1"/>
    </xf>
    <xf numFmtId="49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0" xfId="0" applyNumberFormat="1" applyFont="1" applyFill="1" applyBorder="1" applyAlignment="1">
      <alignment horizontal="center" vertical="center" wrapText="1"/>
    </xf>
    <xf numFmtId="165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0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5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50" xfId="0" applyNumberFormat="1" applyFont="1" applyFill="1" applyBorder="1" applyAlignment="1">
      <alignment horizontal="center" vertical="center" wrapText="1"/>
    </xf>
    <xf numFmtId="168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2" xfId="0" applyNumberFormat="1" applyFont="1" applyFill="1" applyBorder="1" applyAlignment="1">
      <alignment horizontal="center" vertical="center" wrapText="1"/>
    </xf>
    <xf numFmtId="49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4" xfId="0" applyNumberFormat="1" applyFont="1" applyBorder="1" applyAlignment="1" applyProtection="1">
      <alignment horizontal="center" vertical="center" wrapText="1"/>
      <protection locked="0"/>
    </xf>
    <xf numFmtId="165" fontId="1" fillId="0" borderId="154" xfId="0" applyNumberFormat="1" applyFont="1" applyBorder="1" applyAlignment="1" applyProtection="1">
      <alignment horizontal="center" vertical="center" wrapText="1"/>
      <protection locked="0"/>
    </xf>
    <xf numFmtId="4" fontId="1" fillId="3" borderId="1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4" xfId="0" applyNumberFormat="1" applyFont="1" applyBorder="1" applyAlignment="1" applyProtection="1">
      <alignment horizontal="center" vertical="center" wrapText="1"/>
      <protection locked="0"/>
    </xf>
    <xf numFmtId="49" fontId="1" fillId="3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51" xfId="0" applyNumberFormat="1" applyFont="1" applyFill="1" applyBorder="1" applyAlignment="1">
      <alignment horizontal="center" vertical="center" wrapText="1"/>
    </xf>
    <xf numFmtId="49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5" xfId="0" applyFont="1" applyFill="1" applyBorder="1" applyAlignment="1" applyProtection="1">
      <alignment horizontal="center" vertical="center" wrapText="1"/>
      <protection locked="0"/>
    </xf>
    <xf numFmtId="165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5" xfId="0" applyNumberFormat="1" applyFont="1" applyFill="1" applyBorder="1" applyAlignment="1">
      <alignment horizontal="center" vertical="center" wrapText="1"/>
    </xf>
    <xf numFmtId="167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55" xfId="0" applyNumberFormat="1" applyFont="1" applyFill="1" applyBorder="1" applyAlignment="1">
      <alignment horizontal="center" vertical="center" wrapText="1"/>
    </xf>
    <xf numFmtId="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0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5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50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50" xfId="0" applyNumberFormat="1" applyFont="1" applyFill="1" applyBorder="1" applyAlignment="1">
      <alignment horizontal="center" vertical="center" wrapText="1"/>
    </xf>
    <xf numFmtId="49" fontId="1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4" borderId="15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5" xfId="0" applyFont="1" applyFill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 wrapText="1"/>
    </xf>
    <xf numFmtId="0" fontId="1" fillId="3" borderId="155" xfId="0" applyFont="1" applyFill="1" applyBorder="1" applyAlignment="1">
      <alignment horizontal="center" vertical="center" wrapText="1"/>
    </xf>
    <xf numFmtId="0" fontId="1" fillId="4" borderId="155" xfId="0" applyFont="1" applyFill="1" applyBorder="1" applyAlignment="1" applyProtection="1">
      <alignment horizontal="center" vertical="center" wrapText="1"/>
      <protection locked="0"/>
    </xf>
    <xf numFmtId="0" fontId="1" fillId="19" borderId="155" xfId="0" applyFont="1" applyFill="1" applyBorder="1" applyAlignment="1" applyProtection="1">
      <alignment horizontal="center" vertical="center" wrapText="1"/>
      <protection locked="0"/>
    </xf>
    <xf numFmtId="1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4" xfId="0" applyFont="1" applyFill="1" applyBorder="1" applyAlignment="1" applyProtection="1">
      <alignment horizontal="center" vertical="center" wrapText="1"/>
      <protection locked="0"/>
    </xf>
    <xf numFmtId="49" fontId="15" fillId="18" borderId="164" xfId="0" applyNumberFormat="1" applyFont="1" applyFill="1" applyBorder="1" applyAlignment="1">
      <alignment horizontal="center" vertical="center" wrapText="1"/>
    </xf>
    <xf numFmtId="49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4" xfId="0" applyNumberFormat="1" applyFont="1" applyFill="1" applyBorder="1" applyAlignment="1">
      <alignment horizontal="center" vertical="center" wrapText="1"/>
    </xf>
    <xf numFmtId="165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164" xfId="0" applyFont="1" applyFill="1" applyBorder="1" applyAlignment="1" applyProtection="1">
      <alignment horizontal="center" vertical="center" wrapText="1"/>
      <protection locked="0"/>
    </xf>
    <xf numFmtId="49" fontId="1" fillId="3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4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6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55" xfId="0" applyNumberFormat="1" applyFont="1" applyFill="1" applyBorder="1" applyAlignment="1">
      <alignment horizontal="center" vertical="center" wrapText="1"/>
    </xf>
    <xf numFmtId="49" fontId="1" fillId="3" borderId="155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5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5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60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64" xfId="0" applyNumberFormat="1" applyFont="1" applyFill="1" applyBorder="1" applyAlignment="1">
      <alignment horizontal="center" vertical="center" wrapText="1"/>
    </xf>
    <xf numFmtId="49" fontId="15" fillId="3" borderId="37" xfId="0" applyNumberFormat="1" applyFont="1" applyFill="1" applyBorder="1" applyAlignment="1">
      <alignment horizontal="center" vertical="center" wrapText="1"/>
    </xf>
    <xf numFmtId="49" fontId="1" fillId="3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37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5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64" xfId="0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3" borderId="87" xfId="0" applyNumberFormat="1" applyFont="1" applyFill="1" applyBorder="1" applyAlignment="1">
      <alignment horizontal="center" vertical="center" wrapText="1"/>
    </xf>
    <xf numFmtId="49" fontId="15" fillId="3" borderId="90" xfId="0" applyNumberFormat="1" applyFont="1" applyFill="1" applyBorder="1" applyAlignment="1">
      <alignment horizontal="center" vertical="center" wrapText="1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8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5" xfId="0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9" fontId="15" fillId="3" borderId="137" xfId="0" applyNumberFormat="1" applyFont="1" applyFill="1" applyBorder="1" applyAlignment="1">
      <alignment horizontal="center" vertical="center" wrapText="1"/>
    </xf>
    <xf numFmtId="49" fontId="15" fillId="3" borderId="138" xfId="0" applyNumberFormat="1" applyFont="1" applyFill="1" applyBorder="1" applyAlignment="1">
      <alignment horizontal="center" vertical="center" wrapText="1"/>
    </xf>
    <xf numFmtId="14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37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38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37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7" xfId="0" applyNumberFormat="1" applyFont="1" applyFill="1" applyBorder="1" applyAlignment="1">
      <alignment horizontal="center" vertical="center" wrapText="1"/>
    </xf>
    <xf numFmtId="4" fontId="1" fillId="18" borderId="138" xfId="0" applyNumberFormat="1" applyFont="1" applyFill="1" applyBorder="1" applyAlignment="1">
      <alignment horizontal="center" vertical="center" wrapText="1"/>
    </xf>
    <xf numFmtId="165" fontId="1" fillId="18" borderId="1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56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58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56" xfId="0" applyNumberFormat="1" applyFont="1" applyFill="1" applyBorder="1" applyAlignment="1">
      <alignment horizontal="center" vertical="center" wrapText="1"/>
    </xf>
    <xf numFmtId="49" fontId="15" fillId="18" borderId="158" xfId="0" applyNumberFormat="1" applyFont="1" applyFill="1" applyBorder="1" applyAlignment="1">
      <alignment horizontal="center" vertical="center" wrapText="1"/>
    </xf>
    <xf numFmtId="49" fontId="15" fillId="18" borderId="157" xfId="0" applyNumberFormat="1" applyFont="1" applyFill="1" applyBorder="1" applyAlignment="1">
      <alignment horizontal="center" vertical="center" wrapText="1"/>
    </xf>
    <xf numFmtId="49" fontId="16" fillId="18" borderId="156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58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6" xfId="0" applyNumberFormat="1" applyFont="1" applyFill="1" applyBorder="1" applyAlignment="1">
      <alignment horizontal="center" vertical="center" wrapText="1"/>
    </xf>
    <xf numFmtId="4" fontId="1" fillId="18" borderId="158" xfId="0" applyNumberFormat="1" applyFont="1" applyFill="1" applyBorder="1" applyAlignment="1">
      <alignment horizontal="center" vertical="center" wrapText="1"/>
    </xf>
    <xf numFmtId="4" fontId="1" fillId="18" borderId="157" xfId="0" applyNumberFormat="1" applyFont="1" applyFill="1" applyBorder="1" applyAlignment="1">
      <alignment horizontal="center" vertical="center" wrapText="1"/>
    </xf>
    <xf numFmtId="49" fontId="1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5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58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5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5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58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5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59" xfId="0" applyNumberFormat="1" applyFont="1" applyFill="1" applyBorder="1" applyAlignment="1">
      <alignment horizontal="center" vertical="center" wrapText="1"/>
    </xf>
    <xf numFmtId="49" fontId="15" fillId="3" borderId="162" xfId="0" applyNumberFormat="1" applyFont="1" applyFill="1" applyBorder="1" applyAlignment="1">
      <alignment horizontal="center" vertical="center" wrapText="1"/>
    </xf>
    <xf numFmtId="1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60" xfId="0" applyNumberFormat="1" applyFont="1" applyFill="1" applyBorder="1" applyAlignment="1" applyProtection="1">
      <alignment horizontal="center" vertical="center" wrapText="1"/>
      <protection locked="0"/>
    </xf>
    <xf numFmtId="168" fontId="1" fillId="3" borderId="1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61" xfId="0" applyFont="1" applyFill="1" applyBorder="1" applyAlignment="1" applyProtection="1">
      <alignment horizontal="center" vertical="center" wrapText="1"/>
      <protection locked="0"/>
    </xf>
    <xf numFmtId="0" fontId="1" fillId="18" borderId="164" xfId="0" applyFont="1" applyFill="1" applyBorder="1" applyAlignment="1" applyProtection="1">
      <alignment horizontal="center" vertical="center" wrapText="1"/>
      <protection locked="0"/>
    </xf>
    <xf numFmtId="49" fontId="16" fillId="18" borderId="160" xfId="0" applyNumberFormat="1" applyFont="1" applyFill="1" applyBorder="1" applyAlignment="1" applyProtection="1">
      <alignment horizontal="center" vertical="center" wrapText="1"/>
      <protection locked="0"/>
    </xf>
    <xf numFmtId="49" fontId="16" fillId="18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60" xfId="0" applyNumberFormat="1" applyFont="1" applyFill="1" applyBorder="1" applyAlignment="1">
      <alignment horizontal="center" vertical="center" wrapText="1"/>
    </xf>
    <xf numFmtId="4" fontId="1" fillId="18" borderId="163" xfId="0" applyNumberFormat="1" applyFont="1" applyFill="1" applyBorder="1" applyAlignment="1">
      <alignment horizontal="center" vertical="center" wrapText="1"/>
    </xf>
    <xf numFmtId="165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32" xfId="0" applyFont="1" applyFill="1" applyBorder="1" applyAlignment="1" applyProtection="1">
      <alignment horizontal="center" vertical="center" wrapText="1"/>
      <protection locked="0"/>
    </xf>
    <xf numFmtId="0" fontId="1" fillId="18" borderId="135" xfId="0" applyFont="1" applyFill="1" applyBorder="1" applyAlignment="1" applyProtection="1">
      <alignment horizontal="center" vertical="center" wrapText="1"/>
      <protection locked="0"/>
    </xf>
    <xf numFmtId="49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1" xfId="0" applyNumberFormat="1" applyFont="1" applyFill="1" applyBorder="1" applyAlignment="1">
      <alignment horizontal="center" vertical="center" wrapText="1"/>
    </xf>
    <xf numFmtId="4" fontId="1" fillId="18" borderId="134" xfId="0" applyNumberFormat="1" applyFont="1" applyFill="1" applyBorder="1" applyAlignment="1">
      <alignment horizontal="center" vertical="center" wrapText="1"/>
    </xf>
    <xf numFmtId="167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30" xfId="0" applyNumberFormat="1" applyFont="1" applyFill="1" applyBorder="1" applyAlignment="1">
      <alignment horizontal="center" vertical="center" wrapText="1"/>
    </xf>
    <xf numFmtId="49" fontId="15" fillId="18" borderId="133" xfId="0" applyNumberFormat="1" applyFont="1" applyFill="1" applyBorder="1" applyAlignment="1">
      <alignment horizontal="center" vertical="center" wrapText="1"/>
    </xf>
    <xf numFmtId="164" fontId="1" fillId="18" borderId="1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>
      <alignment horizontal="center" vertical="center" wrapText="1"/>
    </xf>
    <xf numFmtId="4" fontId="1" fillId="18" borderId="127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>
      <alignment horizontal="center" vertical="center" wrapText="1"/>
    </xf>
    <xf numFmtId="167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0" xfId="0" applyNumberFormat="1" applyFont="1" applyFill="1" applyBorder="1" applyAlignment="1">
      <alignment horizontal="center" vertical="center" wrapText="1"/>
    </xf>
    <xf numFmtId="49" fontId="15" fillId="18" borderId="126" xfId="0" applyNumberFormat="1" applyFont="1" applyFill="1" applyBorder="1" applyAlignment="1">
      <alignment horizontal="center" vertical="center" wrapText="1"/>
    </xf>
    <xf numFmtId="49" fontId="15" fillId="18" borderId="123" xfId="0" applyNumberFormat="1" applyFont="1" applyFill="1" applyBorder="1" applyAlignment="1">
      <alignment horizontal="center" vertical="center" wrapText="1"/>
    </xf>
    <xf numFmtId="16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6" xfId="0" applyFont="1" applyFill="1" applyBorder="1" applyAlignment="1" applyProtection="1">
      <alignment horizontal="center" vertical="center" wrapText="1"/>
      <protection locked="0"/>
    </xf>
    <xf numFmtId="0" fontId="1" fillId="18" borderId="119" xfId="0" applyFont="1" applyFill="1" applyBorder="1" applyAlignment="1" applyProtection="1">
      <alignment horizontal="center" vertical="center" wrapText="1"/>
      <protection locked="0"/>
    </xf>
    <xf numFmtId="49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5" xfId="0" applyNumberFormat="1" applyFont="1" applyFill="1" applyBorder="1" applyAlignment="1">
      <alignment horizontal="center" vertical="center" wrapText="1"/>
    </xf>
    <xf numFmtId="4" fontId="1" fillId="18" borderId="118" xfId="0" applyNumberFormat="1" applyFont="1" applyFill="1" applyBorder="1" applyAlignment="1">
      <alignment horizontal="center" vertical="center" wrapText="1"/>
    </xf>
    <xf numFmtId="167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4" xfId="0" applyNumberFormat="1" applyFont="1" applyFill="1" applyBorder="1" applyAlignment="1">
      <alignment horizontal="center" vertical="center" wrapText="1"/>
    </xf>
    <xf numFmtId="49" fontId="15" fillId="18" borderId="117" xfId="0" applyNumberFormat="1" applyFont="1" applyFill="1" applyBorder="1" applyAlignment="1">
      <alignment horizontal="center" vertical="center" wrapText="1"/>
    </xf>
    <xf numFmtId="164" fontId="1" fillId="18" borderId="11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122" xfId="0" applyFont="1" applyFill="1" applyBorder="1" applyAlignment="1" applyProtection="1">
      <alignment horizontal="center" vertical="center" wrapText="1"/>
      <protection locked="0"/>
    </xf>
    <xf numFmtId="0" fontId="1" fillId="19" borderId="128" xfId="0" applyFont="1" applyFill="1" applyBorder="1" applyAlignment="1" applyProtection="1">
      <alignment horizontal="center" vertical="center" wrapText="1"/>
      <protection locked="0"/>
    </xf>
    <xf numFmtId="0" fontId="1" fillId="19" borderId="125" xfId="0" applyFont="1" applyFill="1" applyBorder="1" applyAlignment="1" applyProtection="1">
      <alignment horizontal="center" vertical="center" wrapText="1"/>
      <protection locked="0"/>
    </xf>
    <xf numFmtId="1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0" xfId="0" applyNumberFormat="1" applyFont="1" applyFill="1" applyBorder="1" applyAlignment="1">
      <alignment horizontal="center" vertical="center" wrapText="1"/>
    </xf>
    <xf numFmtId="4" fontId="1" fillId="18" borderId="111" xfId="0" applyNumberFormat="1" applyFont="1" applyFill="1" applyBorder="1" applyAlignment="1">
      <alignment horizontal="center" vertical="center" wrapText="1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10" xfId="0" applyNumberFormat="1" applyFont="1" applyFill="1" applyBorder="1" applyAlignment="1">
      <alignment horizontal="center" vertical="center" wrapText="1"/>
    </xf>
    <xf numFmtId="49" fontId="15" fillId="3" borderId="111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>
      <alignment horizontal="center" vertical="center" wrapText="1"/>
    </xf>
    <xf numFmtId="4" fontId="1" fillId="18" borderId="97" xfId="0" applyNumberFormat="1" applyFont="1" applyFill="1" applyBorder="1" applyAlignment="1">
      <alignment horizontal="center" vertical="center" wrapText="1"/>
    </xf>
    <xf numFmtId="4" fontId="1" fillId="18" borderId="98" xfId="0" applyNumberFormat="1" applyFont="1" applyFill="1" applyBorder="1" applyAlignment="1">
      <alignment horizontal="center" vertical="center" wrapText="1"/>
    </xf>
    <xf numFmtId="16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2" xfId="0" applyFont="1" applyFill="1" applyBorder="1" applyAlignment="1" applyProtection="1">
      <alignment horizontal="center" vertical="center" wrapText="1"/>
      <protection locked="0"/>
    </xf>
    <xf numFmtId="0" fontId="1" fillId="18" borderId="113" xfId="0" applyFont="1" applyFill="1" applyBorder="1" applyAlignment="1" applyProtection="1">
      <alignment horizontal="center" vertical="center" wrapText="1"/>
      <protection locked="0"/>
    </xf>
    <xf numFmtId="165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2" xfId="0" applyNumberFormat="1" applyFont="1" applyFill="1" applyBorder="1" applyAlignment="1">
      <alignment horizontal="center" vertical="center" wrapText="1"/>
    </xf>
    <xf numFmtId="4" fontId="1" fillId="18" borderId="113" xfId="0" applyNumberFormat="1" applyFont="1" applyFill="1" applyBorder="1" applyAlignment="1">
      <alignment horizontal="center" vertical="center" wrapText="1"/>
    </xf>
    <xf numFmtId="167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0" xfId="0" applyFont="1" applyFill="1" applyBorder="1" applyAlignment="1" applyProtection="1">
      <alignment horizontal="center" vertical="center" wrapText="1"/>
      <protection locked="0"/>
    </xf>
    <xf numFmtId="0" fontId="1" fillId="18" borderId="111" xfId="0" applyFont="1" applyFill="1" applyBorder="1" applyAlignment="1" applyProtection="1">
      <alignment horizontal="center" vertical="center" wrapText="1"/>
      <protection locked="0"/>
    </xf>
    <xf numFmtId="167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96" xfId="0" applyNumberFormat="1" applyFont="1" applyFill="1" applyBorder="1" applyAlignment="1">
      <alignment horizontal="center" vertical="center" wrapText="1"/>
    </xf>
    <xf numFmtId="49" fontId="15" fillId="3" borderId="97" xfId="0" applyNumberFormat="1" applyFont="1" applyFill="1" applyBorder="1" applyAlignment="1">
      <alignment horizontal="center" vertical="center" wrapText="1"/>
    </xf>
    <xf numFmtId="49" fontId="15" fillId="3" borderId="98" xfId="0" applyNumberFormat="1" applyFont="1" applyFill="1" applyBorder="1" applyAlignment="1">
      <alignment horizontal="center" vertical="center" wrapText="1"/>
    </xf>
    <xf numFmtId="49" fontId="15" fillId="18" borderId="112" xfId="0" applyNumberFormat="1" applyFont="1" applyFill="1" applyBorder="1" applyAlignment="1">
      <alignment horizontal="center" vertical="center" wrapText="1"/>
    </xf>
    <xf numFmtId="49" fontId="15" fillId="18" borderId="113" xfId="0" applyNumberFormat="1" applyFont="1" applyFill="1" applyBorder="1" applyAlignment="1">
      <alignment horizontal="center" vertical="center" wrapText="1"/>
    </xf>
    <xf numFmtId="16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0" fontId="1" fillId="18" borderId="97" xfId="0" applyFont="1" applyFill="1" applyBorder="1" applyAlignment="1" applyProtection="1">
      <alignment horizontal="center" vertical="center" wrapText="1"/>
      <protection locked="0"/>
    </xf>
    <xf numFmtId="0" fontId="1" fillId="18" borderId="98" xfId="0" applyFont="1" applyFill="1" applyBorder="1" applyAlignment="1" applyProtection="1">
      <alignment horizontal="center" vertical="center" wrapText="1"/>
      <protection locked="0"/>
    </xf>
    <xf numFmtId="49" fontId="15" fillId="18" borderId="65" xfId="0" applyNumberFormat="1" applyFont="1" applyFill="1" applyBorder="1" applyAlignment="1">
      <alignment horizontal="center" vertical="center" wrapText="1"/>
    </xf>
    <xf numFmtId="49" fontId="15" fillId="18" borderId="71" xfId="0" applyNumberFormat="1" applyFont="1" applyFill="1" applyBorder="1" applyAlignment="1">
      <alignment horizontal="center" vertical="center" wrapText="1"/>
    </xf>
    <xf numFmtId="49" fontId="15" fillId="18" borderId="68" xfId="0" applyNumberFormat="1" applyFont="1" applyFill="1" applyBorder="1" applyAlignment="1">
      <alignment horizontal="center" vertical="center" wrapText="1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49" xfId="0" applyFont="1" applyFill="1" applyBorder="1" applyAlignment="1" applyProtection="1">
      <alignment horizontal="center" vertical="center" wrapText="1"/>
      <protection locked="0"/>
    </xf>
    <xf numFmtId="0" fontId="1" fillId="19" borderId="55" xfId="0" applyFont="1" applyFill="1" applyBorder="1" applyAlignment="1" applyProtection="1">
      <alignment horizontal="center" vertical="center" wrapText="1"/>
      <protection locked="0"/>
    </xf>
    <xf numFmtId="0" fontId="1" fillId="19" borderId="52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8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center" vertical="center" wrapText="1"/>
    </xf>
    <xf numFmtId="49" fontId="15" fillId="3" borderId="41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3" borderId="20" xfId="0" applyNumberFormat="1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5" xfId="0" applyNumberFormat="1" applyFont="1" applyFill="1" applyBorder="1" applyAlignment="1">
      <alignment horizontal="center" vertical="center" wrapText="1"/>
    </xf>
    <xf numFmtId="49" fontId="15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53" xfId="0" applyNumberFormat="1" applyFont="1" applyFill="1" applyBorder="1" applyAlignment="1">
      <alignment horizontal="center" vertical="center" wrapText="1"/>
    </xf>
    <xf numFmtId="49" fontId="15" fillId="3" borderId="154" xfId="0" applyNumberFormat="1" applyFont="1" applyFill="1" applyBorder="1" applyAlignment="1">
      <alignment horizontal="center" vertical="center" wrapText="1"/>
    </xf>
    <xf numFmtId="1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22" xfId="0" applyFont="1" applyFill="1" applyBorder="1" applyAlignment="1" applyProtection="1">
      <alignment horizontal="center" vertical="center" wrapText="1"/>
      <protection locked="0"/>
    </xf>
    <xf numFmtId="0" fontId="1" fillId="19" borderId="28" xfId="0" applyFont="1" applyFill="1" applyBorder="1" applyAlignment="1" applyProtection="1">
      <alignment horizontal="center" vertical="center" wrapText="1"/>
      <protection locked="0"/>
    </xf>
    <xf numFmtId="0" fontId="1" fillId="19" borderId="25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4" xfId="0" applyNumberFormat="1" applyFont="1" applyFill="1" applyBorder="1" applyAlignment="1">
      <alignment horizontal="center" vertical="center" wrapText="1"/>
    </xf>
    <xf numFmtId="49" fontId="15" fillId="3" borderId="75" xfId="0" applyNumberFormat="1" applyFont="1" applyFill="1" applyBorder="1" applyAlignment="1">
      <alignment horizontal="center" vertical="center" wrapText="1"/>
    </xf>
    <xf numFmtId="49" fontId="15" fillId="3" borderId="76" xfId="0" applyNumberFormat="1" applyFont="1" applyFill="1" applyBorder="1" applyAlignment="1">
      <alignment horizontal="center" vertical="center" wrapText="1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5" fillId="18" borderId="62" xfId="0" applyNumberFormat="1" applyFont="1" applyFill="1" applyBorder="1" applyAlignment="1">
      <alignment horizontal="center" vertical="center" wrapText="1"/>
    </xf>
    <xf numFmtId="49" fontId="15" fillId="18" borderId="59" xfId="0" applyNumberFormat="1" applyFont="1" applyFill="1" applyBorder="1" applyAlignment="1">
      <alignment horizontal="center" vertical="center" wrapText="1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39" xfId="0" applyNumberFormat="1" applyFont="1" applyFill="1" applyBorder="1" applyAlignment="1">
      <alignment horizontal="center" vertical="center" wrapText="1"/>
    </xf>
    <xf numFmtId="49" fontId="15" fillId="18" borderId="140" xfId="0" applyNumberFormat="1" applyFont="1" applyFill="1" applyBorder="1" applyAlignment="1">
      <alignment horizontal="center" vertical="center" wrapText="1"/>
    </xf>
    <xf numFmtId="49" fontId="15" fillId="18" borderId="141" xfId="0" applyNumberFormat="1" applyFont="1" applyFill="1" applyBorder="1" applyAlignment="1">
      <alignment horizontal="center" vertical="center" wrapText="1"/>
    </xf>
    <xf numFmtId="1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7" xfId="0" applyNumberFormat="1" applyFont="1" applyFill="1" applyBorder="1" applyAlignment="1">
      <alignment horizontal="center" vertical="center" wrapText="1"/>
    </xf>
    <xf numFmtId="49" fontId="15" fillId="3" borderId="80" xfId="0" applyNumberFormat="1" applyFont="1" applyFill="1" applyBorder="1" applyAlignment="1">
      <alignment horizontal="center" vertical="center" wrapText="1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83" xfId="0" applyNumberFormat="1" applyFont="1" applyFill="1" applyBorder="1" applyAlignment="1">
      <alignment horizontal="center" vertical="center" wrapText="1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93" xfId="0" applyNumberFormat="1" applyFont="1" applyFill="1" applyBorder="1" applyAlignment="1">
      <alignment horizontal="center" vertical="center" wrapText="1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>
      <alignment horizontal="center" vertical="center" wrapText="1"/>
    </xf>
    <xf numFmtId="16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39" xfId="0" applyFont="1" applyFill="1" applyBorder="1" applyAlignment="1" applyProtection="1">
      <alignment horizontal="center" vertical="center" wrapText="1"/>
      <protection locked="0"/>
    </xf>
    <xf numFmtId="0" fontId="1" fillId="18" borderId="140" xfId="0" applyFont="1" applyFill="1" applyBorder="1" applyAlignment="1" applyProtection="1">
      <alignment horizontal="center" vertical="center" wrapText="1"/>
      <protection locked="0"/>
    </xf>
    <xf numFmtId="0" fontId="1" fillId="18" borderId="141" xfId="0" applyFont="1" applyFill="1" applyBorder="1" applyAlignment="1" applyProtection="1">
      <alignment horizontal="center" vertical="center" wrapText="1"/>
      <protection locked="0"/>
    </xf>
    <xf numFmtId="165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9" xfId="0" applyNumberFormat="1" applyFont="1" applyFill="1" applyBorder="1" applyAlignment="1">
      <alignment horizontal="center" vertical="center" wrapText="1"/>
    </xf>
    <xf numFmtId="4" fontId="1" fillId="18" borderId="140" xfId="0" applyNumberFormat="1" applyFont="1" applyFill="1" applyBorder="1" applyAlignment="1">
      <alignment horizontal="center" vertical="center" wrapText="1"/>
    </xf>
    <xf numFmtId="4" fontId="1" fillId="18" borderId="141" xfId="0" applyNumberFormat="1" applyFont="1" applyFill="1" applyBorder="1" applyAlignment="1">
      <alignment horizontal="center" vertical="center" wrapText="1"/>
    </xf>
    <xf numFmtId="167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3" xfId="0" applyFont="1" applyFill="1" applyBorder="1" applyAlignment="1" applyProtection="1">
      <alignment horizontal="center" vertical="center" wrapText="1"/>
      <protection locked="0"/>
    </xf>
    <xf numFmtId="0" fontId="1" fillId="18" borderId="154" xfId="0" applyFont="1" applyFill="1" applyBorder="1" applyAlignment="1" applyProtection="1">
      <alignment horizontal="center" vertical="center" wrapText="1"/>
      <protection locked="0"/>
    </xf>
    <xf numFmtId="165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3" xfId="0" applyNumberFormat="1" applyFont="1" applyFill="1" applyBorder="1" applyAlignment="1">
      <alignment horizontal="center" vertical="center" wrapText="1"/>
    </xf>
    <xf numFmtId="4" fontId="1" fillId="18" borderId="154" xfId="0" applyNumberFormat="1" applyFont="1" applyFill="1" applyBorder="1" applyAlignment="1">
      <alignment horizontal="center" vertical="center" wrapText="1"/>
    </xf>
    <xf numFmtId="167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59" xfId="0" applyNumberFormat="1" applyFont="1" applyFill="1" applyBorder="1" applyAlignment="1">
      <alignment horizontal="center" vertical="center" wrapText="1"/>
    </xf>
    <xf numFmtId="49" fontId="15" fillId="18" borderId="162" xfId="0" applyNumberFormat="1" applyFont="1" applyFill="1" applyBorder="1" applyAlignment="1">
      <alignment horizontal="center" vertical="center" wrapText="1"/>
    </xf>
    <xf numFmtId="49" fontId="15" fillId="3" borderId="101" xfId="0" applyNumberFormat="1" applyFont="1" applyFill="1" applyBorder="1" applyAlignment="1">
      <alignment horizontal="center" vertical="center" wrapText="1"/>
    </xf>
    <xf numFmtId="49" fontId="15" fillId="3" borderId="107" xfId="0" applyNumberFormat="1" applyFont="1" applyFill="1" applyBorder="1" applyAlignment="1">
      <alignment horizontal="center" vertical="center" wrapText="1"/>
    </xf>
    <xf numFmtId="49" fontId="15" fillId="3" borderId="104" xfId="0" applyNumberFormat="1" applyFont="1" applyFill="1" applyBorder="1" applyAlignment="1">
      <alignment horizontal="center" vertical="center" wrapText="1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05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103" xfId="0" applyFont="1" applyFill="1" applyBorder="1" applyAlignment="1" applyProtection="1">
      <alignment horizontal="center" vertical="center" wrapText="1"/>
      <protection locked="0"/>
    </xf>
    <xf numFmtId="0" fontId="1" fillId="19" borderId="109" xfId="0" applyFont="1" applyFill="1" applyBorder="1" applyAlignment="1" applyProtection="1">
      <alignment horizontal="center" vertical="center" wrapText="1"/>
      <protection locked="0"/>
    </xf>
    <xf numFmtId="0" fontId="1" fillId="19" borderId="106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2" xfId="0" applyNumberFormat="1" applyFont="1" applyFill="1" applyBorder="1" applyAlignment="1">
      <alignment horizontal="center" vertical="center" wrapText="1"/>
    </xf>
    <xf numFmtId="4" fontId="1" fillId="18" borderId="108" xfId="0" applyNumberFormat="1" applyFont="1" applyFill="1" applyBorder="1" applyAlignment="1">
      <alignment horizontal="center" vertical="center" wrapText="1"/>
    </xf>
    <xf numFmtId="4" fontId="1" fillId="18" borderId="105" xfId="0" applyNumberFormat="1" applyFont="1" applyFill="1" applyBorder="1" applyAlignment="1">
      <alignment horizontal="center" vertical="center" wrapText="1"/>
    </xf>
    <xf numFmtId="1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02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05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4" xfId="0" applyFont="1" applyFill="1" applyBorder="1" applyAlignment="1" applyProtection="1">
      <alignment horizontal="center" vertical="center" wrapText="1"/>
      <protection locked="0"/>
    </xf>
    <xf numFmtId="0" fontId="1" fillId="18" borderId="147" xfId="0" applyFont="1" applyFill="1" applyBorder="1" applyAlignment="1" applyProtection="1">
      <alignment horizontal="center" vertical="center" wrapText="1"/>
      <protection locked="0"/>
    </xf>
    <xf numFmtId="0" fontId="1" fillId="18" borderId="150" xfId="0" applyFont="1" applyFill="1" applyBorder="1" applyAlignment="1" applyProtection="1">
      <alignment horizontal="center" vertical="center" wrapText="1"/>
      <protection locked="0"/>
    </xf>
    <xf numFmtId="49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3" xfId="0" applyNumberFormat="1" applyFont="1" applyFill="1" applyBorder="1" applyAlignment="1">
      <alignment horizontal="center" vertical="center" wrapText="1"/>
    </xf>
    <xf numFmtId="4" fontId="1" fillId="18" borderId="146" xfId="0" applyNumberFormat="1" applyFont="1" applyFill="1" applyBorder="1" applyAlignment="1">
      <alignment horizontal="center" vertical="center" wrapText="1"/>
    </xf>
    <xf numFmtId="4" fontId="1" fillId="18" borderId="149" xfId="0" applyNumberFormat="1" applyFont="1" applyFill="1" applyBorder="1" applyAlignment="1">
      <alignment horizontal="center" vertical="center" wrapText="1"/>
    </xf>
    <xf numFmtId="14" fontId="1" fillId="18" borderId="1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42" xfId="0" applyNumberFormat="1" applyFont="1" applyFill="1" applyBorder="1" applyAlignment="1">
      <alignment horizontal="center" vertical="center" wrapText="1"/>
    </xf>
    <xf numFmtId="49" fontId="15" fillId="18" borderId="145" xfId="0" applyNumberFormat="1" applyFont="1" applyFill="1" applyBorder="1" applyAlignment="1">
      <alignment horizontal="center" vertical="center" wrapText="1"/>
    </xf>
    <xf numFmtId="49" fontId="15" fillId="18" borderId="148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393150</xdr:colOff>
      <xdr:row>3</xdr:row>
      <xdr:rowOff>0</xdr:rowOff>
    </xdr:from>
    <xdr:to>
      <xdr:col>7</xdr:col>
      <xdr:colOff>323850</xdr:colOff>
      <xdr:row>3</xdr:row>
      <xdr:rowOff>507423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381000</xdr:colOff>
      <xdr:row>2</xdr:row>
      <xdr:rowOff>228600</xdr:rowOff>
    </xdr:from>
    <xdr:to>
      <xdr:col>19</xdr:col>
      <xdr:colOff>940350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387926</xdr:colOff>
      <xdr:row>3</xdr:row>
      <xdr:rowOff>0</xdr:rowOff>
    </xdr:from>
    <xdr:to>
      <xdr:col>13</xdr:col>
      <xdr:colOff>1061576</xdr:colOff>
      <xdr:row>3</xdr:row>
      <xdr:rowOff>507422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G13" sqref="G13:I13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599" t="s">
        <v>141</v>
      </c>
      <c r="B1" s="600"/>
      <c r="C1" s="600"/>
      <c r="D1" s="600"/>
      <c r="E1" s="601" t="s">
        <v>145</v>
      </c>
      <c r="F1" s="602"/>
      <c r="G1" s="602"/>
      <c r="H1" s="602"/>
      <c r="I1" s="602"/>
      <c r="J1" s="602"/>
      <c r="K1" s="602"/>
      <c r="L1" s="602"/>
      <c r="M1" s="602"/>
      <c r="N1" s="603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575" t="s">
        <v>25</v>
      </c>
      <c r="B4" s="576"/>
      <c r="C4" s="4">
        <v>6751208.04</v>
      </c>
      <c r="D4" s="5"/>
      <c r="E4" s="577" t="s">
        <v>140</v>
      </c>
      <c r="F4" s="578"/>
      <c r="G4" s="579"/>
      <c r="H4" s="580">
        <v>1900000</v>
      </c>
      <c r="I4" s="581"/>
      <c r="J4" s="582"/>
      <c r="K4" s="17"/>
      <c r="L4" s="79" t="s">
        <v>55</v>
      </c>
      <c r="M4" s="577">
        <v>3095459.13</v>
      </c>
      <c r="N4" s="579"/>
    </row>
    <row r="5" spans="1:14" ht="30.75" customHeight="1" thickBot="1" x14ac:dyDescent="0.3">
      <c r="A5" s="575" t="s">
        <v>26</v>
      </c>
      <c r="B5" s="576"/>
      <c r="C5" s="6">
        <f>C4-G15+J15</f>
        <v>459225.64999999944</v>
      </c>
      <c r="D5" s="5"/>
      <c r="E5" s="577" t="s">
        <v>53</v>
      </c>
      <c r="F5" s="578"/>
      <c r="G5" s="579"/>
      <c r="H5" s="567">
        <f>H4-G12</f>
        <v>426320.91999999993</v>
      </c>
      <c r="I5" s="568"/>
      <c r="J5" s="569"/>
      <c r="K5" s="17"/>
      <c r="L5" s="79" t="s">
        <v>54</v>
      </c>
      <c r="M5" s="570">
        <f>M4-G13</f>
        <v>-427715.01000000024</v>
      </c>
      <c r="N5" s="571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583" t="s">
        <v>27</v>
      </c>
      <c r="B8" s="584"/>
      <c r="C8" s="585"/>
      <c r="D8" s="583" t="s">
        <v>28</v>
      </c>
      <c r="E8" s="584"/>
      <c r="F8" s="585"/>
      <c r="G8" s="586" t="s">
        <v>29</v>
      </c>
      <c r="H8" s="587"/>
      <c r="I8" s="588"/>
      <c r="J8" s="586" t="s">
        <v>142</v>
      </c>
      <c r="K8" s="587"/>
      <c r="L8" s="588"/>
      <c r="M8" s="583" t="s">
        <v>30</v>
      </c>
      <c r="N8" s="585"/>
    </row>
    <row r="9" spans="1:14" ht="41.25" customHeight="1" thickBot="1" x14ac:dyDescent="0.3">
      <c r="A9" s="589" t="s">
        <v>31</v>
      </c>
      <c r="B9" s="590"/>
      <c r="C9" s="591"/>
      <c r="D9" s="592">
        <f>'Состоявшиеся аукционы'!G2</f>
        <v>742848</v>
      </c>
      <c r="E9" s="592"/>
      <c r="F9" s="592"/>
      <c r="G9" s="592">
        <f>'Состоявшиеся аукционы'!Q2</f>
        <v>683420.16000000003</v>
      </c>
      <c r="H9" s="592"/>
      <c r="I9" s="592"/>
      <c r="J9" s="572">
        <f>'Состоявшиеся аукционы'!AB2</f>
        <v>0</v>
      </c>
      <c r="K9" s="574"/>
      <c r="L9" s="573"/>
      <c r="M9" s="592">
        <f t="shared" ref="M9:M15" si="0">D9-G9</f>
        <v>59427.839999999967</v>
      </c>
      <c r="N9" s="592"/>
    </row>
    <row r="10" spans="1:14" ht="78.75" customHeight="1" thickBot="1" x14ac:dyDescent="0.3">
      <c r="A10" s="589" t="s">
        <v>49</v>
      </c>
      <c r="B10" s="590"/>
      <c r="C10" s="591"/>
      <c r="D10" s="592">
        <f>'Несостоявшиеся аукционы'!G2</f>
        <v>0</v>
      </c>
      <c r="E10" s="592"/>
      <c r="F10" s="592"/>
      <c r="G10" s="592">
        <f>'Несостоявшиеся аукционы'!Q2</f>
        <v>0</v>
      </c>
      <c r="H10" s="592"/>
      <c r="I10" s="592"/>
      <c r="J10" s="572">
        <f>'Несостоявшиеся аукционы'!AB2</f>
        <v>0</v>
      </c>
      <c r="K10" s="574"/>
      <c r="L10" s="573"/>
      <c r="M10" s="592">
        <f t="shared" si="0"/>
        <v>0</v>
      </c>
      <c r="N10" s="592"/>
    </row>
    <row r="11" spans="1:14" ht="40.5" customHeight="1" thickBot="1" x14ac:dyDescent="0.3">
      <c r="A11" s="589" t="s">
        <v>83</v>
      </c>
      <c r="B11" s="590"/>
      <c r="C11" s="591"/>
      <c r="D11" s="572">
        <f>'Иные конкурентные закупки'!G2</f>
        <v>523025.86</v>
      </c>
      <c r="E11" s="574"/>
      <c r="F11" s="573"/>
      <c r="G11" s="572">
        <f>'Иные конкурентные закупки'!Q2</f>
        <v>523025.86</v>
      </c>
      <c r="H11" s="574"/>
      <c r="I11" s="573"/>
      <c r="J11" s="572">
        <f>'Иные конкурентные закупки'!AB2</f>
        <v>0</v>
      </c>
      <c r="K11" s="574"/>
      <c r="L11" s="573"/>
      <c r="M11" s="572">
        <f t="shared" si="0"/>
        <v>0</v>
      </c>
      <c r="N11" s="573"/>
    </row>
    <row r="12" spans="1:14" ht="54.75" customHeight="1" thickBot="1" x14ac:dyDescent="0.3">
      <c r="A12" s="596" t="s">
        <v>50</v>
      </c>
      <c r="B12" s="597"/>
      <c r="C12" s="598"/>
      <c r="D12" s="592">
        <f>'Ед. поставщик п.4 ч.1'!H2</f>
        <v>1473679.08</v>
      </c>
      <c r="E12" s="592"/>
      <c r="F12" s="592"/>
      <c r="G12" s="592">
        <f>D12</f>
        <v>1473679.08</v>
      </c>
      <c r="H12" s="592"/>
      <c r="I12" s="592"/>
      <c r="J12" s="572">
        <f>'Ед. поставщик п.4 ч.1'!V2</f>
        <v>36285.64</v>
      </c>
      <c r="K12" s="574"/>
      <c r="L12" s="573"/>
      <c r="M12" s="592">
        <f t="shared" si="0"/>
        <v>0</v>
      </c>
      <c r="N12" s="592"/>
    </row>
    <row r="13" spans="1:14" ht="45.75" customHeight="1" thickBot="1" x14ac:dyDescent="0.3">
      <c r="A13" s="596" t="s">
        <v>51</v>
      </c>
      <c r="B13" s="597"/>
      <c r="C13" s="598"/>
      <c r="D13" s="592">
        <f>'Ед. поставщик п.5 ч.1'!H2</f>
        <v>3523174.14</v>
      </c>
      <c r="E13" s="592"/>
      <c r="F13" s="592"/>
      <c r="G13" s="592">
        <f>D13</f>
        <v>3523174.14</v>
      </c>
      <c r="H13" s="592"/>
      <c r="I13" s="592"/>
      <c r="J13" s="572">
        <f>'Ед. поставщик п.5 ч.1'!V2</f>
        <v>348170.36</v>
      </c>
      <c r="K13" s="574"/>
      <c r="L13" s="573"/>
      <c r="M13" s="592">
        <f t="shared" si="0"/>
        <v>0</v>
      </c>
      <c r="N13" s="592"/>
    </row>
    <row r="14" spans="1:14" ht="45.75" customHeight="1" thickBot="1" x14ac:dyDescent="0.3">
      <c r="A14" s="616" t="s">
        <v>52</v>
      </c>
      <c r="B14" s="617"/>
      <c r="C14" s="618"/>
      <c r="D14" s="572">
        <f>'Ед.поставщик за искл. п.4,5 ч.1'!G2</f>
        <v>473139.15</v>
      </c>
      <c r="E14" s="574"/>
      <c r="F14" s="573"/>
      <c r="G14" s="572">
        <f>D14</f>
        <v>473139.15</v>
      </c>
      <c r="H14" s="574"/>
      <c r="I14" s="573"/>
      <c r="J14" s="572">
        <f>'Ед.поставщик за искл. п.4,5 ч.1'!T2</f>
        <v>0</v>
      </c>
      <c r="K14" s="574"/>
      <c r="L14" s="573"/>
      <c r="M14" s="592">
        <f t="shared" si="0"/>
        <v>0</v>
      </c>
      <c r="N14" s="592"/>
    </row>
    <row r="15" spans="1:14" ht="21" thickBot="1" x14ac:dyDescent="0.3">
      <c r="A15" s="593" t="s">
        <v>146</v>
      </c>
      <c r="B15" s="594"/>
      <c r="C15" s="595"/>
      <c r="D15" s="592">
        <f>SUM(D9:D14)</f>
        <v>6735866.2300000004</v>
      </c>
      <c r="E15" s="592"/>
      <c r="F15" s="592"/>
      <c r="G15" s="572">
        <f>SUM(G9:G14)</f>
        <v>6676438.3900000006</v>
      </c>
      <c r="H15" s="574"/>
      <c r="I15" s="573"/>
      <c r="J15" s="572">
        <f>SUM(J9:J14)</f>
        <v>384456</v>
      </c>
      <c r="K15" s="574"/>
      <c r="L15" s="573"/>
      <c r="M15" s="592">
        <f t="shared" si="0"/>
        <v>59427.839999999851</v>
      </c>
      <c r="N15" s="592"/>
    </row>
    <row r="18" spans="1:12" ht="15.75" thickBot="1" x14ac:dyDescent="0.3"/>
    <row r="19" spans="1:12" ht="23.25" customHeight="1" x14ac:dyDescent="0.25">
      <c r="A19" s="604" t="s">
        <v>35</v>
      </c>
      <c r="B19" s="605"/>
      <c r="C19" s="606"/>
      <c r="D19" s="61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5442518.7000000002</v>
      </c>
      <c r="E19" s="611"/>
      <c r="F19" s="611"/>
      <c r="G19" s="612"/>
      <c r="I19" s="15"/>
      <c r="J19" s="15"/>
      <c r="K19" s="15"/>
      <c r="L19" s="15"/>
    </row>
    <row r="20" spans="1:12" ht="24" customHeight="1" thickBot="1" x14ac:dyDescent="0.3">
      <c r="A20" s="607"/>
      <c r="B20" s="608"/>
      <c r="C20" s="609"/>
      <c r="D20" s="613"/>
      <c r="E20" s="614"/>
      <c r="F20" s="614"/>
      <c r="G20" s="615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84"/>
  <sheetViews>
    <sheetView showGridLines="0" topLeftCell="F1" zoomScale="50" zoomScaleNormal="50" workbookViewId="0">
      <pane ySplit="8" topLeftCell="A24" activePane="bottomLeft" state="frozen"/>
      <selection activeCell="I1" sqref="I1"/>
      <selection pane="bottomLeft" activeCell="K13" sqref="K13:K14"/>
    </sheetView>
  </sheetViews>
  <sheetFormatPr defaultColWidth="0" defaultRowHeight="18.75" x14ac:dyDescent="0.25"/>
  <cols>
    <col min="1" max="1" width="9.140625" style="96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124"/>
      <c r="B2" s="67"/>
      <c r="C2" s="67"/>
      <c r="D2" s="67"/>
      <c r="E2" s="67"/>
      <c r="F2" s="10"/>
      <c r="G2" s="81" t="s">
        <v>24</v>
      </c>
      <c r="H2" s="78">
        <f>SUM(H9:H9999)</f>
        <v>1473679.08</v>
      </c>
      <c r="K2" s="619"/>
      <c r="L2" s="619"/>
      <c r="M2" s="619"/>
      <c r="N2" s="620" t="s">
        <v>137</v>
      </c>
      <c r="O2" s="622"/>
      <c r="P2" s="68">
        <f>SUM(P9:P9999)</f>
        <v>1298145.56</v>
      </c>
      <c r="R2" s="67"/>
      <c r="S2" s="620" t="s">
        <v>45</v>
      </c>
      <c r="T2" s="621"/>
      <c r="U2" s="622"/>
      <c r="V2" s="69">
        <f>SUM(V9:V9999)</f>
        <v>36285.64</v>
      </c>
    </row>
    <row r="3" spans="1:24" x14ac:dyDescent="0.25">
      <c r="A3" s="619"/>
      <c r="B3" s="619"/>
      <c r="C3" s="619"/>
      <c r="D3" s="619"/>
      <c r="E3" s="619"/>
      <c r="N3" s="67"/>
    </row>
    <row r="4" spans="1:24" ht="39.950000000000003" customHeight="1" x14ac:dyDescent="0.25">
      <c r="J4" s="623"/>
      <c r="K4" s="623"/>
      <c r="M4" s="623"/>
      <c r="N4" s="623"/>
      <c r="O4" s="623"/>
      <c r="P4" s="623"/>
    </row>
    <row r="6" spans="1:24" ht="159" customHeight="1" x14ac:dyDescent="0.25">
      <c r="A6" s="125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510" t="s">
        <v>42</v>
      </c>
    </row>
    <row r="7" spans="1:24" x14ac:dyDescent="0.25">
      <c r="A7" s="94" t="s">
        <v>36</v>
      </c>
      <c r="B7" s="59" t="s">
        <v>110</v>
      </c>
      <c r="C7" s="59" t="s">
        <v>111</v>
      </c>
      <c r="D7" s="59" t="s">
        <v>112</v>
      </c>
      <c r="E7" s="59" t="s">
        <v>113</v>
      </c>
      <c r="F7" s="59" t="s">
        <v>114</v>
      </c>
      <c r="G7" s="59" t="s">
        <v>115</v>
      </c>
      <c r="H7" s="59" t="s">
        <v>116</v>
      </c>
      <c r="I7" s="59" t="s">
        <v>117</v>
      </c>
      <c r="J7" s="59" t="s">
        <v>118</v>
      </c>
      <c r="K7" s="59" t="s">
        <v>119</v>
      </c>
      <c r="L7" s="59" t="s">
        <v>120</v>
      </c>
      <c r="M7" s="59" t="s">
        <v>121</v>
      </c>
      <c r="N7" s="59" t="s">
        <v>122</v>
      </c>
      <c r="O7" s="59" t="s">
        <v>123</v>
      </c>
      <c r="P7" s="59" t="s">
        <v>124</v>
      </c>
      <c r="Q7" s="59" t="s">
        <v>125</v>
      </c>
      <c r="R7" s="59" t="s">
        <v>126</v>
      </c>
      <c r="S7" s="59" t="s">
        <v>127</v>
      </c>
      <c r="T7" s="59" t="s">
        <v>128</v>
      </c>
      <c r="U7" s="59" t="s">
        <v>129</v>
      </c>
      <c r="V7" s="59" t="s">
        <v>130</v>
      </c>
      <c r="W7" s="511" t="s">
        <v>131</v>
      </c>
    </row>
    <row r="8" spans="1:24" s="14" customFormat="1" ht="114" hidden="1" customHeight="1" x14ac:dyDescent="0.25">
      <c r="A8" s="126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60">
        <v>20000</v>
      </c>
      <c r="I8" s="60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82">
        <v>20000</v>
      </c>
      <c r="Q8" s="54">
        <v>43840</v>
      </c>
      <c r="R8" s="53"/>
      <c r="S8" s="60"/>
      <c r="T8" s="60"/>
      <c r="U8" s="54"/>
      <c r="V8" s="60"/>
      <c r="W8" s="512" t="s">
        <v>64</v>
      </c>
    </row>
    <row r="9" spans="1:24" s="83" customFormat="1" ht="75" x14ac:dyDescent="0.25">
      <c r="A9" s="555">
        <v>1</v>
      </c>
      <c r="B9" s="120" t="s">
        <v>56</v>
      </c>
      <c r="C9" s="120" t="s">
        <v>147</v>
      </c>
      <c r="D9" s="120" t="s">
        <v>172</v>
      </c>
      <c r="E9" s="121" t="s">
        <v>177</v>
      </c>
      <c r="F9" s="123">
        <v>44946</v>
      </c>
      <c r="G9" s="120" t="s">
        <v>178</v>
      </c>
      <c r="H9" s="122">
        <v>30800</v>
      </c>
      <c r="I9" s="119">
        <f>IF(X9 = 2, H9 + SUM(S9:S9) - SUM(T9:T9) - SUM(P9:P9) - V9,0)</f>
        <v>0</v>
      </c>
      <c r="J9" s="120" t="s">
        <v>181</v>
      </c>
      <c r="K9" s="120" t="s">
        <v>179</v>
      </c>
      <c r="L9" s="120" t="s">
        <v>147</v>
      </c>
      <c r="M9" s="120" t="s">
        <v>182</v>
      </c>
      <c r="N9" s="123">
        <v>45270</v>
      </c>
      <c r="O9" s="123" t="s">
        <v>180</v>
      </c>
      <c r="P9" s="122">
        <v>30800</v>
      </c>
      <c r="Q9" s="121">
        <v>45282</v>
      </c>
      <c r="R9" s="556"/>
      <c r="S9" s="557"/>
      <c r="T9" s="557"/>
      <c r="U9" s="557"/>
      <c r="V9" s="558"/>
      <c r="W9" s="475"/>
      <c r="X9" s="83">
        <v>2</v>
      </c>
    </row>
    <row r="10" spans="1:24" s="83" customFormat="1" ht="93.75" x14ac:dyDescent="0.25">
      <c r="A10" s="190">
        <v>2</v>
      </c>
      <c r="B10" s="137" t="s">
        <v>56</v>
      </c>
      <c r="C10" s="137" t="s">
        <v>147</v>
      </c>
      <c r="D10" s="137" t="s">
        <v>172</v>
      </c>
      <c r="E10" s="137" t="s">
        <v>220</v>
      </c>
      <c r="F10" s="141">
        <v>44949</v>
      </c>
      <c r="G10" s="137" t="s">
        <v>221</v>
      </c>
      <c r="H10" s="139">
        <v>13242.56</v>
      </c>
      <c r="I10" s="140">
        <f>IF(X10 = 3, H10 + SUM(S10:S10) - SUM(T10:T10) - SUM(P10:P10) - V10,0)</f>
        <v>0</v>
      </c>
      <c r="J10" s="137" t="s">
        <v>223</v>
      </c>
      <c r="K10" s="137" t="s">
        <v>222</v>
      </c>
      <c r="L10" s="137" t="s">
        <v>147</v>
      </c>
      <c r="M10" s="137" t="s">
        <v>224</v>
      </c>
      <c r="N10" s="141">
        <v>44984</v>
      </c>
      <c r="O10" s="141" t="s">
        <v>225</v>
      </c>
      <c r="P10" s="139">
        <v>13242.56</v>
      </c>
      <c r="Q10" s="138">
        <v>44985</v>
      </c>
      <c r="R10" s="191"/>
      <c r="S10" s="192"/>
      <c r="T10" s="192"/>
      <c r="U10" s="192"/>
      <c r="V10" s="193"/>
      <c r="W10" s="513"/>
      <c r="X10" s="83">
        <v>3</v>
      </c>
    </row>
    <row r="11" spans="1:24" s="83" customFormat="1" ht="93.75" x14ac:dyDescent="0.25">
      <c r="A11" s="189">
        <v>3</v>
      </c>
      <c r="B11" s="169" t="s">
        <v>56</v>
      </c>
      <c r="C11" s="169" t="s">
        <v>147</v>
      </c>
      <c r="D11" s="169" t="s">
        <v>172</v>
      </c>
      <c r="E11" s="137" t="s">
        <v>209</v>
      </c>
      <c r="F11" s="141">
        <v>44953</v>
      </c>
      <c r="G11" s="137" t="s">
        <v>189</v>
      </c>
      <c r="H11" s="171">
        <v>9000</v>
      </c>
      <c r="I11" s="172">
        <f>IF(X11 = 4, H11 + SUM(S11:S11) - SUM(T11:T11) - SUM(P11:P11) - V11,0)</f>
        <v>0</v>
      </c>
      <c r="J11" s="137" t="s">
        <v>190</v>
      </c>
      <c r="K11" s="137" t="s">
        <v>188</v>
      </c>
      <c r="L11" s="137" t="s">
        <v>147</v>
      </c>
      <c r="M11" s="137" t="s">
        <v>187</v>
      </c>
      <c r="N11" s="173">
        <v>44964</v>
      </c>
      <c r="O11" s="141" t="s">
        <v>210</v>
      </c>
      <c r="P11" s="171">
        <v>9000</v>
      </c>
      <c r="Q11" s="170">
        <v>44973</v>
      </c>
      <c r="R11" s="186"/>
      <c r="S11" s="187"/>
      <c r="T11" s="187"/>
      <c r="U11" s="187"/>
      <c r="V11" s="188"/>
      <c r="W11" s="513"/>
      <c r="X11" s="83">
        <v>4</v>
      </c>
    </row>
    <row r="12" spans="1:24" s="83" customFormat="1" ht="75" x14ac:dyDescent="0.25">
      <c r="A12" s="263">
        <v>4</v>
      </c>
      <c r="B12" s="194" t="s">
        <v>56</v>
      </c>
      <c r="C12" s="194" t="s">
        <v>147</v>
      </c>
      <c r="D12" s="194" t="s">
        <v>172</v>
      </c>
      <c r="E12" s="194" t="s">
        <v>330</v>
      </c>
      <c r="F12" s="207">
        <v>44985</v>
      </c>
      <c r="G12" s="194" t="s">
        <v>231</v>
      </c>
      <c r="H12" s="196">
        <v>5600</v>
      </c>
      <c r="I12" s="197">
        <f>IF(X12 = 6, H12 + SUM(S12:S12) - SUM(T12:T12) - SUM(P12:P12) - V12,0)</f>
        <v>0</v>
      </c>
      <c r="J12" s="194" t="s">
        <v>246</v>
      </c>
      <c r="K12" s="194" t="s">
        <v>245</v>
      </c>
      <c r="L12" s="194" t="s">
        <v>147</v>
      </c>
      <c r="M12" s="194" t="s">
        <v>244</v>
      </c>
      <c r="N12" s="207">
        <v>45036</v>
      </c>
      <c r="O12" s="207" t="s">
        <v>219</v>
      </c>
      <c r="P12" s="196">
        <v>5600</v>
      </c>
      <c r="Q12" s="195">
        <v>45049</v>
      </c>
      <c r="R12" s="208"/>
      <c r="S12" s="209"/>
      <c r="T12" s="209"/>
      <c r="U12" s="209"/>
      <c r="V12" s="210"/>
      <c r="W12" s="475"/>
      <c r="X12" s="83">
        <v>6</v>
      </c>
    </row>
    <row r="13" spans="1:24" s="83" customFormat="1" ht="78.75" customHeight="1" x14ac:dyDescent="0.25">
      <c r="A13" s="624">
        <v>5</v>
      </c>
      <c r="B13" s="630" t="s">
        <v>56</v>
      </c>
      <c r="C13" s="630" t="s">
        <v>147</v>
      </c>
      <c r="D13" s="630" t="s">
        <v>172</v>
      </c>
      <c r="E13" s="630" t="s">
        <v>247</v>
      </c>
      <c r="F13" s="626">
        <v>45000</v>
      </c>
      <c r="G13" s="630" t="s">
        <v>248</v>
      </c>
      <c r="H13" s="635">
        <v>2400</v>
      </c>
      <c r="I13" s="637">
        <f>IF(X13 = 7, H13 + SUM(S13:S14) - SUM(T13:T14) - SUM(P13:P14) - V13,0)</f>
        <v>0</v>
      </c>
      <c r="J13" s="630" t="s">
        <v>249</v>
      </c>
      <c r="K13" s="630" t="s">
        <v>250</v>
      </c>
      <c r="L13" s="630" t="s">
        <v>147</v>
      </c>
      <c r="M13" s="630" t="s">
        <v>251</v>
      </c>
      <c r="N13" s="225">
        <v>45000</v>
      </c>
      <c r="O13" s="626" t="s">
        <v>252</v>
      </c>
      <c r="P13" s="226">
        <v>720</v>
      </c>
      <c r="Q13" s="227">
        <v>45009</v>
      </c>
      <c r="R13" s="231"/>
      <c r="S13" s="232"/>
      <c r="T13" s="232"/>
      <c r="U13" s="628"/>
      <c r="V13" s="632"/>
      <c r="W13" s="634"/>
      <c r="X13" s="83">
        <v>7</v>
      </c>
    </row>
    <row r="14" spans="1:24" ht="102.75" customHeight="1" x14ac:dyDescent="0.25">
      <c r="A14" s="625"/>
      <c r="B14" s="631"/>
      <c r="C14" s="631"/>
      <c r="D14" s="631"/>
      <c r="E14" s="631"/>
      <c r="F14" s="627"/>
      <c r="G14" s="631"/>
      <c r="H14" s="636"/>
      <c r="I14" s="638"/>
      <c r="J14" s="631"/>
      <c r="K14" s="631"/>
      <c r="L14" s="631"/>
      <c r="M14" s="631"/>
      <c r="N14" s="228">
        <v>45016</v>
      </c>
      <c r="O14" s="627"/>
      <c r="P14" s="229">
        <v>1680</v>
      </c>
      <c r="Q14" s="230">
        <v>45023</v>
      </c>
      <c r="R14" s="233"/>
      <c r="S14" s="234"/>
      <c r="T14" s="234"/>
      <c r="U14" s="629"/>
      <c r="V14" s="633"/>
      <c r="W14" s="634"/>
      <c r="X14" s="2">
        <v>7</v>
      </c>
    </row>
    <row r="15" spans="1:24" s="83" customFormat="1" ht="75" x14ac:dyDescent="0.25">
      <c r="A15" s="250">
        <v>6</v>
      </c>
      <c r="B15" s="221" t="s">
        <v>56</v>
      </c>
      <c r="C15" s="221" t="s">
        <v>147</v>
      </c>
      <c r="D15" s="221" t="s">
        <v>172</v>
      </c>
      <c r="E15" s="221" t="s">
        <v>254</v>
      </c>
      <c r="F15" s="224">
        <v>45012</v>
      </c>
      <c r="G15" s="221" t="s">
        <v>256</v>
      </c>
      <c r="H15" s="220">
        <v>3000</v>
      </c>
      <c r="I15" s="223">
        <f>IF(X15 = 8, H15 + SUM(S15:S15) - SUM(T15:T15) - SUM(P15:P15) - V15,0)</f>
        <v>0</v>
      </c>
      <c r="J15" s="221" t="s">
        <v>255</v>
      </c>
      <c r="K15" s="221" t="s">
        <v>253</v>
      </c>
      <c r="L15" s="221" t="s">
        <v>147</v>
      </c>
      <c r="M15" s="221" t="s">
        <v>257</v>
      </c>
      <c r="N15" s="224">
        <v>45014</v>
      </c>
      <c r="O15" s="224" t="s">
        <v>258</v>
      </c>
      <c r="P15" s="220">
        <v>3000</v>
      </c>
      <c r="Q15" s="222">
        <v>45026</v>
      </c>
      <c r="R15" s="235"/>
      <c r="S15" s="236"/>
      <c r="T15" s="236"/>
      <c r="U15" s="236"/>
      <c r="V15" s="237"/>
      <c r="W15" s="475"/>
      <c r="X15" s="83">
        <v>8</v>
      </c>
    </row>
    <row r="16" spans="1:24" s="83" customFormat="1" ht="56.25" x14ac:dyDescent="0.25">
      <c r="A16" s="250">
        <v>7</v>
      </c>
      <c r="B16" s="221" t="s">
        <v>56</v>
      </c>
      <c r="C16" s="221" t="s">
        <v>147</v>
      </c>
      <c r="D16" s="221" t="s">
        <v>172</v>
      </c>
      <c r="E16" s="221" t="s">
        <v>259</v>
      </c>
      <c r="F16" s="224">
        <v>45024</v>
      </c>
      <c r="G16" s="221" t="s">
        <v>260</v>
      </c>
      <c r="H16" s="220">
        <v>122380.5</v>
      </c>
      <c r="I16" s="223">
        <f>IF(X16 = 9, H16 + SUM(S16:S16) - SUM(T16:T16) - SUM(P16:P16) - V16,0)</f>
        <v>0</v>
      </c>
      <c r="J16" s="221" t="s">
        <v>262</v>
      </c>
      <c r="K16" s="221" t="s">
        <v>261</v>
      </c>
      <c r="L16" s="221" t="s">
        <v>147</v>
      </c>
      <c r="M16" s="221" t="s">
        <v>263</v>
      </c>
      <c r="N16" s="224">
        <v>45086</v>
      </c>
      <c r="O16" s="224" t="s">
        <v>264</v>
      </c>
      <c r="P16" s="220">
        <v>122380.5</v>
      </c>
      <c r="Q16" s="222">
        <v>45090</v>
      </c>
      <c r="R16" s="235"/>
      <c r="S16" s="236"/>
      <c r="T16" s="236"/>
      <c r="U16" s="236"/>
      <c r="V16" s="237"/>
      <c r="W16" s="514" t="s">
        <v>160</v>
      </c>
      <c r="X16" s="83">
        <v>9</v>
      </c>
    </row>
    <row r="17" spans="1:24" s="83" customFormat="1" ht="75" x14ac:dyDescent="0.25">
      <c r="A17" s="250">
        <v>8</v>
      </c>
      <c r="B17" s="221" t="s">
        <v>56</v>
      </c>
      <c r="C17" s="221" t="s">
        <v>147</v>
      </c>
      <c r="D17" s="221" t="s">
        <v>172</v>
      </c>
      <c r="E17" s="221" t="s">
        <v>129</v>
      </c>
      <c r="F17" s="224">
        <v>45027</v>
      </c>
      <c r="G17" s="221" t="s">
        <v>272</v>
      </c>
      <c r="H17" s="220">
        <v>8700</v>
      </c>
      <c r="I17" s="223">
        <f>IF(X17 = 10, H17 + SUM(S17:S17) - SUM(T17:T17) - SUM(P17:P17) - V17,0)</f>
        <v>0</v>
      </c>
      <c r="J17" s="221" t="s">
        <v>273</v>
      </c>
      <c r="K17" s="221" t="s">
        <v>271</v>
      </c>
      <c r="L17" s="221" t="s">
        <v>147</v>
      </c>
      <c r="M17" s="221" t="s">
        <v>270</v>
      </c>
      <c r="N17" s="224">
        <v>45027</v>
      </c>
      <c r="O17" s="224" t="s">
        <v>269</v>
      </c>
      <c r="P17" s="220">
        <v>8700</v>
      </c>
      <c r="Q17" s="222">
        <v>45035</v>
      </c>
      <c r="R17" s="235"/>
      <c r="S17" s="236"/>
      <c r="T17" s="236"/>
      <c r="U17" s="236"/>
      <c r="V17" s="237"/>
      <c r="W17" s="475"/>
      <c r="X17" s="83">
        <v>10</v>
      </c>
    </row>
    <row r="18" spans="1:24" s="83" customFormat="1" ht="112.5" x14ac:dyDescent="0.25">
      <c r="A18" s="250">
        <v>9</v>
      </c>
      <c r="B18" s="221" t="s">
        <v>56</v>
      </c>
      <c r="C18" s="221" t="s">
        <v>147</v>
      </c>
      <c r="D18" s="221" t="s">
        <v>172</v>
      </c>
      <c r="E18" s="221" t="s">
        <v>428</v>
      </c>
      <c r="F18" s="224">
        <v>45034</v>
      </c>
      <c r="G18" s="221" t="s">
        <v>431</v>
      </c>
      <c r="H18" s="220">
        <v>2726</v>
      </c>
      <c r="I18" s="223">
        <f>IF(X18 = 11, H18 + SUM(S18:S18) - SUM(T18:T18) - SUM(P18:P18) - V18,0)</f>
        <v>0</v>
      </c>
      <c r="J18" s="344" t="s">
        <v>430</v>
      </c>
      <c r="K18" s="344" t="s">
        <v>429</v>
      </c>
      <c r="L18" s="344" t="s">
        <v>147</v>
      </c>
      <c r="M18" s="344" t="s">
        <v>432</v>
      </c>
      <c r="N18" s="345">
        <v>45100</v>
      </c>
      <c r="O18" s="345" t="s">
        <v>433</v>
      </c>
      <c r="P18" s="346">
        <v>2726</v>
      </c>
      <c r="Q18" s="347">
        <v>45106</v>
      </c>
      <c r="R18" s="235"/>
      <c r="S18" s="236"/>
      <c r="T18" s="236"/>
      <c r="U18" s="236"/>
      <c r="V18" s="237"/>
      <c r="W18" s="514" t="s">
        <v>160</v>
      </c>
      <c r="X18" s="83">
        <v>11</v>
      </c>
    </row>
    <row r="19" spans="1:24" s="83" customFormat="1" ht="75" x14ac:dyDescent="0.25">
      <c r="A19" s="250">
        <v>10</v>
      </c>
      <c r="B19" s="221" t="s">
        <v>56</v>
      </c>
      <c r="C19" s="221" t="s">
        <v>147</v>
      </c>
      <c r="D19" s="221" t="s">
        <v>172</v>
      </c>
      <c r="E19" s="221" t="s">
        <v>275</v>
      </c>
      <c r="F19" s="224">
        <v>45036</v>
      </c>
      <c r="G19" s="221" t="s">
        <v>276</v>
      </c>
      <c r="H19" s="220">
        <v>3750</v>
      </c>
      <c r="I19" s="223">
        <f>IF(X19 = 12, H19 + SUM(S19:S19) - SUM(T19:T19) - SUM(P19:P19) - V19,0)</f>
        <v>0</v>
      </c>
      <c r="J19" s="221" t="s">
        <v>278</v>
      </c>
      <c r="K19" s="221" t="s">
        <v>274</v>
      </c>
      <c r="L19" s="221" t="s">
        <v>147</v>
      </c>
      <c r="M19" s="221" t="s">
        <v>277</v>
      </c>
      <c r="N19" s="224">
        <v>45037</v>
      </c>
      <c r="O19" s="224" t="s">
        <v>279</v>
      </c>
      <c r="P19" s="220">
        <v>3750</v>
      </c>
      <c r="Q19" s="222">
        <v>45048</v>
      </c>
      <c r="R19" s="235"/>
      <c r="S19" s="236"/>
      <c r="T19" s="236"/>
      <c r="U19" s="236"/>
      <c r="V19" s="237"/>
      <c r="W19" s="475"/>
      <c r="X19" s="83">
        <v>12</v>
      </c>
    </row>
    <row r="20" spans="1:24" s="83" customFormat="1" ht="75" x14ac:dyDescent="0.25">
      <c r="A20" s="250">
        <v>11</v>
      </c>
      <c r="B20" s="221" t="s">
        <v>56</v>
      </c>
      <c r="C20" s="221" t="s">
        <v>147</v>
      </c>
      <c r="D20" s="221" t="s">
        <v>172</v>
      </c>
      <c r="E20" s="221" t="s">
        <v>281</v>
      </c>
      <c r="F20" s="224">
        <v>45042</v>
      </c>
      <c r="G20" s="221" t="s">
        <v>284</v>
      </c>
      <c r="H20" s="220">
        <v>5940</v>
      </c>
      <c r="I20" s="223">
        <f>IF(X20 = 13, H20 + SUM(S20:S20) - SUM(T20:T20) - SUM(P20:P20) - V20,0)</f>
        <v>0</v>
      </c>
      <c r="J20" s="221" t="s">
        <v>282</v>
      </c>
      <c r="K20" s="221" t="s">
        <v>280</v>
      </c>
      <c r="L20" s="221" t="s">
        <v>147</v>
      </c>
      <c r="M20" s="221" t="s">
        <v>283</v>
      </c>
      <c r="N20" s="224">
        <v>45044</v>
      </c>
      <c r="O20" s="224" t="s">
        <v>285</v>
      </c>
      <c r="P20" s="220">
        <v>5940</v>
      </c>
      <c r="Q20" s="222">
        <v>45048</v>
      </c>
      <c r="R20" s="235"/>
      <c r="S20" s="236"/>
      <c r="T20" s="236"/>
      <c r="U20" s="236"/>
      <c r="V20" s="237"/>
      <c r="W20" s="475"/>
      <c r="X20" s="83">
        <v>13</v>
      </c>
    </row>
    <row r="21" spans="1:24" s="83" customFormat="1" ht="75" x14ac:dyDescent="0.25">
      <c r="A21" s="250">
        <v>12</v>
      </c>
      <c r="B21" s="221" t="s">
        <v>56</v>
      </c>
      <c r="C21" s="221" t="s">
        <v>147</v>
      </c>
      <c r="D21" s="221" t="s">
        <v>172</v>
      </c>
      <c r="E21" s="221" t="s">
        <v>177</v>
      </c>
      <c r="F21" s="224">
        <v>45042</v>
      </c>
      <c r="G21" s="221" t="s">
        <v>287</v>
      </c>
      <c r="H21" s="220">
        <v>65200</v>
      </c>
      <c r="I21" s="223">
        <f>IF(X21 = 14, H21 + SUM(S21:S21) - SUM(T21:T21) - SUM(P21:P21) - V21,0)</f>
        <v>0</v>
      </c>
      <c r="J21" s="221" t="s">
        <v>288</v>
      </c>
      <c r="K21" s="221" t="s">
        <v>286</v>
      </c>
      <c r="L21" s="221" t="s">
        <v>147</v>
      </c>
      <c r="M21" s="221" t="s">
        <v>289</v>
      </c>
      <c r="N21" s="224">
        <v>45044</v>
      </c>
      <c r="O21" s="224" t="s">
        <v>219</v>
      </c>
      <c r="P21" s="220">
        <v>65200</v>
      </c>
      <c r="Q21" s="222">
        <v>45048</v>
      </c>
      <c r="R21" s="235"/>
      <c r="S21" s="236"/>
      <c r="T21" s="236"/>
      <c r="U21" s="236"/>
      <c r="V21" s="237"/>
      <c r="W21" s="475"/>
      <c r="X21" s="83">
        <v>14</v>
      </c>
    </row>
    <row r="22" spans="1:24" s="83" customFormat="1" ht="75" x14ac:dyDescent="0.25">
      <c r="A22" s="250">
        <v>13</v>
      </c>
      <c r="B22" s="221" t="s">
        <v>56</v>
      </c>
      <c r="C22" s="221" t="s">
        <v>147</v>
      </c>
      <c r="D22" s="221" t="s">
        <v>172</v>
      </c>
      <c r="E22" s="221" t="s">
        <v>131</v>
      </c>
      <c r="F22" s="224">
        <v>45043</v>
      </c>
      <c r="G22" s="221" t="s">
        <v>291</v>
      </c>
      <c r="H22" s="220">
        <v>2048</v>
      </c>
      <c r="I22" s="223">
        <f>IF(X22 = 15, H22 + SUM(S22:S22) - SUM(T22:T22) - SUM(P22:P22) - V22,0)</f>
        <v>0</v>
      </c>
      <c r="J22" s="221" t="s">
        <v>292</v>
      </c>
      <c r="K22" s="221" t="s">
        <v>290</v>
      </c>
      <c r="L22" s="221" t="s">
        <v>147</v>
      </c>
      <c r="M22" s="221" t="s">
        <v>293</v>
      </c>
      <c r="N22" s="224">
        <v>45126</v>
      </c>
      <c r="O22" s="224" t="s">
        <v>294</v>
      </c>
      <c r="P22" s="220">
        <v>2048</v>
      </c>
      <c r="Q22" s="222">
        <v>45135</v>
      </c>
      <c r="R22" s="235"/>
      <c r="S22" s="236"/>
      <c r="T22" s="236"/>
      <c r="U22" s="236"/>
      <c r="V22" s="237"/>
      <c r="W22" s="475"/>
      <c r="X22" s="83">
        <v>15</v>
      </c>
    </row>
    <row r="23" spans="1:24" s="83" customFormat="1" ht="56.25" x14ac:dyDescent="0.25">
      <c r="A23" s="250">
        <v>14</v>
      </c>
      <c r="B23" s="221" t="s">
        <v>56</v>
      </c>
      <c r="C23" s="221" t="s">
        <v>147</v>
      </c>
      <c r="D23" s="221" t="s">
        <v>172</v>
      </c>
      <c r="E23" s="221" t="s">
        <v>296</v>
      </c>
      <c r="F23" s="224">
        <v>45043</v>
      </c>
      <c r="G23" s="221" t="s">
        <v>298</v>
      </c>
      <c r="H23" s="220">
        <v>12390</v>
      </c>
      <c r="I23" s="223">
        <f>IF(X23 = 16, H23 + SUM(S23:S23) - SUM(T23:T23) - SUM(P23:P23) - V23,0)</f>
        <v>0</v>
      </c>
      <c r="J23" s="221" t="s">
        <v>295</v>
      </c>
      <c r="K23" s="221" t="s">
        <v>297</v>
      </c>
      <c r="L23" s="221" t="s">
        <v>147</v>
      </c>
      <c r="M23" s="221" t="s">
        <v>300</v>
      </c>
      <c r="N23" s="224">
        <v>45044</v>
      </c>
      <c r="O23" s="224" t="s">
        <v>299</v>
      </c>
      <c r="P23" s="220">
        <v>12390</v>
      </c>
      <c r="Q23" s="222">
        <v>45048</v>
      </c>
      <c r="R23" s="235"/>
      <c r="S23" s="236"/>
      <c r="T23" s="236"/>
      <c r="U23" s="236"/>
      <c r="V23" s="237"/>
      <c r="W23" s="475"/>
      <c r="X23" s="83">
        <v>16</v>
      </c>
    </row>
    <row r="24" spans="1:24" s="83" customFormat="1" ht="93.75" x14ac:dyDescent="0.25">
      <c r="A24" s="268">
        <v>15</v>
      </c>
      <c r="B24" s="221" t="s">
        <v>56</v>
      </c>
      <c r="C24" s="221" t="s">
        <v>147</v>
      </c>
      <c r="D24" s="221" t="s">
        <v>172</v>
      </c>
      <c r="E24" s="221" t="s">
        <v>302</v>
      </c>
      <c r="F24" s="224">
        <v>45050</v>
      </c>
      <c r="G24" s="221" t="s">
        <v>303</v>
      </c>
      <c r="H24" s="220">
        <v>8000</v>
      </c>
      <c r="I24" s="258">
        <f>IF(X24 = 17, H24 + SUM(S24:S24) - SUM(T24:T24) - SUM(P24:P24) - V24,0)</f>
        <v>0</v>
      </c>
      <c r="J24" s="221" t="s">
        <v>305</v>
      </c>
      <c r="K24" s="221" t="s">
        <v>301</v>
      </c>
      <c r="L24" s="221" t="s">
        <v>147</v>
      </c>
      <c r="M24" s="221" t="s">
        <v>304</v>
      </c>
      <c r="N24" s="224">
        <v>45050</v>
      </c>
      <c r="O24" s="224" t="s">
        <v>306</v>
      </c>
      <c r="P24" s="220">
        <v>8000</v>
      </c>
      <c r="Q24" s="222">
        <v>45050</v>
      </c>
      <c r="R24" s="235"/>
      <c r="S24" s="236"/>
      <c r="T24" s="236"/>
      <c r="U24" s="236"/>
      <c r="V24" s="237"/>
      <c r="W24" s="475"/>
      <c r="X24" s="83">
        <v>17</v>
      </c>
    </row>
    <row r="25" spans="1:24" s="83" customFormat="1" ht="93.75" x14ac:dyDescent="0.25">
      <c r="A25" s="268">
        <v>16</v>
      </c>
      <c r="B25" s="256" t="s">
        <v>56</v>
      </c>
      <c r="C25" s="256" t="s">
        <v>147</v>
      </c>
      <c r="D25" s="256" t="s">
        <v>172</v>
      </c>
      <c r="E25" s="256" t="s">
        <v>309</v>
      </c>
      <c r="F25" s="259">
        <v>45061</v>
      </c>
      <c r="G25" s="256" t="s">
        <v>310</v>
      </c>
      <c r="H25" s="255">
        <v>2371</v>
      </c>
      <c r="I25" s="258">
        <f>IF(X25 = 18, H25 + SUM(S25:S25) - SUM(T25:T25) - SUM(P25:P25) - V25,0)</f>
        <v>0</v>
      </c>
      <c r="J25" s="256" t="s">
        <v>311</v>
      </c>
      <c r="K25" s="256" t="s">
        <v>312</v>
      </c>
      <c r="L25" s="256" t="s">
        <v>147</v>
      </c>
      <c r="M25" s="256" t="s">
        <v>313</v>
      </c>
      <c r="N25" s="259">
        <v>45076</v>
      </c>
      <c r="O25" s="259" t="s">
        <v>314</v>
      </c>
      <c r="P25" s="255">
        <v>2371</v>
      </c>
      <c r="Q25" s="257">
        <v>45077</v>
      </c>
      <c r="R25" s="260"/>
      <c r="S25" s="261"/>
      <c r="T25" s="261"/>
      <c r="U25" s="261"/>
      <c r="V25" s="262"/>
      <c r="W25" s="475"/>
      <c r="X25" s="83">
        <v>18</v>
      </c>
    </row>
    <row r="26" spans="1:24" s="83" customFormat="1" ht="93.75" x14ac:dyDescent="0.25">
      <c r="A26" s="268">
        <v>17</v>
      </c>
      <c r="B26" s="256" t="s">
        <v>56</v>
      </c>
      <c r="C26" s="256" t="s">
        <v>147</v>
      </c>
      <c r="D26" s="256" t="s">
        <v>172</v>
      </c>
      <c r="E26" s="256" t="s">
        <v>315</v>
      </c>
      <c r="F26" s="259">
        <v>45064</v>
      </c>
      <c r="G26" s="256" t="s">
        <v>318</v>
      </c>
      <c r="H26" s="255">
        <v>5000</v>
      </c>
      <c r="I26" s="258">
        <f>IF(X26 = 19, H26 + SUM(S26:S26) - SUM(T26:T26) - SUM(P26:P26) - V26,0)</f>
        <v>0</v>
      </c>
      <c r="J26" s="256" t="s">
        <v>317</v>
      </c>
      <c r="K26" s="256" t="s">
        <v>316</v>
      </c>
      <c r="L26" s="256" t="s">
        <v>147</v>
      </c>
      <c r="M26" s="256" t="s">
        <v>319</v>
      </c>
      <c r="N26" s="259">
        <v>45070</v>
      </c>
      <c r="O26" s="259" t="s">
        <v>320</v>
      </c>
      <c r="P26" s="255">
        <v>5000</v>
      </c>
      <c r="Q26" s="257">
        <v>45077</v>
      </c>
      <c r="R26" s="260"/>
      <c r="S26" s="261"/>
      <c r="T26" s="261"/>
      <c r="U26" s="261"/>
      <c r="V26" s="262"/>
      <c r="W26" s="475"/>
      <c r="X26" s="83">
        <v>19</v>
      </c>
    </row>
    <row r="27" spans="1:24" s="83" customFormat="1" ht="75" x14ac:dyDescent="0.25">
      <c r="A27" s="268">
        <v>18</v>
      </c>
      <c r="B27" s="256" t="s">
        <v>56</v>
      </c>
      <c r="C27" s="256" t="s">
        <v>147</v>
      </c>
      <c r="D27" s="256" t="s">
        <v>172</v>
      </c>
      <c r="E27" s="256" t="s">
        <v>117</v>
      </c>
      <c r="F27" s="259">
        <v>45068</v>
      </c>
      <c r="G27" s="256" t="s">
        <v>322</v>
      </c>
      <c r="H27" s="255">
        <v>21745</v>
      </c>
      <c r="I27" s="258">
        <f>IF(X27 = 20, H27 + SUM(S27:S27) - SUM(T27:T27) - SUM(P27:P27) - V27,0)</f>
        <v>0</v>
      </c>
      <c r="J27" s="256" t="s">
        <v>230</v>
      </c>
      <c r="K27" s="256" t="s">
        <v>321</v>
      </c>
      <c r="L27" s="256" t="s">
        <v>147</v>
      </c>
      <c r="M27" s="256" t="s">
        <v>323</v>
      </c>
      <c r="N27" s="259">
        <v>45075</v>
      </c>
      <c r="O27" s="259" t="s">
        <v>219</v>
      </c>
      <c r="P27" s="255">
        <v>21745</v>
      </c>
      <c r="Q27" s="257">
        <v>45086</v>
      </c>
      <c r="R27" s="260"/>
      <c r="S27" s="261"/>
      <c r="T27" s="261"/>
      <c r="U27" s="261"/>
      <c r="V27" s="262"/>
      <c r="W27" s="475"/>
      <c r="X27" s="83">
        <v>20</v>
      </c>
    </row>
    <row r="28" spans="1:24" s="83" customFormat="1" ht="75" x14ac:dyDescent="0.25">
      <c r="A28" s="362">
        <v>19</v>
      </c>
      <c r="B28" s="256" t="s">
        <v>56</v>
      </c>
      <c r="C28" s="256" t="s">
        <v>147</v>
      </c>
      <c r="D28" s="264" t="s">
        <v>172</v>
      </c>
      <c r="E28" s="256" t="s">
        <v>333</v>
      </c>
      <c r="F28" s="259">
        <v>45068</v>
      </c>
      <c r="G28" s="256" t="s">
        <v>334</v>
      </c>
      <c r="H28" s="255">
        <v>78835</v>
      </c>
      <c r="I28" s="267">
        <f>IF(X28 = 21, H28 + SUM(S28:S28) - SUM(T28:T28) - SUM(P28:P28) - V28,0)</f>
        <v>0</v>
      </c>
      <c r="J28" s="256" t="s">
        <v>335</v>
      </c>
      <c r="K28" s="256" t="s">
        <v>312</v>
      </c>
      <c r="L28" s="256" t="s">
        <v>147</v>
      </c>
      <c r="M28" s="256" t="s">
        <v>336</v>
      </c>
      <c r="N28" s="259">
        <v>45128</v>
      </c>
      <c r="O28" s="259" t="s">
        <v>337</v>
      </c>
      <c r="P28" s="266">
        <v>74617</v>
      </c>
      <c r="Q28" s="265">
        <v>45135</v>
      </c>
      <c r="R28" s="264" t="s">
        <v>455</v>
      </c>
      <c r="S28" s="279"/>
      <c r="T28" s="266">
        <v>4218</v>
      </c>
      <c r="U28" s="279"/>
      <c r="V28" s="280"/>
      <c r="W28" s="475"/>
      <c r="X28" s="83">
        <v>21</v>
      </c>
    </row>
    <row r="29" spans="1:24" s="83" customFormat="1" ht="75" x14ac:dyDescent="0.25">
      <c r="A29" s="362">
        <v>20</v>
      </c>
      <c r="B29" s="264" t="s">
        <v>56</v>
      </c>
      <c r="C29" s="264" t="s">
        <v>147</v>
      </c>
      <c r="D29" s="264" t="s">
        <v>172</v>
      </c>
      <c r="E29" s="256" t="s">
        <v>338</v>
      </c>
      <c r="F29" s="259">
        <v>45068</v>
      </c>
      <c r="G29" s="256" t="s">
        <v>334</v>
      </c>
      <c r="H29" s="266">
        <v>2950</v>
      </c>
      <c r="I29" s="267">
        <f>IF(X29 = 22, H29 + SUM(S29:S29) - SUM(T29:T29) - SUM(P29:P29) - V29,0)</f>
        <v>0</v>
      </c>
      <c r="J29" s="256" t="s">
        <v>335</v>
      </c>
      <c r="K29" s="256" t="s">
        <v>312</v>
      </c>
      <c r="L29" s="256" t="s">
        <v>147</v>
      </c>
      <c r="M29" s="256" t="s">
        <v>336</v>
      </c>
      <c r="N29" s="259">
        <v>45128</v>
      </c>
      <c r="O29" s="259" t="s">
        <v>337</v>
      </c>
      <c r="P29" s="266">
        <v>2950</v>
      </c>
      <c r="Q29" s="265">
        <v>45135</v>
      </c>
      <c r="R29" s="278"/>
      <c r="S29" s="279"/>
      <c r="T29" s="279"/>
      <c r="U29" s="279"/>
      <c r="V29" s="280"/>
      <c r="W29" s="513"/>
      <c r="X29" s="83">
        <v>22</v>
      </c>
    </row>
    <row r="30" spans="1:24" s="83" customFormat="1" ht="112.5" x14ac:dyDescent="0.25">
      <c r="A30" s="360">
        <v>21</v>
      </c>
      <c r="B30" s="256" t="s">
        <v>56</v>
      </c>
      <c r="C30" s="256" t="s">
        <v>147</v>
      </c>
      <c r="D30" s="256" t="s">
        <v>172</v>
      </c>
      <c r="E30" s="256" t="s">
        <v>324</v>
      </c>
      <c r="F30" s="259">
        <v>45075</v>
      </c>
      <c r="G30" s="256" t="s">
        <v>326</v>
      </c>
      <c r="H30" s="255">
        <v>850</v>
      </c>
      <c r="I30" s="317">
        <f>IF(X30 = 23, H30 + SUM(S30:S30) - SUM(T30:T30) - SUM(P30:P30) - V30,0)</f>
        <v>0</v>
      </c>
      <c r="J30" s="256" t="s">
        <v>327</v>
      </c>
      <c r="K30" s="256" t="s">
        <v>325</v>
      </c>
      <c r="L30" s="256" t="s">
        <v>147</v>
      </c>
      <c r="M30" s="256" t="s">
        <v>328</v>
      </c>
      <c r="N30" s="259">
        <v>45075</v>
      </c>
      <c r="O30" s="259" t="s">
        <v>329</v>
      </c>
      <c r="P30" s="255">
        <v>850</v>
      </c>
      <c r="Q30" s="265">
        <v>45086</v>
      </c>
      <c r="R30" s="278"/>
      <c r="S30" s="279"/>
      <c r="T30" s="279"/>
      <c r="U30" s="279"/>
      <c r="V30" s="280"/>
      <c r="W30" s="514" t="s">
        <v>160</v>
      </c>
      <c r="X30" s="83">
        <v>23</v>
      </c>
    </row>
    <row r="31" spans="1:24" s="83" customFormat="1" ht="75" x14ac:dyDescent="0.25">
      <c r="A31" s="360">
        <v>22</v>
      </c>
      <c r="B31" s="314" t="s">
        <v>56</v>
      </c>
      <c r="C31" s="314" t="s">
        <v>147</v>
      </c>
      <c r="D31" s="314" t="s">
        <v>172</v>
      </c>
      <c r="E31" s="314" t="s">
        <v>177</v>
      </c>
      <c r="F31" s="318">
        <v>45096</v>
      </c>
      <c r="G31" s="314" t="s">
        <v>350</v>
      </c>
      <c r="H31" s="315">
        <v>15040</v>
      </c>
      <c r="I31" s="317">
        <f>IF(X31 = 24, H31 + SUM(S31:S31) - SUM(T31:T31) - SUM(P31:P31) - V31,0)</f>
        <v>0</v>
      </c>
      <c r="J31" s="314" t="s">
        <v>352</v>
      </c>
      <c r="K31" s="314" t="s">
        <v>351</v>
      </c>
      <c r="L31" s="314" t="s">
        <v>147</v>
      </c>
      <c r="M31" s="314" t="s">
        <v>353</v>
      </c>
      <c r="N31" s="318">
        <v>45107</v>
      </c>
      <c r="O31" s="318" t="s">
        <v>354</v>
      </c>
      <c r="P31" s="315">
        <v>15040</v>
      </c>
      <c r="Q31" s="316">
        <v>45113</v>
      </c>
      <c r="R31" s="307"/>
      <c r="S31" s="308"/>
      <c r="T31" s="308"/>
      <c r="U31" s="308"/>
      <c r="V31" s="320"/>
      <c r="W31" s="475"/>
      <c r="X31" s="83">
        <v>24</v>
      </c>
    </row>
    <row r="32" spans="1:24" s="83" customFormat="1" ht="93.75" x14ac:dyDescent="0.25">
      <c r="A32" s="360">
        <v>23</v>
      </c>
      <c r="B32" s="314" t="s">
        <v>56</v>
      </c>
      <c r="C32" s="314" t="s">
        <v>147</v>
      </c>
      <c r="D32" s="314" t="s">
        <v>172</v>
      </c>
      <c r="E32" s="314" t="s">
        <v>122</v>
      </c>
      <c r="F32" s="318">
        <v>45097</v>
      </c>
      <c r="G32" s="314" t="s">
        <v>356</v>
      </c>
      <c r="H32" s="315">
        <v>42260</v>
      </c>
      <c r="I32" s="317">
        <f>IF(X32 = 25, H32 + SUM(S32:S32) - SUM(T32:T32) - SUM(P32:P32) - V32,0)</f>
        <v>0</v>
      </c>
      <c r="J32" s="314" t="s">
        <v>357</v>
      </c>
      <c r="K32" s="314" t="s">
        <v>355</v>
      </c>
      <c r="L32" s="314" t="s">
        <v>147</v>
      </c>
      <c r="M32" s="314" t="s">
        <v>358</v>
      </c>
      <c r="N32" s="318">
        <v>45100</v>
      </c>
      <c r="O32" s="318" t="s">
        <v>359</v>
      </c>
      <c r="P32" s="315">
        <v>42260</v>
      </c>
      <c r="Q32" s="316">
        <v>45106</v>
      </c>
      <c r="R32" s="307"/>
      <c r="S32" s="308"/>
      <c r="T32" s="308"/>
      <c r="U32" s="308"/>
      <c r="V32" s="320"/>
      <c r="W32" s="475"/>
      <c r="X32" s="83">
        <v>25</v>
      </c>
    </row>
    <row r="33" spans="1:24" s="83" customFormat="1" ht="75" x14ac:dyDescent="0.25">
      <c r="A33" s="360">
        <v>24</v>
      </c>
      <c r="B33" s="314" t="s">
        <v>56</v>
      </c>
      <c r="C33" s="314" t="s">
        <v>147</v>
      </c>
      <c r="D33" s="314" t="s">
        <v>172</v>
      </c>
      <c r="E33" s="314" t="s">
        <v>361</v>
      </c>
      <c r="F33" s="318">
        <v>45110</v>
      </c>
      <c r="G33" s="314" t="s">
        <v>363</v>
      </c>
      <c r="H33" s="315">
        <v>40000</v>
      </c>
      <c r="I33" s="317">
        <f>IF(X33 = 26, H33 + SUM(S33:S33) - SUM(T33:T33) - SUM(P33:P33) - V33,0)</f>
        <v>0</v>
      </c>
      <c r="J33" s="314" t="s">
        <v>362</v>
      </c>
      <c r="K33" s="314" t="s">
        <v>297</v>
      </c>
      <c r="L33" s="314" t="s">
        <v>147</v>
      </c>
      <c r="M33" s="314" t="s">
        <v>364</v>
      </c>
      <c r="N33" s="318">
        <v>45138</v>
      </c>
      <c r="O33" s="318" t="s">
        <v>365</v>
      </c>
      <c r="P33" s="315">
        <v>40000</v>
      </c>
      <c r="Q33" s="316">
        <v>45141</v>
      </c>
      <c r="R33" s="307"/>
      <c r="S33" s="308"/>
      <c r="T33" s="308"/>
      <c r="U33" s="308"/>
      <c r="V33" s="320"/>
      <c r="W33" s="475"/>
      <c r="X33" s="83">
        <v>26</v>
      </c>
    </row>
    <row r="34" spans="1:24" s="83" customFormat="1" ht="93.75" x14ac:dyDescent="0.25">
      <c r="A34" s="360">
        <v>25</v>
      </c>
      <c r="B34" s="314" t="s">
        <v>56</v>
      </c>
      <c r="C34" s="314" t="s">
        <v>147</v>
      </c>
      <c r="D34" s="314" t="s">
        <v>172</v>
      </c>
      <c r="E34" s="314" t="s">
        <v>125</v>
      </c>
      <c r="F34" s="318">
        <v>45110</v>
      </c>
      <c r="G34" s="314" t="s">
        <v>366</v>
      </c>
      <c r="H34" s="315">
        <v>42940</v>
      </c>
      <c r="I34" s="317">
        <f>IF(X34 = 27, H34 + SUM(S34:S34) - SUM(T34:T34) - SUM(P34:P34) - V34,0)</f>
        <v>0</v>
      </c>
      <c r="J34" s="314" t="s">
        <v>357</v>
      </c>
      <c r="K34" s="314" t="s">
        <v>355</v>
      </c>
      <c r="L34" s="314" t="s">
        <v>147</v>
      </c>
      <c r="M34" s="321" t="s">
        <v>367</v>
      </c>
      <c r="N34" s="318">
        <v>45134</v>
      </c>
      <c r="O34" s="318" t="s">
        <v>359</v>
      </c>
      <c r="P34" s="315">
        <v>42940</v>
      </c>
      <c r="Q34" s="316">
        <v>45142</v>
      </c>
      <c r="R34" s="307"/>
      <c r="S34" s="308"/>
      <c r="T34" s="308"/>
      <c r="U34" s="308"/>
      <c r="V34" s="320"/>
      <c r="W34" s="475"/>
      <c r="X34" s="83">
        <v>27</v>
      </c>
    </row>
    <row r="35" spans="1:24" s="83" customFormat="1" ht="75" x14ac:dyDescent="0.25">
      <c r="A35" s="360">
        <v>26</v>
      </c>
      <c r="B35" s="314" t="s">
        <v>56</v>
      </c>
      <c r="C35" s="314" t="s">
        <v>147</v>
      </c>
      <c r="D35" s="314" t="s">
        <v>172</v>
      </c>
      <c r="E35" s="314" t="s">
        <v>360</v>
      </c>
      <c r="F35" s="318">
        <v>45118</v>
      </c>
      <c r="G35" s="314" t="s">
        <v>371</v>
      </c>
      <c r="H35" s="315">
        <v>8200</v>
      </c>
      <c r="I35" s="317">
        <f>IF(X35 = 28, H35 + SUM(S35:S35) - SUM(T35:T35) - SUM(P35:P35) - V35,0)</f>
        <v>0</v>
      </c>
      <c r="J35" s="314" t="s">
        <v>370</v>
      </c>
      <c r="K35" s="314" t="s">
        <v>368</v>
      </c>
      <c r="L35" s="314" t="s">
        <v>147</v>
      </c>
      <c r="M35" s="316" t="s">
        <v>372</v>
      </c>
      <c r="N35" s="318">
        <v>45118</v>
      </c>
      <c r="O35" s="318" t="s">
        <v>369</v>
      </c>
      <c r="P35" s="315">
        <v>8200</v>
      </c>
      <c r="Q35" s="316">
        <v>45131</v>
      </c>
      <c r="R35" s="307"/>
      <c r="S35" s="308"/>
      <c r="T35" s="308"/>
      <c r="U35" s="308"/>
      <c r="V35" s="320"/>
      <c r="W35" s="475"/>
      <c r="X35" s="83">
        <v>28</v>
      </c>
    </row>
    <row r="36" spans="1:24" s="83" customFormat="1" ht="97.5" customHeight="1" x14ac:dyDescent="0.25">
      <c r="A36" s="360">
        <v>27</v>
      </c>
      <c r="B36" s="314" t="s">
        <v>56</v>
      </c>
      <c r="C36" s="314" t="s">
        <v>147</v>
      </c>
      <c r="D36" s="314" t="s">
        <v>172</v>
      </c>
      <c r="E36" s="314" t="s">
        <v>376</v>
      </c>
      <c r="F36" s="318">
        <v>45120</v>
      </c>
      <c r="G36" s="314" t="s">
        <v>379</v>
      </c>
      <c r="H36" s="315">
        <v>15311</v>
      </c>
      <c r="I36" s="317">
        <f>IF(X36 = 29, H36 + SUM(S36:S36) - SUM(T36:T36) - SUM(P36:P36) - V36,0)</f>
        <v>0</v>
      </c>
      <c r="J36" s="314" t="s">
        <v>378</v>
      </c>
      <c r="K36" s="314" t="s">
        <v>377</v>
      </c>
      <c r="L36" s="314" t="s">
        <v>147</v>
      </c>
      <c r="M36" s="316" t="s">
        <v>380</v>
      </c>
      <c r="N36" s="318">
        <v>45125</v>
      </c>
      <c r="O36" s="318" t="s">
        <v>381</v>
      </c>
      <c r="P36" s="315">
        <v>15311</v>
      </c>
      <c r="Q36" s="316">
        <v>45131</v>
      </c>
      <c r="R36" s="307"/>
      <c r="S36" s="308"/>
      <c r="T36" s="308"/>
      <c r="U36" s="308"/>
      <c r="V36" s="320"/>
      <c r="W36" s="475"/>
      <c r="X36" s="83">
        <v>29</v>
      </c>
    </row>
    <row r="37" spans="1:24" s="83" customFormat="1" ht="75" x14ac:dyDescent="0.25">
      <c r="A37" s="360">
        <v>28</v>
      </c>
      <c r="B37" s="314" t="s">
        <v>56</v>
      </c>
      <c r="C37" s="314" t="s">
        <v>147</v>
      </c>
      <c r="D37" s="314" t="s">
        <v>172</v>
      </c>
      <c r="E37" s="314" t="s">
        <v>177</v>
      </c>
      <c r="F37" s="318">
        <v>45124</v>
      </c>
      <c r="G37" s="314" t="s">
        <v>386</v>
      </c>
      <c r="H37" s="315">
        <v>60000</v>
      </c>
      <c r="I37" s="317">
        <f>IF(X37 = 30, H37 + SUM(S37:S37) - SUM(T37:T37) - SUM(P37:P37) - V37,0)</f>
        <v>0</v>
      </c>
      <c r="J37" s="314" t="s">
        <v>388</v>
      </c>
      <c r="K37" s="314" t="s">
        <v>387</v>
      </c>
      <c r="L37" s="314" t="s">
        <v>147</v>
      </c>
      <c r="M37" s="321" t="s">
        <v>402</v>
      </c>
      <c r="N37" s="318">
        <v>45175</v>
      </c>
      <c r="O37" s="318" t="s">
        <v>369</v>
      </c>
      <c r="P37" s="315">
        <v>60000</v>
      </c>
      <c r="Q37" s="316">
        <v>45183</v>
      </c>
      <c r="R37" s="307"/>
      <c r="S37" s="308"/>
      <c r="T37" s="308"/>
      <c r="U37" s="308"/>
      <c r="V37" s="320"/>
      <c r="W37" s="475"/>
      <c r="X37" s="83">
        <v>30</v>
      </c>
    </row>
    <row r="38" spans="1:24" s="83" customFormat="1" ht="75" x14ac:dyDescent="0.25">
      <c r="A38" s="360">
        <v>29</v>
      </c>
      <c r="B38" s="314" t="s">
        <v>56</v>
      </c>
      <c r="C38" s="314" t="s">
        <v>147</v>
      </c>
      <c r="D38" s="314" t="s">
        <v>172</v>
      </c>
      <c r="E38" s="314" t="s">
        <v>119</v>
      </c>
      <c r="F38" s="318">
        <v>45125</v>
      </c>
      <c r="G38" s="314" t="s">
        <v>391</v>
      </c>
      <c r="H38" s="315">
        <v>32700</v>
      </c>
      <c r="I38" s="317">
        <f>IF(X38 = 31, H38 + SUM(S38:S38) - SUM(T38:T38) - SUM(P38:P38) - V38,0)</f>
        <v>0</v>
      </c>
      <c r="J38" s="314" t="s">
        <v>390</v>
      </c>
      <c r="K38" s="314" t="s">
        <v>389</v>
      </c>
      <c r="L38" s="314" t="s">
        <v>147</v>
      </c>
      <c r="M38" s="316" t="s">
        <v>393</v>
      </c>
      <c r="N38" s="318">
        <v>45133</v>
      </c>
      <c r="O38" s="318" t="s">
        <v>392</v>
      </c>
      <c r="P38" s="315">
        <v>32700</v>
      </c>
      <c r="Q38" s="316">
        <v>45142</v>
      </c>
      <c r="R38" s="307"/>
      <c r="S38" s="308"/>
      <c r="T38" s="308"/>
      <c r="U38" s="308"/>
      <c r="V38" s="320"/>
      <c r="W38" s="475"/>
      <c r="X38" s="83">
        <v>31</v>
      </c>
    </row>
    <row r="39" spans="1:24" s="83" customFormat="1" ht="75" x14ac:dyDescent="0.25">
      <c r="A39" s="360">
        <v>30</v>
      </c>
      <c r="B39" s="314" t="s">
        <v>56</v>
      </c>
      <c r="C39" s="314" t="s">
        <v>147</v>
      </c>
      <c r="D39" s="314" t="s">
        <v>172</v>
      </c>
      <c r="E39" s="314" t="s">
        <v>395</v>
      </c>
      <c r="F39" s="318">
        <v>45126</v>
      </c>
      <c r="G39" s="314" t="s">
        <v>396</v>
      </c>
      <c r="H39" s="315">
        <v>6500</v>
      </c>
      <c r="I39" s="317">
        <f>IF(X39 = 32, H39 + SUM(S39:S39) - SUM(T39:T39) - SUM(P39:P39) - V39,0)</f>
        <v>0</v>
      </c>
      <c r="J39" s="314" t="s">
        <v>397</v>
      </c>
      <c r="K39" s="314" t="s">
        <v>394</v>
      </c>
      <c r="L39" s="314" t="s">
        <v>147</v>
      </c>
      <c r="M39" s="316" t="s">
        <v>398</v>
      </c>
      <c r="N39" s="318">
        <v>45126</v>
      </c>
      <c r="O39" s="318" t="s">
        <v>399</v>
      </c>
      <c r="P39" s="315">
        <v>6500</v>
      </c>
      <c r="Q39" s="316">
        <v>45131</v>
      </c>
      <c r="R39" s="307"/>
      <c r="S39" s="308"/>
      <c r="T39" s="308"/>
      <c r="U39" s="308"/>
      <c r="V39" s="320"/>
      <c r="W39" s="475"/>
      <c r="X39" s="83">
        <v>32</v>
      </c>
    </row>
    <row r="40" spans="1:24" s="83" customFormat="1" ht="84" customHeight="1" x14ac:dyDescent="0.25">
      <c r="A40" s="360">
        <v>31</v>
      </c>
      <c r="B40" s="314" t="s">
        <v>56</v>
      </c>
      <c r="C40" s="314" t="s">
        <v>147</v>
      </c>
      <c r="D40" s="314" t="s">
        <v>172</v>
      </c>
      <c r="E40" s="314" t="s">
        <v>400</v>
      </c>
      <c r="F40" s="318">
        <v>45126</v>
      </c>
      <c r="G40" s="314" t="s">
        <v>401</v>
      </c>
      <c r="H40" s="315">
        <v>2000</v>
      </c>
      <c r="I40" s="317">
        <f>IF(X40 = 33, H40 + SUM(S40:S40) - SUM(T40:T40) - SUM(P40:P40) - V40,0)</f>
        <v>0</v>
      </c>
      <c r="J40" s="314" t="s">
        <v>397</v>
      </c>
      <c r="K40" s="314" t="s">
        <v>394</v>
      </c>
      <c r="L40" s="314" t="s">
        <v>147</v>
      </c>
      <c r="M40" s="316" t="s">
        <v>398</v>
      </c>
      <c r="N40" s="318">
        <v>45126</v>
      </c>
      <c r="O40" s="318" t="s">
        <v>399</v>
      </c>
      <c r="P40" s="315">
        <v>2000</v>
      </c>
      <c r="Q40" s="316">
        <v>45131</v>
      </c>
      <c r="R40" s="307"/>
      <c r="S40" s="308"/>
      <c r="T40" s="308"/>
      <c r="U40" s="308"/>
      <c r="V40" s="320"/>
      <c r="W40" s="475"/>
      <c r="X40" s="83">
        <v>33</v>
      </c>
    </row>
    <row r="41" spans="1:24" s="83" customFormat="1" ht="75" x14ac:dyDescent="0.25">
      <c r="A41" s="360">
        <v>32</v>
      </c>
      <c r="B41" s="314" t="s">
        <v>56</v>
      </c>
      <c r="C41" s="314" t="s">
        <v>147</v>
      </c>
      <c r="D41" s="314" t="s">
        <v>172</v>
      </c>
      <c r="E41" s="314" t="s">
        <v>177</v>
      </c>
      <c r="F41" s="318">
        <v>45126</v>
      </c>
      <c r="G41" s="314" t="s">
        <v>403</v>
      </c>
      <c r="H41" s="315">
        <v>23368</v>
      </c>
      <c r="I41" s="317">
        <f>IF(X41 = 34, H41 + SUM(S41:S41) - SUM(T41:T41) - SUM(P41:P41) - V41,0)</f>
        <v>0</v>
      </c>
      <c r="J41" s="314" t="s">
        <v>388</v>
      </c>
      <c r="K41" s="314" t="s">
        <v>387</v>
      </c>
      <c r="L41" s="314" t="s">
        <v>147</v>
      </c>
      <c r="M41" s="316" t="s">
        <v>404</v>
      </c>
      <c r="N41" s="318">
        <v>45131</v>
      </c>
      <c r="O41" s="318" t="s">
        <v>369</v>
      </c>
      <c r="P41" s="315">
        <v>23368</v>
      </c>
      <c r="Q41" s="316">
        <v>45135</v>
      </c>
      <c r="R41" s="307"/>
      <c r="S41" s="308"/>
      <c r="T41" s="308"/>
      <c r="U41" s="308"/>
      <c r="V41" s="320"/>
      <c r="W41" s="475" t="s">
        <v>437</v>
      </c>
      <c r="X41" s="83">
        <v>34</v>
      </c>
    </row>
    <row r="42" spans="1:24" s="83" customFormat="1" ht="98.25" customHeight="1" x14ac:dyDescent="0.25">
      <c r="A42" s="360">
        <v>33</v>
      </c>
      <c r="B42" s="314" t="s">
        <v>56</v>
      </c>
      <c r="C42" s="314" t="s">
        <v>147</v>
      </c>
      <c r="D42" s="314" t="s">
        <v>172</v>
      </c>
      <c r="E42" s="314" t="s">
        <v>405</v>
      </c>
      <c r="F42" s="318">
        <v>45128</v>
      </c>
      <c r="G42" s="338" t="s">
        <v>406</v>
      </c>
      <c r="H42" s="315">
        <v>2800</v>
      </c>
      <c r="I42" s="317">
        <f>IF(X42 = 35, H42 + SUM(S42:S42) - SUM(T42:T42) - SUM(P42:P42) - V42,0)</f>
        <v>0</v>
      </c>
      <c r="J42" s="314" t="s">
        <v>397</v>
      </c>
      <c r="K42" s="314" t="s">
        <v>394</v>
      </c>
      <c r="L42" s="314" t="s">
        <v>147</v>
      </c>
      <c r="M42" s="316" t="s">
        <v>398</v>
      </c>
      <c r="N42" s="318">
        <v>45128</v>
      </c>
      <c r="O42" s="318" t="s">
        <v>399</v>
      </c>
      <c r="P42" s="315">
        <v>2800</v>
      </c>
      <c r="Q42" s="316">
        <v>45131</v>
      </c>
      <c r="R42" s="307"/>
      <c r="S42" s="308"/>
      <c r="T42" s="308"/>
      <c r="U42" s="308"/>
      <c r="V42" s="320"/>
      <c r="W42" s="475"/>
      <c r="X42" s="83">
        <v>35</v>
      </c>
    </row>
    <row r="43" spans="1:24" s="83" customFormat="1" ht="94.5" customHeight="1" x14ac:dyDescent="0.25">
      <c r="A43" s="360">
        <v>34</v>
      </c>
      <c r="B43" s="314" t="s">
        <v>56</v>
      </c>
      <c r="C43" s="314" t="s">
        <v>147</v>
      </c>
      <c r="D43" s="314" t="s">
        <v>172</v>
      </c>
      <c r="E43" s="314" t="s">
        <v>407</v>
      </c>
      <c r="F43" s="318">
        <v>45128</v>
      </c>
      <c r="G43" s="314" t="s">
        <v>409</v>
      </c>
      <c r="H43" s="315">
        <v>103000</v>
      </c>
      <c r="I43" s="317">
        <f>IF(X43 = 36, H43 + SUM(S43:S43) - SUM(T43:T43) - SUM(P43:P43) - V43,0)</f>
        <v>0</v>
      </c>
      <c r="J43" s="314" t="s">
        <v>410</v>
      </c>
      <c r="K43" s="314" t="s">
        <v>408</v>
      </c>
      <c r="L43" s="314" t="s">
        <v>147</v>
      </c>
      <c r="M43" s="316" t="s">
        <v>473</v>
      </c>
      <c r="N43" s="318">
        <v>45184</v>
      </c>
      <c r="O43" s="318" t="s">
        <v>411</v>
      </c>
      <c r="P43" s="315">
        <v>103000</v>
      </c>
      <c r="Q43" s="316">
        <v>45194</v>
      </c>
      <c r="R43" s="339" t="s">
        <v>472</v>
      </c>
      <c r="S43" s="308"/>
      <c r="T43" s="308"/>
      <c r="U43" s="308"/>
      <c r="V43" s="320"/>
      <c r="W43" s="475"/>
      <c r="X43" s="83">
        <v>36</v>
      </c>
    </row>
    <row r="44" spans="1:24" s="83" customFormat="1" ht="82.5" customHeight="1" x14ac:dyDescent="0.25">
      <c r="A44" s="360">
        <v>35</v>
      </c>
      <c r="B44" s="314" t="s">
        <v>56</v>
      </c>
      <c r="C44" s="314" t="s">
        <v>147</v>
      </c>
      <c r="D44" s="314" t="s">
        <v>172</v>
      </c>
      <c r="E44" s="340" t="s">
        <v>413</v>
      </c>
      <c r="F44" s="318">
        <v>45128</v>
      </c>
      <c r="G44" s="339" t="s">
        <v>412</v>
      </c>
      <c r="H44" s="315">
        <v>4500</v>
      </c>
      <c r="I44" s="317">
        <f>IF(X44 = 37, H44 + SUM(S44:S44) - SUM(T44:T44) - SUM(P44:P44) - V44,0)</f>
        <v>0</v>
      </c>
      <c r="J44" s="314" t="s">
        <v>415</v>
      </c>
      <c r="K44" s="314" t="s">
        <v>414</v>
      </c>
      <c r="L44" s="314" t="s">
        <v>147</v>
      </c>
      <c r="M44" s="316" t="s">
        <v>416</v>
      </c>
      <c r="N44" s="318">
        <v>45128</v>
      </c>
      <c r="O44" s="318" t="s">
        <v>417</v>
      </c>
      <c r="P44" s="315">
        <v>4500</v>
      </c>
      <c r="Q44" s="316">
        <v>45141</v>
      </c>
      <c r="R44" s="307"/>
      <c r="S44" s="308"/>
      <c r="T44" s="308"/>
      <c r="U44" s="308"/>
      <c r="V44" s="320"/>
      <c r="W44" s="514" t="s">
        <v>160</v>
      </c>
      <c r="X44" s="83">
        <v>37</v>
      </c>
    </row>
    <row r="45" spans="1:24" s="83" customFormat="1" ht="93" customHeight="1" x14ac:dyDescent="0.25">
      <c r="A45" s="360">
        <v>36</v>
      </c>
      <c r="B45" s="314" t="s">
        <v>56</v>
      </c>
      <c r="C45" s="314" t="s">
        <v>147</v>
      </c>
      <c r="D45" s="314" t="s">
        <v>172</v>
      </c>
      <c r="E45" s="341" t="s">
        <v>419</v>
      </c>
      <c r="F45" s="318">
        <v>45128</v>
      </c>
      <c r="G45" s="314" t="s">
        <v>418</v>
      </c>
      <c r="H45" s="315">
        <v>1000</v>
      </c>
      <c r="I45" s="317">
        <f>IF(X45 = 38, H45 + SUM(S45:S45) - SUM(T45:T45) - SUM(P45:P45) - V45,0)</f>
        <v>0</v>
      </c>
      <c r="J45" s="314" t="s">
        <v>421</v>
      </c>
      <c r="K45" s="314" t="s">
        <v>420</v>
      </c>
      <c r="L45" s="314" t="s">
        <v>147</v>
      </c>
      <c r="M45" s="321" t="s">
        <v>423</v>
      </c>
      <c r="N45" s="318">
        <v>45128</v>
      </c>
      <c r="O45" s="318" t="s">
        <v>422</v>
      </c>
      <c r="P45" s="315">
        <v>1000</v>
      </c>
      <c r="Q45" s="316">
        <v>45141</v>
      </c>
      <c r="R45" s="307"/>
      <c r="S45" s="308"/>
      <c r="T45" s="308"/>
      <c r="U45" s="308"/>
      <c r="V45" s="320"/>
      <c r="W45" s="475"/>
      <c r="X45" s="83">
        <v>38</v>
      </c>
    </row>
    <row r="46" spans="1:24" s="83" customFormat="1" ht="67.5" customHeight="1" x14ac:dyDescent="0.25">
      <c r="A46" s="342">
        <v>37</v>
      </c>
      <c r="B46" s="314" t="s">
        <v>56</v>
      </c>
      <c r="C46" s="314" t="s">
        <v>147</v>
      </c>
      <c r="D46" s="314"/>
      <c r="E46" s="341" t="s">
        <v>438</v>
      </c>
      <c r="F46" s="318">
        <v>45139</v>
      </c>
      <c r="G46" s="339" t="s">
        <v>439</v>
      </c>
      <c r="H46" s="315">
        <v>6049.87</v>
      </c>
      <c r="I46" s="343">
        <f>IF(X46 = 39, H46 + SUM(S46:S46) - SUM(T46:T46) - SUM(P46:P46) - V46,0)</f>
        <v>0</v>
      </c>
      <c r="J46" s="314" t="s">
        <v>440</v>
      </c>
      <c r="K46" s="314" t="s">
        <v>441</v>
      </c>
      <c r="L46" s="314" t="s">
        <v>147</v>
      </c>
      <c r="M46" s="321" t="s">
        <v>442</v>
      </c>
      <c r="N46" s="318">
        <v>45159</v>
      </c>
      <c r="O46" s="318" t="s">
        <v>443</v>
      </c>
      <c r="P46" s="315">
        <v>6049.87</v>
      </c>
      <c r="Q46" s="316"/>
      <c r="R46" s="307"/>
      <c r="S46" s="308"/>
      <c r="T46" s="308"/>
      <c r="U46" s="308"/>
      <c r="V46" s="320"/>
      <c r="W46" s="514" t="s">
        <v>160</v>
      </c>
      <c r="X46" s="83">
        <v>39</v>
      </c>
    </row>
    <row r="47" spans="1:24" s="83" customFormat="1" ht="225" x14ac:dyDescent="0.25">
      <c r="A47" s="397">
        <v>38</v>
      </c>
      <c r="B47" s="363" t="s">
        <v>56</v>
      </c>
      <c r="C47" s="363" t="s">
        <v>147</v>
      </c>
      <c r="D47" s="363" t="s">
        <v>172</v>
      </c>
      <c r="E47" s="341" t="s">
        <v>36</v>
      </c>
      <c r="F47" s="318">
        <v>45150</v>
      </c>
      <c r="G47" s="339" t="s">
        <v>468</v>
      </c>
      <c r="H47" s="315">
        <v>25000</v>
      </c>
      <c r="I47" s="364">
        <f>IF(X47 = 40, H47 + SUM(S47:S47) - SUM(T47:T47) - SUM(P47:P47) - V47,0)</f>
        <v>0</v>
      </c>
      <c r="J47" s="314" t="s">
        <v>470</v>
      </c>
      <c r="K47" s="314" t="s">
        <v>469</v>
      </c>
      <c r="L47" s="314" t="s">
        <v>147</v>
      </c>
      <c r="M47" s="321">
        <v>45150</v>
      </c>
      <c r="N47" s="318">
        <v>45150</v>
      </c>
      <c r="O47" s="318" t="s">
        <v>471</v>
      </c>
      <c r="P47" s="315">
        <v>25000</v>
      </c>
      <c r="Q47" s="365">
        <v>45163</v>
      </c>
      <c r="R47" s="366"/>
      <c r="S47" s="367"/>
      <c r="T47" s="367"/>
      <c r="U47" s="367"/>
      <c r="V47" s="368"/>
      <c r="W47" s="475"/>
      <c r="X47" s="83">
        <v>40</v>
      </c>
    </row>
    <row r="48" spans="1:24" s="83" customFormat="1" ht="95.25" customHeight="1" x14ac:dyDescent="0.25">
      <c r="A48" s="413">
        <v>39</v>
      </c>
      <c r="B48" s="410" t="s">
        <v>56</v>
      </c>
      <c r="C48" s="410" t="s">
        <v>147</v>
      </c>
      <c r="D48" s="363" t="s">
        <v>172</v>
      </c>
      <c r="E48" s="341" t="s">
        <v>425</v>
      </c>
      <c r="F48" s="318">
        <v>45152</v>
      </c>
      <c r="G48" s="339" t="s">
        <v>426</v>
      </c>
      <c r="H48" s="315">
        <v>4000</v>
      </c>
      <c r="I48" s="411">
        <f>IF(X48 = 41, H48 + SUM(S48:S48) - SUM(T48:T48) - SUM(P48:P48) - V48,0)</f>
        <v>0</v>
      </c>
      <c r="J48" s="314" t="s">
        <v>424</v>
      </c>
      <c r="K48" s="314" t="s">
        <v>175</v>
      </c>
      <c r="L48" s="314" t="s">
        <v>147</v>
      </c>
      <c r="M48" s="321" t="s">
        <v>427</v>
      </c>
      <c r="N48" s="318">
        <v>45152</v>
      </c>
      <c r="O48" s="318" t="s">
        <v>422</v>
      </c>
      <c r="P48" s="315">
        <v>4000</v>
      </c>
      <c r="Q48" s="365">
        <v>45155</v>
      </c>
      <c r="R48" s="401"/>
      <c r="S48" s="402"/>
      <c r="T48" s="402"/>
      <c r="U48" s="402"/>
      <c r="V48" s="412"/>
      <c r="W48" s="475"/>
      <c r="X48" s="83">
        <v>41</v>
      </c>
    </row>
    <row r="49" spans="1:24" s="83" customFormat="1" ht="100.5" customHeight="1" x14ac:dyDescent="0.25">
      <c r="A49" s="639">
        <v>40</v>
      </c>
      <c r="B49" s="645" t="s">
        <v>56</v>
      </c>
      <c r="C49" s="645" t="s">
        <v>147</v>
      </c>
      <c r="D49" s="645" t="s">
        <v>172</v>
      </c>
      <c r="E49" s="649" t="s">
        <v>460</v>
      </c>
      <c r="F49" s="641">
        <v>45152</v>
      </c>
      <c r="G49" s="645" t="s">
        <v>248</v>
      </c>
      <c r="H49" s="651">
        <v>4200</v>
      </c>
      <c r="I49" s="653">
        <f>IF(X49 = 42, H49 + SUM(S49:S50) - SUM(T49:T50) - SUM(P49:P50) - V49,0)</f>
        <v>0</v>
      </c>
      <c r="J49" s="645" t="s">
        <v>461</v>
      </c>
      <c r="K49" s="645" t="s">
        <v>250</v>
      </c>
      <c r="L49" s="645" t="s">
        <v>147</v>
      </c>
      <c r="M49" s="655" t="s">
        <v>462</v>
      </c>
      <c r="N49" s="405">
        <v>45159</v>
      </c>
      <c r="O49" s="641" t="s">
        <v>252</v>
      </c>
      <c r="P49" s="399">
        <v>1260</v>
      </c>
      <c r="Q49" s="400">
        <v>45162</v>
      </c>
      <c r="R49" s="401"/>
      <c r="S49" s="402"/>
      <c r="T49" s="402"/>
      <c r="U49" s="643"/>
      <c r="V49" s="647"/>
      <c r="W49" s="634"/>
      <c r="X49" s="83">
        <v>42</v>
      </c>
    </row>
    <row r="50" spans="1:24" ht="87.75" customHeight="1" x14ac:dyDescent="0.25">
      <c r="A50" s="640"/>
      <c r="B50" s="646"/>
      <c r="C50" s="646"/>
      <c r="D50" s="646"/>
      <c r="E50" s="650"/>
      <c r="F50" s="642"/>
      <c r="G50" s="646"/>
      <c r="H50" s="652"/>
      <c r="I50" s="654"/>
      <c r="J50" s="646"/>
      <c r="K50" s="646"/>
      <c r="L50" s="646"/>
      <c r="M50" s="656"/>
      <c r="N50" s="406">
        <v>45199</v>
      </c>
      <c r="O50" s="642"/>
      <c r="P50" s="403">
        <v>2940</v>
      </c>
      <c r="Q50" s="404">
        <v>45204</v>
      </c>
      <c r="R50" s="407"/>
      <c r="S50" s="408"/>
      <c r="T50" s="408"/>
      <c r="U50" s="644"/>
      <c r="V50" s="648"/>
      <c r="W50" s="634"/>
      <c r="X50" s="2">
        <v>42</v>
      </c>
    </row>
    <row r="51" spans="1:24" s="83" customFormat="1" ht="37.5" x14ac:dyDescent="0.25">
      <c r="A51" s="409">
        <v>41</v>
      </c>
      <c r="B51" s="373" t="s">
        <v>56</v>
      </c>
      <c r="C51" s="373" t="s">
        <v>147</v>
      </c>
      <c r="D51" s="373" t="s">
        <v>172</v>
      </c>
      <c r="E51" s="383" t="s">
        <v>463</v>
      </c>
      <c r="F51" s="376">
        <v>45160</v>
      </c>
      <c r="G51" s="314" t="s">
        <v>464</v>
      </c>
      <c r="H51" s="375">
        <v>2000</v>
      </c>
      <c r="I51" s="396">
        <f>IF(X51 = 43, H51 + SUM(S51:S51) - SUM(T51:T51) - SUM(P51:P51) - V51,0)</f>
        <v>0</v>
      </c>
      <c r="J51" s="373" t="s">
        <v>465</v>
      </c>
      <c r="K51" s="373" t="s">
        <v>466</v>
      </c>
      <c r="L51" s="373" t="s">
        <v>147</v>
      </c>
      <c r="M51" s="374">
        <v>45162</v>
      </c>
      <c r="N51" s="376">
        <v>45162</v>
      </c>
      <c r="O51" s="376" t="s">
        <v>467</v>
      </c>
      <c r="P51" s="375">
        <v>2000</v>
      </c>
      <c r="Q51" s="374">
        <v>45162</v>
      </c>
      <c r="R51" s="392"/>
      <c r="S51" s="393"/>
      <c r="T51" s="393"/>
      <c r="U51" s="393"/>
      <c r="V51" s="398"/>
      <c r="W51" s="475"/>
      <c r="X51" s="83">
        <v>43</v>
      </c>
    </row>
    <row r="52" spans="1:24" s="83" customFormat="1" ht="102.75" customHeight="1" x14ac:dyDescent="0.25">
      <c r="A52" s="409">
        <v>42</v>
      </c>
      <c r="B52" s="373" t="s">
        <v>56</v>
      </c>
      <c r="C52" s="373" t="s">
        <v>147</v>
      </c>
      <c r="D52" s="394" t="s">
        <v>172</v>
      </c>
      <c r="E52" s="383" t="s">
        <v>133</v>
      </c>
      <c r="F52" s="376">
        <v>45169</v>
      </c>
      <c r="G52" s="314" t="s">
        <v>366</v>
      </c>
      <c r="H52" s="375">
        <v>42470</v>
      </c>
      <c r="I52" s="396">
        <f>IF(X52 = 44, H52 + SUM(S52:S52) - SUM(T52:T52) - SUM(P52:P52) - V52,0)</f>
        <v>0</v>
      </c>
      <c r="J52" s="373" t="s">
        <v>357</v>
      </c>
      <c r="K52" s="373" t="s">
        <v>355</v>
      </c>
      <c r="L52" s="373" t="s">
        <v>147</v>
      </c>
      <c r="M52" s="374" t="s">
        <v>457</v>
      </c>
      <c r="N52" s="376">
        <v>45173</v>
      </c>
      <c r="O52" s="376" t="s">
        <v>359</v>
      </c>
      <c r="P52" s="375">
        <v>42470</v>
      </c>
      <c r="Q52" s="395">
        <v>45183</v>
      </c>
      <c r="R52" s="392"/>
      <c r="S52" s="393"/>
      <c r="T52" s="393"/>
      <c r="U52" s="393"/>
      <c r="V52" s="398"/>
      <c r="W52" s="475"/>
      <c r="X52" s="83">
        <v>44</v>
      </c>
    </row>
    <row r="53" spans="1:24" s="83" customFormat="1" ht="107.25" customHeight="1" x14ac:dyDescent="0.25">
      <c r="A53" s="472">
        <v>43</v>
      </c>
      <c r="B53" s="453" t="s">
        <v>56</v>
      </c>
      <c r="C53" s="453" t="s">
        <v>147</v>
      </c>
      <c r="D53" s="453" t="s">
        <v>172</v>
      </c>
      <c r="E53" s="459" t="s">
        <v>474</v>
      </c>
      <c r="F53" s="450">
        <v>45169</v>
      </c>
      <c r="G53" s="453" t="s">
        <v>204</v>
      </c>
      <c r="H53" s="451">
        <v>45356</v>
      </c>
      <c r="I53" s="460">
        <f>IF(X53 = 45, H53 + SUM(S53:S53) - SUM(T53:T53) - SUM(P53:P53) - V53,0)</f>
        <v>0</v>
      </c>
      <c r="J53" s="453" t="s">
        <v>475</v>
      </c>
      <c r="K53" s="453" t="s">
        <v>199</v>
      </c>
      <c r="L53" s="453" t="s">
        <v>147</v>
      </c>
      <c r="M53" s="452" t="s">
        <v>476</v>
      </c>
      <c r="N53" s="450">
        <v>45212</v>
      </c>
      <c r="O53" s="450" t="s">
        <v>337</v>
      </c>
      <c r="P53" s="451">
        <v>13464</v>
      </c>
      <c r="Q53" s="452">
        <v>45224</v>
      </c>
      <c r="R53" s="470"/>
      <c r="S53" s="471"/>
      <c r="T53" s="471"/>
      <c r="U53" s="451" t="s">
        <v>505</v>
      </c>
      <c r="V53" s="458">
        <v>31892</v>
      </c>
      <c r="W53" s="475"/>
      <c r="X53" s="83">
        <v>45</v>
      </c>
    </row>
    <row r="54" spans="1:24" s="83" customFormat="1" ht="75" x14ac:dyDescent="0.25">
      <c r="A54" s="457">
        <v>44</v>
      </c>
      <c r="B54" s="443" t="s">
        <v>56</v>
      </c>
      <c r="C54" s="443" t="s">
        <v>147</v>
      </c>
      <c r="D54" s="443" t="s">
        <v>172</v>
      </c>
      <c r="E54" s="444" t="s">
        <v>477</v>
      </c>
      <c r="F54" s="449">
        <v>45170</v>
      </c>
      <c r="G54" s="443" t="s">
        <v>478</v>
      </c>
      <c r="H54" s="445">
        <v>4504.92</v>
      </c>
      <c r="I54" s="446">
        <f>IF(X54 = 46, H54 + SUM(S54:S54) - SUM(T54:T54) - SUM(P54:P54) - V54,0)</f>
        <v>-2.2737367544323206E-13</v>
      </c>
      <c r="J54" s="443" t="s">
        <v>475</v>
      </c>
      <c r="K54" s="443" t="s">
        <v>199</v>
      </c>
      <c r="L54" s="443" t="s">
        <v>147</v>
      </c>
      <c r="M54" s="447" t="s">
        <v>479</v>
      </c>
      <c r="N54" s="449">
        <v>45212</v>
      </c>
      <c r="O54" s="449" t="s">
        <v>480</v>
      </c>
      <c r="P54" s="445">
        <v>3003.28</v>
      </c>
      <c r="Q54" s="447">
        <v>45225</v>
      </c>
      <c r="R54" s="454"/>
      <c r="S54" s="455"/>
      <c r="T54" s="455"/>
      <c r="U54" s="445" t="s">
        <v>503</v>
      </c>
      <c r="V54" s="448">
        <v>1501.64</v>
      </c>
      <c r="W54" s="475"/>
      <c r="X54" s="83">
        <v>46</v>
      </c>
    </row>
    <row r="55" spans="1:24" s="83" customFormat="1" ht="75" x14ac:dyDescent="0.25">
      <c r="A55" s="442">
        <v>45</v>
      </c>
      <c r="B55" s="443" t="s">
        <v>56</v>
      </c>
      <c r="C55" s="443" t="s">
        <v>147</v>
      </c>
      <c r="D55" s="443"/>
      <c r="E55" s="444" t="s">
        <v>481</v>
      </c>
      <c r="F55" s="449">
        <v>45201</v>
      </c>
      <c r="G55" s="443" t="s">
        <v>478</v>
      </c>
      <c r="H55" s="445"/>
      <c r="I55" s="446">
        <f>IF(X55 = 47, H55 + SUM(S55:S55) - SUM(T55:T55) - SUM(P55:P55) - V55,0)</f>
        <v>0</v>
      </c>
      <c r="J55" s="443" t="s">
        <v>475</v>
      </c>
      <c r="K55" s="443" t="s">
        <v>199</v>
      </c>
      <c r="L55" s="443" t="s">
        <v>147</v>
      </c>
      <c r="M55" s="447" t="s">
        <v>482</v>
      </c>
      <c r="N55" s="449"/>
      <c r="O55" s="449" t="s">
        <v>480</v>
      </c>
      <c r="P55" s="445"/>
      <c r="Q55" s="447"/>
      <c r="R55" s="443"/>
      <c r="S55" s="445"/>
      <c r="T55" s="445"/>
      <c r="U55" s="445"/>
      <c r="V55" s="448"/>
      <c r="W55" s="475"/>
      <c r="X55" s="83">
        <v>47</v>
      </c>
    </row>
    <row r="56" spans="1:24" s="83" customFormat="1" ht="75" x14ac:dyDescent="0.25">
      <c r="A56" s="493">
        <v>46</v>
      </c>
      <c r="B56" s="443" t="s">
        <v>56</v>
      </c>
      <c r="C56" s="443" t="s">
        <v>147</v>
      </c>
      <c r="D56" s="443"/>
      <c r="E56" s="444" t="s">
        <v>481</v>
      </c>
      <c r="F56" s="449">
        <v>45209</v>
      </c>
      <c r="G56" s="443" t="s">
        <v>478</v>
      </c>
      <c r="H56" s="445">
        <v>6006</v>
      </c>
      <c r="I56" s="446">
        <f>IF(X56 = 48, H56 + SUM(S56:S56) - SUM(T56:T56) - SUM(P56:P56) - V56,0)</f>
        <v>6006</v>
      </c>
      <c r="J56" s="443" t="s">
        <v>475</v>
      </c>
      <c r="K56" s="443" t="s">
        <v>199</v>
      </c>
      <c r="L56" s="488" t="s">
        <v>147</v>
      </c>
      <c r="M56" s="489" t="s">
        <v>506</v>
      </c>
      <c r="N56" s="490"/>
      <c r="O56" s="449" t="s">
        <v>480</v>
      </c>
      <c r="P56" s="491"/>
      <c r="Q56" s="489"/>
      <c r="R56" s="488"/>
      <c r="S56" s="491"/>
      <c r="T56" s="491"/>
      <c r="U56" s="491"/>
      <c r="V56" s="492"/>
      <c r="W56" s="475"/>
      <c r="X56" s="83">
        <v>48</v>
      </c>
    </row>
    <row r="57" spans="1:24" s="83" customFormat="1" ht="93.75" x14ac:dyDescent="0.25">
      <c r="A57" s="457">
        <v>47</v>
      </c>
      <c r="B57" s="443" t="s">
        <v>56</v>
      </c>
      <c r="C57" s="443" t="s">
        <v>147</v>
      </c>
      <c r="D57" s="443" t="s">
        <v>172</v>
      </c>
      <c r="E57" s="444" t="s">
        <v>483</v>
      </c>
      <c r="F57" s="449">
        <v>45215</v>
      </c>
      <c r="G57" s="443" t="s">
        <v>484</v>
      </c>
      <c r="H57" s="445">
        <v>2000</v>
      </c>
      <c r="I57" s="446">
        <f>IF(X57 = 49, H57 + SUM(S57:S57) - SUM(T57:T57) - SUM(P57:P57) - V57,0)</f>
        <v>0</v>
      </c>
      <c r="J57" s="443" t="s">
        <v>485</v>
      </c>
      <c r="K57" s="443" t="s">
        <v>368</v>
      </c>
      <c r="L57" s="443" t="s">
        <v>147</v>
      </c>
      <c r="M57" s="447" t="s">
        <v>486</v>
      </c>
      <c r="N57" s="449">
        <v>45215</v>
      </c>
      <c r="O57" s="449" t="s">
        <v>487</v>
      </c>
      <c r="P57" s="445">
        <v>2000</v>
      </c>
      <c r="Q57" s="447">
        <v>45222</v>
      </c>
      <c r="R57" s="454"/>
      <c r="S57" s="455"/>
      <c r="T57" s="455"/>
      <c r="U57" s="455"/>
      <c r="V57" s="456"/>
      <c r="W57" s="475"/>
      <c r="X57" s="83">
        <v>49</v>
      </c>
    </row>
    <row r="58" spans="1:24" s="83" customFormat="1" ht="93.75" x14ac:dyDescent="0.25">
      <c r="A58" s="457">
        <v>48</v>
      </c>
      <c r="B58" s="443" t="s">
        <v>56</v>
      </c>
      <c r="C58" s="443" t="s">
        <v>147</v>
      </c>
      <c r="D58" s="443" t="s">
        <v>172</v>
      </c>
      <c r="E58" s="444" t="s">
        <v>489</v>
      </c>
      <c r="F58" s="449">
        <v>45217</v>
      </c>
      <c r="G58" s="443" t="s">
        <v>490</v>
      </c>
      <c r="H58" s="445">
        <v>1537</v>
      </c>
      <c r="I58" s="446">
        <f>IF(X58 = 50, H58 + SUM(S58:S58) - SUM(T58:T58) - SUM(P58:P58) - V58,0)</f>
        <v>0</v>
      </c>
      <c r="J58" s="443" t="s">
        <v>491</v>
      </c>
      <c r="K58" s="443" t="s">
        <v>488</v>
      </c>
      <c r="L58" s="443" t="s">
        <v>147</v>
      </c>
      <c r="M58" s="447" t="s">
        <v>492</v>
      </c>
      <c r="N58" s="449">
        <v>45218</v>
      </c>
      <c r="O58" s="449" t="s">
        <v>493</v>
      </c>
      <c r="P58" s="445">
        <v>1537</v>
      </c>
      <c r="Q58" s="447">
        <v>45222</v>
      </c>
      <c r="R58" s="454"/>
      <c r="S58" s="455"/>
      <c r="T58" s="455"/>
      <c r="U58" s="455"/>
      <c r="V58" s="456"/>
      <c r="W58" s="475"/>
      <c r="X58" s="83">
        <v>50</v>
      </c>
    </row>
    <row r="59" spans="1:24" s="83" customFormat="1" ht="75" x14ac:dyDescent="0.25">
      <c r="A59" s="442">
        <v>49</v>
      </c>
      <c r="B59" s="443" t="s">
        <v>56</v>
      </c>
      <c r="C59" s="443" t="s">
        <v>147</v>
      </c>
      <c r="D59" s="443"/>
      <c r="E59" s="444" t="s">
        <v>494</v>
      </c>
      <c r="F59" s="449">
        <v>45217</v>
      </c>
      <c r="G59" s="443" t="s">
        <v>231</v>
      </c>
      <c r="H59" s="445">
        <v>5600</v>
      </c>
      <c r="I59" s="446">
        <f>IF(X59 = 51, H59 + SUM(S59:S59) - SUM(T59:T59) - SUM(P59:P59) - V59,0)</f>
        <v>0</v>
      </c>
      <c r="J59" s="443" t="s">
        <v>496</v>
      </c>
      <c r="K59" s="443" t="s">
        <v>245</v>
      </c>
      <c r="L59" s="443" t="s">
        <v>147</v>
      </c>
      <c r="M59" s="447" t="s">
        <v>495</v>
      </c>
      <c r="N59" s="449">
        <v>45217</v>
      </c>
      <c r="O59" s="449" t="s">
        <v>219</v>
      </c>
      <c r="P59" s="445">
        <v>5600</v>
      </c>
      <c r="Q59" s="447"/>
      <c r="R59" s="454"/>
      <c r="S59" s="455"/>
      <c r="T59" s="455"/>
      <c r="U59" s="455"/>
      <c r="V59" s="456"/>
      <c r="W59" s="475"/>
      <c r="X59" s="83">
        <v>51</v>
      </c>
    </row>
    <row r="60" spans="1:24" s="83" customFormat="1" ht="36" customHeight="1" x14ac:dyDescent="0.25">
      <c r="A60" s="663">
        <v>50</v>
      </c>
      <c r="B60" s="660" t="s">
        <v>56</v>
      </c>
      <c r="C60" s="660" t="s">
        <v>147</v>
      </c>
      <c r="D60" s="660" t="s">
        <v>172</v>
      </c>
      <c r="E60" s="666" t="s">
        <v>124</v>
      </c>
      <c r="F60" s="669">
        <v>45218</v>
      </c>
      <c r="G60" s="660" t="s">
        <v>162</v>
      </c>
      <c r="H60" s="672">
        <v>170855.04000000001</v>
      </c>
      <c r="I60" s="675">
        <f>IF(X60 = 52, H60 + SUM(S60:S62) - SUM(T60:T62) - SUM(P60:P62) - V60,0)</f>
        <v>100640.64000000001</v>
      </c>
      <c r="J60" s="678" t="s">
        <v>508</v>
      </c>
      <c r="K60" s="678" t="s">
        <v>507</v>
      </c>
      <c r="L60" s="678" t="s">
        <v>147</v>
      </c>
      <c r="M60" s="681" t="s">
        <v>509</v>
      </c>
      <c r="N60" s="501"/>
      <c r="O60" s="684" t="s">
        <v>510</v>
      </c>
      <c r="P60" s="496"/>
      <c r="Q60" s="497"/>
      <c r="R60" s="546"/>
      <c r="S60" s="547"/>
      <c r="T60" s="547"/>
      <c r="U60" s="687"/>
      <c r="V60" s="657"/>
      <c r="W60" s="634"/>
      <c r="X60" s="83">
        <v>52</v>
      </c>
    </row>
    <row r="61" spans="1:24" s="495" customFormat="1" x14ac:dyDescent="0.25">
      <c r="A61" s="664"/>
      <c r="B61" s="661"/>
      <c r="C61" s="661"/>
      <c r="D61" s="661"/>
      <c r="E61" s="667"/>
      <c r="F61" s="670"/>
      <c r="G61" s="661"/>
      <c r="H61" s="673"/>
      <c r="I61" s="676"/>
      <c r="J61" s="679"/>
      <c r="K61" s="679"/>
      <c r="L61" s="679"/>
      <c r="M61" s="682"/>
      <c r="N61" s="503">
        <v>45260</v>
      </c>
      <c r="O61" s="685"/>
      <c r="P61" s="504">
        <v>70214.399999999994</v>
      </c>
      <c r="Q61" s="505">
        <v>45267</v>
      </c>
      <c r="R61" s="548"/>
      <c r="S61" s="549"/>
      <c r="T61" s="549"/>
      <c r="U61" s="688"/>
      <c r="V61" s="658"/>
      <c r="W61" s="634"/>
      <c r="X61" s="495">
        <v>52</v>
      </c>
    </row>
    <row r="62" spans="1:24" s="495" customFormat="1" x14ac:dyDescent="0.25">
      <c r="A62" s="665"/>
      <c r="B62" s="662"/>
      <c r="C62" s="662"/>
      <c r="D62" s="662"/>
      <c r="E62" s="668"/>
      <c r="F62" s="671"/>
      <c r="G62" s="662"/>
      <c r="H62" s="674"/>
      <c r="I62" s="677"/>
      <c r="J62" s="680"/>
      <c r="K62" s="680"/>
      <c r="L62" s="680"/>
      <c r="M62" s="683"/>
      <c r="N62" s="502"/>
      <c r="O62" s="686"/>
      <c r="P62" s="498"/>
      <c r="Q62" s="499"/>
      <c r="R62" s="550"/>
      <c r="S62" s="551"/>
      <c r="T62" s="551"/>
      <c r="U62" s="689"/>
      <c r="V62" s="659"/>
      <c r="W62" s="634"/>
      <c r="X62" s="495">
        <v>52</v>
      </c>
    </row>
    <row r="63" spans="1:24" s="83" customFormat="1" ht="52.9" customHeight="1" x14ac:dyDescent="0.25">
      <c r="A63" s="663">
        <v>51</v>
      </c>
      <c r="B63" s="660" t="s">
        <v>56</v>
      </c>
      <c r="C63" s="660" t="s">
        <v>147</v>
      </c>
      <c r="D63" s="660"/>
      <c r="E63" s="666"/>
      <c r="F63" s="669">
        <v>45225</v>
      </c>
      <c r="G63" s="660" t="s">
        <v>512</v>
      </c>
      <c r="H63" s="672">
        <v>10276.08</v>
      </c>
      <c r="I63" s="675">
        <f>IF(X63 = 53, H63 + SUM(S63:S64) - SUM(T63:T64) - SUM(P63:P64) - V63,0)</f>
        <v>10276.08</v>
      </c>
      <c r="J63" s="660" t="s">
        <v>491</v>
      </c>
      <c r="K63" s="660" t="s">
        <v>511</v>
      </c>
      <c r="L63" s="660" t="s">
        <v>147</v>
      </c>
      <c r="M63" s="692" t="s">
        <v>513</v>
      </c>
      <c r="N63" s="506"/>
      <c r="O63" s="669" t="s">
        <v>514</v>
      </c>
      <c r="P63" s="507"/>
      <c r="Q63" s="508"/>
      <c r="R63" s="509"/>
      <c r="S63" s="507"/>
      <c r="T63" s="507"/>
      <c r="U63" s="672"/>
      <c r="V63" s="690"/>
      <c r="W63" s="634"/>
      <c r="X63" s="83">
        <v>53</v>
      </c>
    </row>
    <row r="64" spans="1:24" s="495" customFormat="1" ht="48" customHeight="1" x14ac:dyDescent="0.25">
      <c r="A64" s="665"/>
      <c r="B64" s="662"/>
      <c r="C64" s="662"/>
      <c r="D64" s="662"/>
      <c r="E64" s="668"/>
      <c r="F64" s="671"/>
      <c r="G64" s="662"/>
      <c r="H64" s="674"/>
      <c r="I64" s="677"/>
      <c r="J64" s="662"/>
      <c r="K64" s="662"/>
      <c r="L64" s="662"/>
      <c r="M64" s="693"/>
      <c r="N64" s="502"/>
      <c r="O64" s="671"/>
      <c r="P64" s="498"/>
      <c r="Q64" s="499"/>
      <c r="R64" s="500"/>
      <c r="S64" s="498"/>
      <c r="T64" s="498"/>
      <c r="U64" s="674"/>
      <c r="V64" s="691"/>
      <c r="W64" s="634"/>
      <c r="X64" s="495">
        <v>53</v>
      </c>
    </row>
    <row r="65" spans="1:24" s="83" customFormat="1" ht="93.75" x14ac:dyDescent="0.25">
      <c r="A65" s="540">
        <v>52</v>
      </c>
      <c r="B65" s="473" t="s">
        <v>56</v>
      </c>
      <c r="C65" s="473" t="s">
        <v>147</v>
      </c>
      <c r="D65" s="473" t="s">
        <v>172</v>
      </c>
      <c r="E65" s="485" t="s">
        <v>515</v>
      </c>
      <c r="F65" s="487">
        <v>45225</v>
      </c>
      <c r="G65" s="473" t="s">
        <v>204</v>
      </c>
      <c r="H65" s="477">
        <v>19960</v>
      </c>
      <c r="I65" s="478">
        <f>IF(X65 = 54, H65 + SUM(S65:S65) - SUM(T65:T65) - SUM(P65:P65) - V65,0)</f>
        <v>0</v>
      </c>
      <c r="J65" s="473" t="s">
        <v>475</v>
      </c>
      <c r="K65" s="473" t="s">
        <v>199</v>
      </c>
      <c r="L65" s="473" t="s">
        <v>147</v>
      </c>
      <c r="M65" s="476" t="s">
        <v>516</v>
      </c>
      <c r="N65" s="487">
        <v>45245</v>
      </c>
      <c r="O65" s="487" t="s">
        <v>517</v>
      </c>
      <c r="P65" s="477">
        <v>17068</v>
      </c>
      <c r="Q65" s="476">
        <v>45260</v>
      </c>
      <c r="R65" s="541"/>
      <c r="S65" s="542"/>
      <c r="T65" s="542"/>
      <c r="U65" s="477" t="s">
        <v>575</v>
      </c>
      <c r="V65" s="486">
        <v>2892</v>
      </c>
      <c r="W65" s="475"/>
      <c r="X65" s="83">
        <v>54</v>
      </c>
    </row>
    <row r="66" spans="1:24" s="83" customFormat="1" ht="112.5" x14ac:dyDescent="0.25">
      <c r="A66" s="481">
        <v>53</v>
      </c>
      <c r="B66" s="443" t="s">
        <v>56</v>
      </c>
      <c r="C66" s="443" t="s">
        <v>147</v>
      </c>
      <c r="D66" s="443"/>
      <c r="E66" s="444" t="s">
        <v>497</v>
      </c>
      <c r="F66" s="449">
        <v>45232</v>
      </c>
      <c r="G66" s="443" t="s">
        <v>500</v>
      </c>
      <c r="H66" s="445">
        <v>850</v>
      </c>
      <c r="I66" s="478">
        <f>IF(X66 = 55, H66 + SUM(S66:S66) - SUM(T66:T66) - SUM(P66:P66) - V66,0)</f>
        <v>0</v>
      </c>
      <c r="J66" s="443" t="s">
        <v>498</v>
      </c>
      <c r="K66" s="443" t="s">
        <v>499</v>
      </c>
      <c r="L66" s="443" t="s">
        <v>147</v>
      </c>
      <c r="M66" s="447" t="s">
        <v>501</v>
      </c>
      <c r="N66" s="449">
        <v>45232</v>
      </c>
      <c r="O66" s="449" t="s">
        <v>502</v>
      </c>
      <c r="P66" s="445">
        <v>850</v>
      </c>
      <c r="Q66" s="447"/>
      <c r="R66" s="454"/>
      <c r="S66" s="455"/>
      <c r="T66" s="455"/>
      <c r="U66" s="455"/>
      <c r="V66" s="456"/>
      <c r="W66" s="475"/>
      <c r="X66" s="83">
        <v>55</v>
      </c>
    </row>
    <row r="67" spans="1:24" s="83" customFormat="1" ht="75" x14ac:dyDescent="0.25">
      <c r="A67" s="481">
        <v>54</v>
      </c>
      <c r="B67" s="473" t="s">
        <v>56</v>
      </c>
      <c r="C67" s="473" t="s">
        <v>147</v>
      </c>
      <c r="D67" s="473"/>
      <c r="E67" s="485" t="s">
        <v>523</v>
      </c>
      <c r="F67" s="487">
        <v>45237</v>
      </c>
      <c r="G67" s="473" t="s">
        <v>478</v>
      </c>
      <c r="H67" s="477">
        <v>8741.16</v>
      </c>
      <c r="I67" s="478">
        <f>IF(X67 = 56, H67 + SUM(S67:S67) - SUM(T67:T67) - SUM(P67:P67) - V67,0)</f>
        <v>8741.16</v>
      </c>
      <c r="J67" s="473" t="s">
        <v>475</v>
      </c>
      <c r="K67" s="473" t="s">
        <v>199</v>
      </c>
      <c r="L67" s="473" t="s">
        <v>147</v>
      </c>
      <c r="M67" s="476" t="s">
        <v>525</v>
      </c>
      <c r="N67" s="487"/>
      <c r="O67" s="487" t="s">
        <v>524</v>
      </c>
      <c r="P67" s="477"/>
      <c r="Q67" s="476"/>
      <c r="R67" s="473"/>
      <c r="S67" s="477"/>
      <c r="T67" s="477"/>
      <c r="U67" s="477"/>
      <c r="V67" s="486"/>
      <c r="W67" s="475"/>
      <c r="X67" s="83">
        <v>56</v>
      </c>
    </row>
    <row r="68" spans="1:24" s="83" customFormat="1" ht="131.25" x14ac:dyDescent="0.25">
      <c r="A68" s="540">
        <v>55</v>
      </c>
      <c r="B68" s="473" t="s">
        <v>56</v>
      </c>
      <c r="C68" s="473" t="s">
        <v>147</v>
      </c>
      <c r="D68" s="473" t="s">
        <v>172</v>
      </c>
      <c r="E68" s="485" t="s">
        <v>526</v>
      </c>
      <c r="F68" s="487">
        <v>45239</v>
      </c>
      <c r="G68" s="494" t="s">
        <v>527</v>
      </c>
      <c r="H68" s="477">
        <v>2119.9499999999998</v>
      </c>
      <c r="I68" s="478">
        <f>IF(X68 = 57, H68 + SUM(S68:S68) - SUM(T68:T68) - SUM(P68:P68) - V68,0)</f>
        <v>0</v>
      </c>
      <c r="J68" s="473" t="s">
        <v>475</v>
      </c>
      <c r="K68" s="473" t="s">
        <v>199</v>
      </c>
      <c r="L68" s="473" t="s">
        <v>147</v>
      </c>
      <c r="M68" s="476" t="s">
        <v>528</v>
      </c>
      <c r="N68" s="487">
        <v>45243</v>
      </c>
      <c r="O68" s="487" t="s">
        <v>517</v>
      </c>
      <c r="P68" s="477">
        <v>2119.9499999999998</v>
      </c>
      <c r="Q68" s="476">
        <v>45254</v>
      </c>
      <c r="R68" s="541"/>
      <c r="S68" s="542"/>
      <c r="T68" s="542"/>
      <c r="U68" s="542"/>
      <c r="V68" s="543"/>
      <c r="W68" s="475"/>
      <c r="X68" s="83">
        <v>57</v>
      </c>
    </row>
    <row r="69" spans="1:24" s="83" customFormat="1" ht="75.599999999999994" customHeight="1" x14ac:dyDescent="0.25">
      <c r="A69" s="694">
        <v>56</v>
      </c>
      <c r="B69" s="700" t="s">
        <v>56</v>
      </c>
      <c r="C69" s="700" t="s">
        <v>147</v>
      </c>
      <c r="D69" s="700" t="s">
        <v>172</v>
      </c>
      <c r="E69" s="706" t="s">
        <v>531</v>
      </c>
      <c r="F69" s="696">
        <v>45243</v>
      </c>
      <c r="G69" s="700" t="s">
        <v>248</v>
      </c>
      <c r="H69" s="708">
        <v>9500</v>
      </c>
      <c r="I69" s="710">
        <f>IF(X69 = 58, H69 + SUM(S69:S70) - SUM(T69:T70) - SUM(P69:P70) - V69,0)</f>
        <v>0</v>
      </c>
      <c r="J69" s="700" t="s">
        <v>532</v>
      </c>
      <c r="K69" s="700" t="s">
        <v>529</v>
      </c>
      <c r="L69" s="700" t="s">
        <v>147</v>
      </c>
      <c r="M69" s="712" t="s">
        <v>530</v>
      </c>
      <c r="N69" s="515">
        <v>45244</v>
      </c>
      <c r="O69" s="696" t="s">
        <v>252</v>
      </c>
      <c r="P69" s="516">
        <v>2850</v>
      </c>
      <c r="Q69" s="517">
        <v>45250</v>
      </c>
      <c r="R69" s="544"/>
      <c r="S69" s="538"/>
      <c r="T69" s="538"/>
      <c r="U69" s="698"/>
      <c r="V69" s="702"/>
      <c r="W69" s="704"/>
      <c r="X69" s="83">
        <v>58</v>
      </c>
    </row>
    <row r="70" spans="1:24" s="495" customFormat="1" ht="67.150000000000006" customHeight="1" x14ac:dyDescent="0.25">
      <c r="A70" s="695"/>
      <c r="B70" s="701"/>
      <c r="C70" s="701"/>
      <c r="D70" s="701"/>
      <c r="E70" s="707"/>
      <c r="F70" s="697"/>
      <c r="G70" s="701"/>
      <c r="H70" s="709"/>
      <c r="I70" s="711"/>
      <c r="J70" s="701"/>
      <c r="K70" s="701"/>
      <c r="L70" s="701"/>
      <c r="M70" s="713"/>
      <c r="N70" s="519">
        <v>45260</v>
      </c>
      <c r="O70" s="697"/>
      <c r="P70" s="520">
        <v>6650</v>
      </c>
      <c r="Q70" s="521">
        <v>45261</v>
      </c>
      <c r="R70" s="545"/>
      <c r="S70" s="539"/>
      <c r="T70" s="539"/>
      <c r="U70" s="699"/>
      <c r="V70" s="703"/>
      <c r="W70" s="705"/>
      <c r="X70" s="495">
        <v>58</v>
      </c>
    </row>
    <row r="71" spans="1:24" s="83" customFormat="1" ht="75" x14ac:dyDescent="0.25">
      <c r="A71" s="540">
        <v>57</v>
      </c>
      <c r="B71" s="473" t="s">
        <v>56</v>
      </c>
      <c r="C71" s="473" t="s">
        <v>147</v>
      </c>
      <c r="D71" s="473" t="s">
        <v>172</v>
      </c>
      <c r="E71" s="485" t="s">
        <v>534</v>
      </c>
      <c r="F71" s="487">
        <v>45250</v>
      </c>
      <c r="G71" s="473" t="s">
        <v>537</v>
      </c>
      <c r="H71" s="477">
        <v>14000</v>
      </c>
      <c r="I71" s="478">
        <f>IF(X71 = 59, H71 + SUM(S71:S71) - SUM(T71:T71) - SUM(P71:P71) - V71,0)</f>
        <v>0</v>
      </c>
      <c r="J71" s="473" t="s">
        <v>535</v>
      </c>
      <c r="K71" s="473" t="s">
        <v>533</v>
      </c>
      <c r="L71" s="473" t="s">
        <v>147</v>
      </c>
      <c r="M71" s="476" t="s">
        <v>536</v>
      </c>
      <c r="N71" s="487">
        <v>45268</v>
      </c>
      <c r="O71" s="487" t="s">
        <v>538</v>
      </c>
      <c r="P71" s="477">
        <v>14000</v>
      </c>
      <c r="Q71" s="476">
        <v>45271</v>
      </c>
      <c r="R71" s="541"/>
      <c r="S71" s="542"/>
      <c r="T71" s="542"/>
      <c r="U71" s="542"/>
      <c r="V71" s="543"/>
      <c r="W71" s="475"/>
      <c r="X71" s="83">
        <v>59</v>
      </c>
    </row>
    <row r="72" spans="1:24" s="83" customFormat="1" ht="75" x14ac:dyDescent="0.25">
      <c r="A72" s="540">
        <v>58</v>
      </c>
      <c r="B72" s="473" t="s">
        <v>56</v>
      </c>
      <c r="C72" s="473" t="s">
        <v>147</v>
      </c>
      <c r="D72" s="473" t="s">
        <v>172</v>
      </c>
      <c r="E72" s="485" t="s">
        <v>539</v>
      </c>
      <c r="F72" s="487">
        <v>45260</v>
      </c>
      <c r="G72" s="473" t="s">
        <v>231</v>
      </c>
      <c r="H72" s="477">
        <v>9800</v>
      </c>
      <c r="I72" s="478">
        <f>IF(X72 = 60, H72 + SUM(S72:S72) - SUM(T72:T72) - SUM(P72:P72) - V72,0)</f>
        <v>0</v>
      </c>
      <c r="J72" s="473" t="s">
        <v>496</v>
      </c>
      <c r="K72" s="473" t="s">
        <v>245</v>
      </c>
      <c r="L72" s="473" t="s">
        <v>147</v>
      </c>
      <c r="M72" s="476" t="s">
        <v>495</v>
      </c>
      <c r="N72" s="487">
        <v>45260</v>
      </c>
      <c r="O72" s="487" t="s">
        <v>219</v>
      </c>
      <c r="P72" s="477">
        <v>9800</v>
      </c>
      <c r="Q72" s="476">
        <v>45268</v>
      </c>
      <c r="R72" s="541"/>
      <c r="S72" s="542"/>
      <c r="T72" s="542"/>
      <c r="U72" s="542"/>
      <c r="V72" s="543"/>
      <c r="W72" s="475"/>
      <c r="X72" s="83">
        <v>60</v>
      </c>
    </row>
    <row r="73" spans="1:24" s="83" customFormat="1" ht="93.75" x14ac:dyDescent="0.25">
      <c r="A73" s="540">
        <v>59</v>
      </c>
      <c r="B73" s="473" t="s">
        <v>56</v>
      </c>
      <c r="C73" s="473" t="s">
        <v>147</v>
      </c>
      <c r="D73" s="473" t="s">
        <v>172</v>
      </c>
      <c r="E73" s="485" t="s">
        <v>540</v>
      </c>
      <c r="F73" s="487">
        <v>45260</v>
      </c>
      <c r="G73" s="473" t="s">
        <v>189</v>
      </c>
      <c r="H73" s="477">
        <v>9500</v>
      </c>
      <c r="I73" s="478">
        <f>IF(X73 = 61, H73 + SUM(S73:S73) - SUM(T73:T73) - SUM(P73:P73) - V73,0)</f>
        <v>0</v>
      </c>
      <c r="J73" s="473" t="s">
        <v>190</v>
      </c>
      <c r="K73" s="473" t="s">
        <v>541</v>
      </c>
      <c r="L73" s="473" t="s">
        <v>147</v>
      </c>
      <c r="M73" s="476" t="s">
        <v>542</v>
      </c>
      <c r="N73" s="487">
        <v>45266</v>
      </c>
      <c r="O73" s="487" t="s">
        <v>210</v>
      </c>
      <c r="P73" s="477">
        <v>9500</v>
      </c>
      <c r="Q73" s="476">
        <v>45279</v>
      </c>
      <c r="R73" s="541"/>
      <c r="S73" s="542"/>
      <c r="T73" s="542"/>
      <c r="U73" s="542"/>
      <c r="V73" s="543"/>
      <c r="W73" s="475"/>
      <c r="X73" s="83">
        <v>61</v>
      </c>
    </row>
    <row r="74" spans="1:24" s="83" customFormat="1" ht="37.5" x14ac:dyDescent="0.25">
      <c r="A74" s="540">
        <v>60</v>
      </c>
      <c r="B74" s="473" t="s">
        <v>56</v>
      </c>
      <c r="C74" s="473" t="s">
        <v>147</v>
      </c>
      <c r="D74" s="473" t="s">
        <v>172</v>
      </c>
      <c r="E74" s="485" t="s">
        <v>177</v>
      </c>
      <c r="F74" s="487">
        <v>45260</v>
      </c>
      <c r="G74" s="473" t="s">
        <v>178</v>
      </c>
      <c r="H74" s="477">
        <v>2800</v>
      </c>
      <c r="I74" s="478">
        <f>IF(X74 = 62, H74 + SUM(S74:S74) - SUM(T74:T74) - SUM(P74:P74) - V74,0)</f>
        <v>0</v>
      </c>
      <c r="J74" s="120" t="s">
        <v>181</v>
      </c>
      <c r="K74" s="120" t="s">
        <v>179</v>
      </c>
      <c r="L74" s="120" t="s">
        <v>147</v>
      </c>
      <c r="M74" s="120" t="s">
        <v>577</v>
      </c>
      <c r="N74" s="487">
        <v>45280</v>
      </c>
      <c r="O74" s="487" t="s">
        <v>578</v>
      </c>
      <c r="P74" s="477">
        <v>2800</v>
      </c>
      <c r="Q74" s="476">
        <v>45282</v>
      </c>
      <c r="R74" s="541"/>
      <c r="S74" s="542"/>
      <c r="T74" s="542"/>
      <c r="U74" s="542"/>
      <c r="V74" s="543"/>
      <c r="W74" s="475"/>
      <c r="X74" s="83">
        <v>62</v>
      </c>
    </row>
    <row r="75" spans="1:24" s="83" customFormat="1" ht="75" x14ac:dyDescent="0.25">
      <c r="A75" s="524">
        <v>61</v>
      </c>
      <c r="B75" s="483" t="s">
        <v>56</v>
      </c>
      <c r="C75" s="483" t="s">
        <v>147</v>
      </c>
      <c r="D75" s="483"/>
      <c r="E75" s="485" t="s">
        <v>545</v>
      </c>
      <c r="F75" s="487">
        <v>45261</v>
      </c>
      <c r="G75" s="483" t="s">
        <v>478</v>
      </c>
      <c r="H75" s="482">
        <v>9366</v>
      </c>
      <c r="I75" s="528">
        <f>IF(X75 = 63, H75 + SUM(S75:S75) - SUM(T75:T75) - SUM(P75:P75) - V75,0)</f>
        <v>9366</v>
      </c>
      <c r="J75" s="483" t="s">
        <v>451</v>
      </c>
      <c r="K75" s="483" t="s">
        <v>199</v>
      </c>
      <c r="L75" s="483" t="s">
        <v>147</v>
      </c>
      <c r="M75" s="484" t="s">
        <v>547</v>
      </c>
      <c r="N75" s="487"/>
      <c r="O75" s="487" t="s">
        <v>546</v>
      </c>
      <c r="P75" s="527"/>
      <c r="Q75" s="529"/>
      <c r="R75" s="532"/>
      <c r="S75" s="533"/>
      <c r="T75" s="533"/>
      <c r="U75" s="533"/>
      <c r="V75" s="534"/>
      <c r="W75" s="566"/>
      <c r="X75" s="83">
        <v>63</v>
      </c>
    </row>
    <row r="76" spans="1:24" s="83" customFormat="1" ht="93.75" x14ac:dyDescent="0.25">
      <c r="A76" s="554">
        <v>62</v>
      </c>
      <c r="B76" s="525" t="s">
        <v>56</v>
      </c>
      <c r="C76" s="525" t="s">
        <v>147</v>
      </c>
      <c r="D76" s="525" t="s">
        <v>172</v>
      </c>
      <c r="E76" s="526" t="s">
        <v>548</v>
      </c>
      <c r="F76" s="530">
        <v>45278</v>
      </c>
      <c r="G76" s="525" t="s">
        <v>553</v>
      </c>
      <c r="H76" s="527">
        <v>13100</v>
      </c>
      <c r="I76" s="528">
        <f>IF(X76 = 64, H76 + SUM(S76:S76) - SUM(T76:T76) - SUM(P76:P76) - V76,0)</f>
        <v>0</v>
      </c>
      <c r="J76" s="525" t="s">
        <v>552</v>
      </c>
      <c r="K76" s="525" t="s">
        <v>551</v>
      </c>
      <c r="L76" s="525" t="s">
        <v>147</v>
      </c>
      <c r="M76" s="529" t="s">
        <v>550</v>
      </c>
      <c r="N76" s="530">
        <v>45278</v>
      </c>
      <c r="O76" s="530" t="s">
        <v>549</v>
      </c>
      <c r="P76" s="527">
        <v>13100</v>
      </c>
      <c r="Q76" s="529">
        <v>45288</v>
      </c>
      <c r="R76" s="532"/>
      <c r="S76" s="533"/>
      <c r="T76" s="533"/>
      <c r="U76" s="533"/>
      <c r="V76" s="534"/>
      <c r="W76" s="531" t="s">
        <v>437</v>
      </c>
      <c r="X76" s="83">
        <v>64</v>
      </c>
    </row>
    <row r="77" spans="1:24" s="83" customFormat="1" ht="75" x14ac:dyDescent="0.25">
      <c r="A77" s="554">
        <v>63</v>
      </c>
      <c r="B77" s="525" t="s">
        <v>56</v>
      </c>
      <c r="C77" s="525" t="s">
        <v>147</v>
      </c>
      <c r="D77" s="525" t="s">
        <v>172</v>
      </c>
      <c r="E77" s="526" t="s">
        <v>554</v>
      </c>
      <c r="F77" s="530">
        <v>45278</v>
      </c>
      <c r="G77" s="525" t="s">
        <v>555</v>
      </c>
      <c r="H77" s="527">
        <v>7800</v>
      </c>
      <c r="I77" s="528">
        <f>IF(X77 = 65, H77 + SUM(S77:S77) - SUM(T77:T77) - SUM(P77:P77) - V77,0)</f>
        <v>0</v>
      </c>
      <c r="J77" s="525" t="s">
        <v>556</v>
      </c>
      <c r="K77" s="525" t="s">
        <v>394</v>
      </c>
      <c r="L77" s="525" t="s">
        <v>147</v>
      </c>
      <c r="M77" s="529" t="s">
        <v>398</v>
      </c>
      <c r="N77" s="530">
        <v>45278</v>
      </c>
      <c r="O77" s="530" t="s">
        <v>399</v>
      </c>
      <c r="P77" s="527">
        <v>7800</v>
      </c>
      <c r="Q77" s="529">
        <v>45279</v>
      </c>
      <c r="R77" s="532"/>
      <c r="S77" s="533"/>
      <c r="T77" s="533"/>
      <c r="U77" s="533"/>
      <c r="V77" s="534"/>
      <c r="W77" s="523"/>
      <c r="X77" s="83">
        <v>65</v>
      </c>
    </row>
    <row r="78" spans="1:24" s="83" customFormat="1" ht="75" x14ac:dyDescent="0.25">
      <c r="A78" s="554">
        <v>64</v>
      </c>
      <c r="B78" s="525" t="s">
        <v>56</v>
      </c>
      <c r="C78" s="525" t="s">
        <v>147</v>
      </c>
      <c r="D78" s="525" t="s">
        <v>172</v>
      </c>
      <c r="E78" s="526" t="s">
        <v>177</v>
      </c>
      <c r="F78" s="530">
        <v>45282</v>
      </c>
      <c r="G78" s="525" t="s">
        <v>558</v>
      </c>
      <c r="H78" s="527">
        <v>7000</v>
      </c>
      <c r="I78" s="528">
        <f>IF(X78 = 66, H78 + SUM(S78:S78) - SUM(T78:T78) - SUM(P78:P78) - V78,0)</f>
        <v>0</v>
      </c>
      <c r="J78" s="525" t="s">
        <v>282</v>
      </c>
      <c r="K78" s="525" t="s">
        <v>557</v>
      </c>
      <c r="L78" s="525" t="s">
        <v>147</v>
      </c>
      <c r="M78" s="529" t="s">
        <v>416</v>
      </c>
      <c r="N78" s="530">
        <v>45285</v>
      </c>
      <c r="O78" s="530" t="s">
        <v>559</v>
      </c>
      <c r="P78" s="527">
        <v>7000</v>
      </c>
      <c r="Q78" s="529">
        <v>45285</v>
      </c>
      <c r="R78" s="532"/>
      <c r="S78" s="533"/>
      <c r="T78" s="533"/>
      <c r="U78" s="533"/>
      <c r="V78" s="534"/>
      <c r="W78" s="523"/>
      <c r="X78" s="83">
        <v>66</v>
      </c>
    </row>
    <row r="79" spans="1:24" s="83" customFormat="1" ht="75" x14ac:dyDescent="0.25">
      <c r="A79" s="554">
        <v>65</v>
      </c>
      <c r="B79" s="525" t="s">
        <v>56</v>
      </c>
      <c r="C79" s="525" t="s">
        <v>147</v>
      </c>
      <c r="D79" s="525" t="s">
        <v>172</v>
      </c>
      <c r="E79" s="526" t="s">
        <v>177</v>
      </c>
      <c r="F79" s="530">
        <v>45282</v>
      </c>
      <c r="G79" s="525" t="s">
        <v>560</v>
      </c>
      <c r="H79" s="527">
        <v>3880</v>
      </c>
      <c r="I79" s="528">
        <f>IF(X79 = 67, H79 + SUM(S79:S79) - SUM(T79:T79) - SUM(P79:P79) - V79,0)</f>
        <v>0</v>
      </c>
      <c r="J79" s="525" t="s">
        <v>282</v>
      </c>
      <c r="K79" s="525" t="s">
        <v>557</v>
      </c>
      <c r="L79" s="525" t="s">
        <v>147</v>
      </c>
      <c r="M79" s="529" t="s">
        <v>283</v>
      </c>
      <c r="N79" s="530">
        <v>45285</v>
      </c>
      <c r="O79" s="530" t="s">
        <v>285</v>
      </c>
      <c r="P79" s="527">
        <v>3880</v>
      </c>
      <c r="Q79" s="529">
        <v>45286</v>
      </c>
      <c r="R79" s="532"/>
      <c r="S79" s="533"/>
      <c r="T79" s="533"/>
      <c r="U79" s="533"/>
      <c r="V79" s="534"/>
      <c r="W79" s="566"/>
      <c r="X79" s="83">
        <v>67</v>
      </c>
    </row>
    <row r="80" spans="1:24" s="83" customFormat="1" ht="75" x14ac:dyDescent="0.25">
      <c r="A80" s="554">
        <v>66</v>
      </c>
      <c r="B80" s="525" t="s">
        <v>56</v>
      </c>
      <c r="C80" s="525" t="s">
        <v>147</v>
      </c>
      <c r="D80" s="525" t="s">
        <v>172</v>
      </c>
      <c r="E80" s="526" t="s">
        <v>177</v>
      </c>
      <c r="F80" s="530">
        <v>45282</v>
      </c>
      <c r="G80" s="525" t="s">
        <v>565</v>
      </c>
      <c r="H80" s="527">
        <v>150000</v>
      </c>
      <c r="I80" s="528">
        <f>IF(X80 = 68, H80 + SUM(S80:S80) - SUM(T80:T80) - SUM(P80:P80) - V80,0)</f>
        <v>0</v>
      </c>
      <c r="J80" s="525" t="s">
        <v>564</v>
      </c>
      <c r="K80" s="525" t="s">
        <v>562</v>
      </c>
      <c r="L80" s="525" t="s">
        <v>147</v>
      </c>
      <c r="M80" s="529" t="s">
        <v>561</v>
      </c>
      <c r="N80" s="530">
        <v>45282</v>
      </c>
      <c r="O80" s="530" t="s">
        <v>566</v>
      </c>
      <c r="P80" s="527">
        <v>150000</v>
      </c>
      <c r="Q80" s="529">
        <v>45286</v>
      </c>
      <c r="R80" s="532"/>
      <c r="S80" s="533"/>
      <c r="T80" s="533"/>
      <c r="U80" s="533"/>
      <c r="V80" s="534"/>
      <c r="W80" s="531" t="s">
        <v>563</v>
      </c>
      <c r="X80" s="83">
        <v>68</v>
      </c>
    </row>
    <row r="81" spans="1:24" s="83" customFormat="1" ht="56.25" x14ac:dyDescent="0.25">
      <c r="A81" s="554">
        <v>67</v>
      </c>
      <c r="B81" s="525" t="s">
        <v>56</v>
      </c>
      <c r="C81" s="525" t="s">
        <v>147</v>
      </c>
      <c r="D81" s="525" t="s">
        <v>172</v>
      </c>
      <c r="E81" s="526" t="s">
        <v>569</v>
      </c>
      <c r="F81" s="530">
        <v>45285</v>
      </c>
      <c r="G81" s="525" t="s">
        <v>570</v>
      </c>
      <c r="H81" s="527">
        <v>40110</v>
      </c>
      <c r="I81" s="528">
        <f>IF(X81 = 69, H81 + SUM(S81:S81) - SUM(T81:T81) - SUM(P81:P81) - V81,0)</f>
        <v>0</v>
      </c>
      <c r="J81" s="525" t="s">
        <v>362</v>
      </c>
      <c r="K81" s="525" t="s">
        <v>297</v>
      </c>
      <c r="L81" s="525" t="s">
        <v>147</v>
      </c>
      <c r="M81" s="529" t="s">
        <v>300</v>
      </c>
      <c r="N81" s="530">
        <v>45285</v>
      </c>
      <c r="O81" s="530" t="s">
        <v>299</v>
      </c>
      <c r="P81" s="527">
        <v>40110</v>
      </c>
      <c r="Q81" s="529">
        <v>45285</v>
      </c>
      <c r="R81" s="532"/>
      <c r="S81" s="533"/>
      <c r="T81" s="533"/>
      <c r="U81" s="533"/>
      <c r="V81" s="534"/>
      <c r="W81" s="523"/>
      <c r="X81" s="83">
        <v>69</v>
      </c>
    </row>
    <row r="82" spans="1:24" s="83" customFormat="1" ht="73.150000000000006" customHeight="1" x14ac:dyDescent="0.25">
      <c r="A82" s="554">
        <v>68</v>
      </c>
      <c r="B82" s="525" t="s">
        <v>56</v>
      </c>
      <c r="C82" s="525" t="s">
        <v>147</v>
      </c>
      <c r="D82" s="525" t="s">
        <v>172</v>
      </c>
      <c r="E82" s="526" t="s">
        <v>177</v>
      </c>
      <c r="F82" s="530">
        <v>45285</v>
      </c>
      <c r="G82" s="525" t="s">
        <v>571</v>
      </c>
      <c r="H82" s="527">
        <v>15315</v>
      </c>
      <c r="I82" s="528">
        <f>IF(X82 = 70, H82 + SUM(S82:S82) - SUM(T82:T82) - SUM(P82:P82) - V82,0)</f>
        <v>0</v>
      </c>
      <c r="J82" s="525" t="s">
        <v>282</v>
      </c>
      <c r="K82" s="525" t="s">
        <v>557</v>
      </c>
      <c r="L82" s="525" t="s">
        <v>147</v>
      </c>
      <c r="M82" s="529" t="s">
        <v>572</v>
      </c>
      <c r="N82" s="530">
        <v>45285</v>
      </c>
      <c r="O82" s="530" t="s">
        <v>559</v>
      </c>
      <c r="P82" s="527">
        <v>15315</v>
      </c>
      <c r="Q82" s="529">
        <v>45286</v>
      </c>
      <c r="R82" s="532"/>
      <c r="S82" s="533"/>
      <c r="T82" s="533"/>
      <c r="U82" s="533"/>
      <c r="V82" s="534"/>
      <c r="W82" s="523"/>
      <c r="X82" s="83">
        <v>70</v>
      </c>
    </row>
    <row r="83" spans="1:24" s="83" customFormat="1" ht="75" x14ac:dyDescent="0.25">
      <c r="A83" s="554">
        <v>69</v>
      </c>
      <c r="B83" s="525" t="s">
        <v>56</v>
      </c>
      <c r="C83" s="525" t="s">
        <v>147</v>
      </c>
      <c r="D83" s="525" t="s">
        <v>172</v>
      </c>
      <c r="E83" s="526" t="s">
        <v>177</v>
      </c>
      <c r="F83" s="530">
        <v>45285</v>
      </c>
      <c r="G83" s="525" t="s">
        <v>573</v>
      </c>
      <c r="H83" s="527">
        <v>13435</v>
      </c>
      <c r="I83" s="528">
        <f>IF(X83 = 71, H83 + SUM(S83:S83) - SUM(T83:T83) - SUM(P83:P83) - V83,0)</f>
        <v>0</v>
      </c>
      <c r="J83" s="525" t="s">
        <v>370</v>
      </c>
      <c r="K83" s="525" t="s">
        <v>368</v>
      </c>
      <c r="L83" s="525" t="s">
        <v>147</v>
      </c>
      <c r="M83" s="529" t="s">
        <v>561</v>
      </c>
      <c r="N83" s="530">
        <v>45285</v>
      </c>
      <c r="O83" s="530" t="s">
        <v>574</v>
      </c>
      <c r="P83" s="527">
        <v>13435</v>
      </c>
      <c r="Q83" s="529">
        <v>45285</v>
      </c>
      <c r="R83" s="532"/>
      <c r="S83" s="533"/>
      <c r="T83" s="533"/>
      <c r="U83" s="533"/>
      <c r="V83" s="534"/>
      <c r="W83" s="523"/>
      <c r="X83" s="83">
        <v>71</v>
      </c>
    </row>
    <row r="84" spans="1:24" x14ac:dyDescent="0.25">
      <c r="X84" s="2">
        <v>72</v>
      </c>
    </row>
  </sheetData>
  <sheetProtection algorithmName="SHA-512" hashValue="m5aow6nmVCyZDS0QLSk0zrNsxah+7xtVXGsnXkfxuLXAOIIrHYzGjQkUlnNyO4Lha1Nz+sjBvdnqgeUqyFE7dg==" saltValue="xFKRfWoENOL2+rMoxF/pkQ==" spinCount="100000" sheet="1" objects="1" scenarios="1" formatCells="0" formatColumns="0" formatRows="0"/>
  <mergeCells count="92">
    <mergeCell ref="W69:W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A69:A70"/>
    <mergeCell ref="O69:O70"/>
    <mergeCell ref="U69:U70"/>
    <mergeCell ref="B69:B70"/>
    <mergeCell ref="V69:V70"/>
    <mergeCell ref="C69:C70"/>
    <mergeCell ref="V63:V64"/>
    <mergeCell ref="C63:C64"/>
    <mergeCell ref="W63:W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A63:A64"/>
    <mergeCell ref="O63:O64"/>
    <mergeCell ref="U63:U64"/>
    <mergeCell ref="B63:B64"/>
    <mergeCell ref="O60:O62"/>
    <mergeCell ref="U60:U62"/>
    <mergeCell ref="V60:V62"/>
    <mergeCell ref="W60:W62"/>
    <mergeCell ref="D60:D62"/>
    <mergeCell ref="A60:A62"/>
    <mergeCell ref="B60:B62"/>
    <mergeCell ref="C60:C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W49:W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A49:A50"/>
    <mergeCell ref="O49:O50"/>
    <mergeCell ref="U49:U50"/>
    <mergeCell ref="B49:B50"/>
    <mergeCell ref="V49:V50"/>
    <mergeCell ref="C49:C50"/>
    <mergeCell ref="W13:W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A13:A14"/>
    <mergeCell ref="O13:O14"/>
    <mergeCell ref="U13:U14"/>
    <mergeCell ref="B13:B14"/>
    <mergeCell ref="V13:V14"/>
    <mergeCell ref="C13:C14"/>
    <mergeCell ref="A3:E3"/>
    <mergeCell ref="S2:U2"/>
    <mergeCell ref="N2:O2"/>
    <mergeCell ref="J4:K4"/>
    <mergeCell ref="M4:N4"/>
    <mergeCell ref="O4:P4"/>
    <mergeCell ref="K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12"/>
  <sheetViews>
    <sheetView showGridLines="0" tabSelected="1" zoomScale="50" zoomScaleNormal="50" workbookViewId="0">
      <pane ySplit="8" topLeftCell="A72" activePane="bottomLeft" state="frozen"/>
      <selection pane="bottomLeft" activeCell="G127" sqref="G127:G138"/>
    </sheetView>
  </sheetViews>
  <sheetFormatPr defaultColWidth="0" defaultRowHeight="18.75" x14ac:dyDescent="0.25"/>
  <cols>
    <col min="1" max="1" width="12" style="96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7"/>
      <c r="F2" s="923" t="s">
        <v>24</v>
      </c>
      <c r="G2" s="924"/>
      <c r="H2" s="78">
        <f>SUM(H9:H9999)</f>
        <v>3523174.14</v>
      </c>
      <c r="I2" s="67"/>
      <c r="N2" s="620" t="s">
        <v>137</v>
      </c>
      <c r="O2" s="622"/>
      <c r="P2" s="68">
        <f>SUM(P9:P9999)</f>
        <v>2651105.9900000002</v>
      </c>
      <c r="R2" s="67"/>
      <c r="S2" s="620" t="s">
        <v>45</v>
      </c>
      <c r="T2" s="621"/>
      <c r="U2" s="622"/>
      <c r="V2" s="69">
        <f>SUM(V9:V9999)</f>
        <v>348170.36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95" customFormat="1" ht="187.5" x14ac:dyDescent="0.25">
      <c r="A6" s="97" t="s">
        <v>8</v>
      </c>
      <c r="B6" s="97" t="s">
        <v>47</v>
      </c>
      <c r="C6" s="97" t="s">
        <v>144</v>
      </c>
      <c r="D6" s="97" t="s">
        <v>10</v>
      </c>
      <c r="E6" s="97" t="s">
        <v>1</v>
      </c>
      <c r="F6" s="97" t="s">
        <v>2</v>
      </c>
      <c r="G6" s="99" t="s">
        <v>3</v>
      </c>
      <c r="H6" s="97" t="s">
        <v>4</v>
      </c>
      <c r="I6" s="97" t="s">
        <v>22</v>
      </c>
      <c r="J6" s="100" t="s">
        <v>46</v>
      </c>
      <c r="K6" s="100" t="s">
        <v>5</v>
      </c>
      <c r="L6" s="97" t="s">
        <v>106</v>
      </c>
      <c r="M6" s="97" t="s">
        <v>39</v>
      </c>
      <c r="N6" s="99" t="s">
        <v>37</v>
      </c>
      <c r="O6" s="97" t="s">
        <v>6</v>
      </c>
      <c r="P6" s="100" t="s">
        <v>23</v>
      </c>
      <c r="Q6" s="99" t="s">
        <v>9</v>
      </c>
      <c r="R6" s="101" t="s">
        <v>40</v>
      </c>
      <c r="S6" s="101" t="s">
        <v>103</v>
      </c>
      <c r="T6" s="101" t="s">
        <v>104</v>
      </c>
      <c r="U6" s="102" t="s">
        <v>41</v>
      </c>
      <c r="V6" s="103" t="s">
        <v>43</v>
      </c>
      <c r="W6" s="104" t="s">
        <v>42</v>
      </c>
    </row>
    <row r="7" spans="1:24" s="95" customFormat="1" x14ac:dyDescent="0.25">
      <c r="A7" s="94" t="s">
        <v>36</v>
      </c>
      <c r="B7" s="94" t="s">
        <v>110</v>
      </c>
      <c r="C7" s="94" t="s">
        <v>111</v>
      </c>
      <c r="D7" s="94" t="s">
        <v>112</v>
      </c>
      <c r="E7" s="94" t="s">
        <v>113</v>
      </c>
      <c r="F7" s="94" t="s">
        <v>114</v>
      </c>
      <c r="G7" s="94" t="s">
        <v>115</v>
      </c>
      <c r="H7" s="94" t="s">
        <v>116</v>
      </c>
      <c r="I7" s="94" t="s">
        <v>117</v>
      </c>
      <c r="J7" s="94" t="s">
        <v>118</v>
      </c>
      <c r="K7" s="94" t="s">
        <v>119</v>
      </c>
      <c r="L7" s="94" t="s">
        <v>120</v>
      </c>
      <c r="M7" s="94" t="s">
        <v>121</v>
      </c>
      <c r="N7" s="94" t="s">
        <v>122</v>
      </c>
      <c r="O7" s="94" t="s">
        <v>123</v>
      </c>
      <c r="P7" s="94" t="s">
        <v>124</v>
      </c>
      <c r="Q7" s="94" t="s">
        <v>125</v>
      </c>
      <c r="R7" s="94" t="s">
        <v>126</v>
      </c>
      <c r="S7" s="94" t="s">
        <v>127</v>
      </c>
      <c r="T7" s="94" t="s">
        <v>128</v>
      </c>
      <c r="U7" s="94" t="s">
        <v>129</v>
      </c>
      <c r="V7" s="94" t="s">
        <v>130</v>
      </c>
      <c r="W7" s="94" t="s">
        <v>131</v>
      </c>
    </row>
    <row r="8" spans="1:24" s="14" customFormat="1" ht="131.25" hidden="1" x14ac:dyDescent="0.25">
      <c r="A8" s="98" t="s">
        <v>36</v>
      </c>
      <c r="B8" s="21" t="s">
        <v>56</v>
      </c>
      <c r="C8" s="21"/>
      <c r="D8" s="21" t="s">
        <v>58</v>
      </c>
      <c r="E8" s="21" t="s">
        <v>57</v>
      </c>
      <c r="F8" s="58">
        <v>43839</v>
      </c>
      <c r="G8" s="20" t="s">
        <v>59</v>
      </c>
      <c r="H8" s="19">
        <v>20000</v>
      </c>
      <c r="I8" s="19">
        <v>0</v>
      </c>
      <c r="J8" s="57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3" customFormat="1" ht="40.5" customHeight="1" x14ac:dyDescent="0.25">
      <c r="A9" s="950">
        <v>1</v>
      </c>
      <c r="B9" s="1166" t="s">
        <v>56</v>
      </c>
      <c r="C9" s="1166" t="s">
        <v>147</v>
      </c>
      <c r="D9" s="1166" t="s">
        <v>198</v>
      </c>
      <c r="E9" s="1166" t="s">
        <v>148</v>
      </c>
      <c r="F9" s="952">
        <v>44917</v>
      </c>
      <c r="G9" s="1172" t="s">
        <v>149</v>
      </c>
      <c r="H9" s="954">
        <v>182437.9</v>
      </c>
      <c r="I9" s="1174">
        <f>IF(X9 = 1, H9 + SUM(S9:S21) - SUM(T9:T21) - SUM(P9:P21) - V9,0)</f>
        <v>-1.7450929590268061E-11</v>
      </c>
      <c r="J9" s="1176">
        <v>2308070396</v>
      </c>
      <c r="K9" s="1178" t="s">
        <v>150</v>
      </c>
      <c r="L9" s="1166" t="s">
        <v>147</v>
      </c>
      <c r="M9" s="1166" t="s">
        <v>151</v>
      </c>
      <c r="N9" s="468">
        <v>44935</v>
      </c>
      <c r="O9" s="952" t="s">
        <v>197</v>
      </c>
      <c r="P9" s="463">
        <v>17991.97</v>
      </c>
      <c r="Q9" s="462">
        <v>44939</v>
      </c>
      <c r="R9" s="461" t="s">
        <v>504</v>
      </c>
      <c r="S9" s="463">
        <v>18243.79</v>
      </c>
      <c r="T9" s="464"/>
      <c r="U9" s="954" t="s">
        <v>579</v>
      </c>
      <c r="V9" s="1168">
        <v>481.95</v>
      </c>
      <c r="W9" s="1170"/>
      <c r="X9" s="83">
        <v>1</v>
      </c>
    </row>
    <row r="10" spans="1:24" x14ac:dyDescent="0.25">
      <c r="A10" s="951"/>
      <c r="B10" s="1167"/>
      <c r="C10" s="1167"/>
      <c r="D10" s="1167"/>
      <c r="E10" s="1167"/>
      <c r="F10" s="953"/>
      <c r="G10" s="1173"/>
      <c r="H10" s="955"/>
      <c r="I10" s="1175"/>
      <c r="J10" s="1177"/>
      <c r="K10" s="1179"/>
      <c r="L10" s="1167"/>
      <c r="M10" s="1167"/>
      <c r="N10" s="469"/>
      <c r="O10" s="953"/>
      <c r="P10" s="465"/>
      <c r="Q10" s="466">
        <v>44952</v>
      </c>
      <c r="R10" s="559"/>
      <c r="S10" s="467"/>
      <c r="T10" s="467"/>
      <c r="U10" s="955"/>
      <c r="V10" s="1169"/>
      <c r="W10" s="1171"/>
      <c r="X10" s="2">
        <v>1</v>
      </c>
    </row>
    <row r="11" spans="1:24" ht="33.75" customHeight="1" x14ac:dyDescent="0.25">
      <c r="A11" s="951"/>
      <c r="B11" s="1167"/>
      <c r="C11" s="1167"/>
      <c r="D11" s="1167"/>
      <c r="E11" s="1167"/>
      <c r="F11" s="953"/>
      <c r="G11" s="1173"/>
      <c r="H11" s="955"/>
      <c r="I11" s="1175"/>
      <c r="J11" s="1177"/>
      <c r="K11" s="1179"/>
      <c r="L11" s="1167"/>
      <c r="M11" s="1167"/>
      <c r="N11" s="469">
        <v>44957</v>
      </c>
      <c r="O11" s="953"/>
      <c r="P11" s="465">
        <v>50576.36</v>
      </c>
      <c r="Q11" s="466">
        <v>44966</v>
      </c>
      <c r="R11" s="559"/>
      <c r="S11" s="467"/>
      <c r="T11" s="467"/>
      <c r="U11" s="955"/>
      <c r="V11" s="1169"/>
      <c r="W11" s="1171"/>
      <c r="X11" s="2">
        <v>1</v>
      </c>
    </row>
    <row r="12" spans="1:24" ht="29.25" customHeight="1" x14ac:dyDescent="0.25">
      <c r="A12" s="951"/>
      <c r="B12" s="1167"/>
      <c r="C12" s="1167"/>
      <c r="D12" s="1167"/>
      <c r="E12" s="1167"/>
      <c r="F12" s="953"/>
      <c r="G12" s="1173"/>
      <c r="H12" s="955"/>
      <c r="I12" s="1175"/>
      <c r="J12" s="1177"/>
      <c r="K12" s="1179"/>
      <c r="L12" s="1167"/>
      <c r="M12" s="1167"/>
      <c r="N12" s="469">
        <v>44958</v>
      </c>
      <c r="O12" s="953"/>
      <c r="P12" s="465">
        <v>11222.64</v>
      </c>
      <c r="Q12" s="466">
        <v>44964</v>
      </c>
      <c r="R12" s="559"/>
      <c r="S12" s="467"/>
      <c r="T12" s="467"/>
      <c r="U12" s="955"/>
      <c r="V12" s="1169"/>
      <c r="W12" s="1171"/>
      <c r="X12" s="2">
        <v>1</v>
      </c>
    </row>
    <row r="13" spans="1:24" x14ac:dyDescent="0.25">
      <c r="A13" s="951"/>
      <c r="B13" s="1167"/>
      <c r="C13" s="1167"/>
      <c r="D13" s="1167"/>
      <c r="E13" s="1167"/>
      <c r="F13" s="953"/>
      <c r="G13" s="1173"/>
      <c r="H13" s="955"/>
      <c r="I13" s="1175"/>
      <c r="J13" s="1177"/>
      <c r="K13" s="1179"/>
      <c r="L13" s="1167"/>
      <c r="M13" s="1167"/>
      <c r="N13" s="469">
        <v>44995</v>
      </c>
      <c r="O13" s="953"/>
      <c r="P13" s="465">
        <v>55237.31</v>
      </c>
      <c r="Q13" s="466">
        <v>45005</v>
      </c>
      <c r="R13" s="559"/>
      <c r="S13" s="467"/>
      <c r="T13" s="467"/>
      <c r="U13" s="955"/>
      <c r="V13" s="1169"/>
      <c r="W13" s="1171"/>
      <c r="X13" s="2">
        <v>1</v>
      </c>
    </row>
    <row r="14" spans="1:24" ht="33.75" customHeight="1" x14ac:dyDescent="0.25">
      <c r="A14" s="951"/>
      <c r="B14" s="1167"/>
      <c r="C14" s="1167"/>
      <c r="D14" s="1167"/>
      <c r="E14" s="1167"/>
      <c r="F14" s="953"/>
      <c r="G14" s="1173"/>
      <c r="H14" s="955"/>
      <c r="I14" s="1175"/>
      <c r="J14" s="1177"/>
      <c r="K14" s="1179"/>
      <c r="L14" s="1167"/>
      <c r="M14" s="1167"/>
      <c r="N14" s="469">
        <v>44986</v>
      </c>
      <c r="O14" s="953"/>
      <c r="P14" s="465">
        <v>11417.42</v>
      </c>
      <c r="Q14" s="466">
        <v>44988</v>
      </c>
      <c r="R14" s="559"/>
      <c r="S14" s="467"/>
      <c r="T14" s="467"/>
      <c r="U14" s="955"/>
      <c r="V14" s="1169"/>
      <c r="W14" s="1171"/>
      <c r="X14" s="2">
        <v>1</v>
      </c>
    </row>
    <row r="15" spans="1:24" ht="32.25" customHeight="1" x14ac:dyDescent="0.25">
      <c r="A15" s="951"/>
      <c r="B15" s="1167"/>
      <c r="C15" s="1167"/>
      <c r="D15" s="1167"/>
      <c r="E15" s="1167"/>
      <c r="F15" s="953"/>
      <c r="G15" s="1173"/>
      <c r="H15" s="955"/>
      <c r="I15" s="1175"/>
      <c r="J15" s="1177"/>
      <c r="K15" s="1179"/>
      <c r="L15" s="1167"/>
      <c r="M15" s="1167"/>
      <c r="N15" s="469">
        <v>45016</v>
      </c>
      <c r="O15" s="953"/>
      <c r="P15" s="465">
        <v>23267.24</v>
      </c>
      <c r="Q15" s="466">
        <v>45029</v>
      </c>
      <c r="R15" s="559"/>
      <c r="S15" s="467"/>
      <c r="T15" s="467"/>
      <c r="U15" s="955"/>
      <c r="V15" s="1169"/>
      <c r="W15" s="1171"/>
      <c r="X15" s="2">
        <v>1</v>
      </c>
    </row>
    <row r="16" spans="1:24" ht="36.75" customHeight="1" x14ac:dyDescent="0.25">
      <c r="A16" s="951"/>
      <c r="B16" s="1167"/>
      <c r="C16" s="1167"/>
      <c r="D16" s="1167"/>
      <c r="E16" s="1167"/>
      <c r="F16" s="953"/>
      <c r="G16" s="1173"/>
      <c r="H16" s="955"/>
      <c r="I16" s="1175"/>
      <c r="J16" s="1177"/>
      <c r="K16" s="1179"/>
      <c r="L16" s="1167"/>
      <c r="M16" s="1167"/>
      <c r="N16" s="469">
        <v>45017</v>
      </c>
      <c r="O16" s="953"/>
      <c r="P16" s="465">
        <v>7954.03</v>
      </c>
      <c r="Q16" s="466">
        <v>45027</v>
      </c>
      <c r="R16" s="559"/>
      <c r="S16" s="467"/>
      <c r="T16" s="467"/>
      <c r="U16" s="955"/>
      <c r="V16" s="1169"/>
      <c r="W16" s="1171"/>
      <c r="X16" s="2">
        <v>1</v>
      </c>
    </row>
    <row r="17" spans="1:24" x14ac:dyDescent="0.25">
      <c r="A17" s="951"/>
      <c r="B17" s="1167"/>
      <c r="C17" s="1167"/>
      <c r="D17" s="1167"/>
      <c r="E17" s="1167"/>
      <c r="F17" s="953"/>
      <c r="G17" s="1173"/>
      <c r="H17" s="955"/>
      <c r="I17" s="1175"/>
      <c r="J17" s="1177"/>
      <c r="K17" s="1179"/>
      <c r="L17" s="1167"/>
      <c r="M17" s="1167"/>
      <c r="N17" s="469">
        <v>45222</v>
      </c>
      <c r="O17" s="953"/>
      <c r="P17" s="465">
        <v>4495.9799999999996</v>
      </c>
      <c r="Q17" s="466"/>
      <c r="R17" s="559"/>
      <c r="S17" s="467"/>
      <c r="T17" s="467"/>
      <c r="U17" s="955"/>
      <c r="V17" s="1169"/>
      <c r="W17" s="1171"/>
      <c r="X17" s="2">
        <v>1</v>
      </c>
    </row>
    <row r="18" spans="1:24" x14ac:dyDescent="0.25">
      <c r="A18" s="951"/>
      <c r="B18" s="1167"/>
      <c r="C18" s="1167"/>
      <c r="D18" s="1167"/>
      <c r="E18" s="1167"/>
      <c r="F18" s="953"/>
      <c r="G18" s="1173"/>
      <c r="H18" s="955"/>
      <c r="I18" s="1175"/>
      <c r="J18" s="1177"/>
      <c r="K18" s="1179"/>
      <c r="L18" s="1167"/>
      <c r="M18" s="1167"/>
      <c r="N18" s="469">
        <v>45230</v>
      </c>
      <c r="O18" s="953"/>
      <c r="P18" s="465">
        <v>0</v>
      </c>
      <c r="Q18" s="466"/>
      <c r="R18" s="559"/>
      <c r="S18" s="467"/>
      <c r="T18" s="467"/>
      <c r="U18" s="955"/>
      <c r="V18" s="1169"/>
      <c r="W18" s="1171"/>
      <c r="X18" s="2">
        <v>1</v>
      </c>
    </row>
    <row r="19" spans="1:24" x14ac:dyDescent="0.25">
      <c r="A19" s="951"/>
      <c r="B19" s="1167"/>
      <c r="C19" s="1167"/>
      <c r="D19" s="1167"/>
      <c r="E19" s="1167"/>
      <c r="F19" s="953"/>
      <c r="G19" s="1173"/>
      <c r="H19" s="955"/>
      <c r="I19" s="1175"/>
      <c r="J19" s="1177"/>
      <c r="K19" s="1179"/>
      <c r="L19" s="1167"/>
      <c r="M19" s="1167"/>
      <c r="N19" s="469">
        <v>45231</v>
      </c>
      <c r="O19" s="953"/>
      <c r="P19" s="465">
        <v>5870.13</v>
      </c>
      <c r="Q19" s="466"/>
      <c r="R19" s="559"/>
      <c r="S19" s="467"/>
      <c r="T19" s="467"/>
      <c r="U19" s="955"/>
      <c r="V19" s="1169"/>
      <c r="W19" s="1171"/>
      <c r="X19" s="2">
        <v>1</v>
      </c>
    </row>
    <row r="20" spans="1:24" x14ac:dyDescent="0.25">
      <c r="A20" s="951"/>
      <c r="B20" s="1167"/>
      <c r="C20" s="1167"/>
      <c r="D20" s="1167"/>
      <c r="E20" s="1167"/>
      <c r="F20" s="953"/>
      <c r="G20" s="1173"/>
      <c r="H20" s="955"/>
      <c r="I20" s="1175"/>
      <c r="J20" s="1177"/>
      <c r="K20" s="1179"/>
      <c r="L20" s="1167"/>
      <c r="M20" s="1167"/>
      <c r="N20" s="469">
        <v>45260</v>
      </c>
      <c r="O20" s="953"/>
      <c r="P20" s="465">
        <v>10221.540000000001</v>
      </c>
      <c r="Q20" s="466">
        <v>45268</v>
      </c>
      <c r="R20" s="559"/>
      <c r="S20" s="467"/>
      <c r="T20" s="467"/>
      <c r="U20" s="955"/>
      <c r="V20" s="1169"/>
      <c r="W20" s="1171"/>
      <c r="X20" s="2">
        <v>1</v>
      </c>
    </row>
    <row r="21" spans="1:24" x14ac:dyDescent="0.25">
      <c r="A21" s="951"/>
      <c r="B21" s="1167"/>
      <c r="C21" s="1167"/>
      <c r="D21" s="1167"/>
      <c r="E21" s="1167"/>
      <c r="F21" s="953"/>
      <c r="G21" s="1173"/>
      <c r="H21" s="955"/>
      <c r="I21" s="1175"/>
      <c r="J21" s="1177"/>
      <c r="K21" s="1179"/>
      <c r="L21" s="1167"/>
      <c r="M21" s="1167"/>
      <c r="N21" s="469">
        <v>45280</v>
      </c>
      <c r="O21" s="953"/>
      <c r="P21" s="465">
        <v>1945.12</v>
      </c>
      <c r="Q21" s="466">
        <v>45282</v>
      </c>
      <c r="R21" s="559"/>
      <c r="S21" s="467"/>
      <c r="T21" s="467"/>
      <c r="U21" s="955"/>
      <c r="V21" s="1169"/>
      <c r="W21" s="1171"/>
      <c r="X21" s="2">
        <v>1</v>
      </c>
    </row>
    <row r="22" spans="1:24" s="83" customFormat="1" ht="64.5" customHeight="1" x14ac:dyDescent="0.25">
      <c r="A22" s="925">
        <v>2</v>
      </c>
      <c r="B22" s="932" t="s">
        <v>56</v>
      </c>
      <c r="C22" s="932" t="s">
        <v>147</v>
      </c>
      <c r="D22" s="932" t="s">
        <v>198</v>
      </c>
      <c r="E22" s="932" t="s">
        <v>152</v>
      </c>
      <c r="F22" s="928">
        <v>44925</v>
      </c>
      <c r="G22" s="960" t="s">
        <v>153</v>
      </c>
      <c r="H22" s="962">
        <v>301813</v>
      </c>
      <c r="I22" s="964">
        <f>IF(X22 = 2, H22 + SUM(S22:S28) - SUM(T22:T28) - SUM(P22:P28) - V22,0)</f>
        <v>0</v>
      </c>
      <c r="J22" s="966">
        <v>2308119595</v>
      </c>
      <c r="K22" s="968" t="s">
        <v>154</v>
      </c>
      <c r="L22" s="932" t="s">
        <v>147</v>
      </c>
      <c r="M22" s="932" t="s">
        <v>151</v>
      </c>
      <c r="N22" s="84">
        <v>44927</v>
      </c>
      <c r="O22" s="928" t="s">
        <v>155</v>
      </c>
      <c r="P22" s="85">
        <v>10324.98</v>
      </c>
      <c r="Q22" s="86">
        <v>44952</v>
      </c>
      <c r="R22" s="87" t="s">
        <v>331</v>
      </c>
      <c r="S22" s="85">
        <v>8830.7900000000009</v>
      </c>
      <c r="T22" s="270"/>
      <c r="U22" s="930"/>
      <c r="V22" s="956"/>
      <c r="W22" s="958"/>
      <c r="X22" s="83">
        <v>2</v>
      </c>
    </row>
    <row r="23" spans="1:24" ht="60.75" customHeight="1" x14ac:dyDescent="0.25">
      <c r="A23" s="926"/>
      <c r="B23" s="933"/>
      <c r="C23" s="933"/>
      <c r="D23" s="933"/>
      <c r="E23" s="933"/>
      <c r="F23" s="929"/>
      <c r="G23" s="961"/>
      <c r="H23" s="963"/>
      <c r="I23" s="965"/>
      <c r="J23" s="967"/>
      <c r="K23" s="969"/>
      <c r="L23" s="933"/>
      <c r="M23" s="933"/>
      <c r="N23" s="91">
        <v>44927</v>
      </c>
      <c r="O23" s="929"/>
      <c r="P23" s="92">
        <v>14190.96</v>
      </c>
      <c r="Q23" s="93">
        <v>44952</v>
      </c>
      <c r="R23" s="271"/>
      <c r="S23" s="269"/>
      <c r="T23" s="269"/>
      <c r="U23" s="931"/>
      <c r="V23" s="957"/>
      <c r="W23" s="959"/>
      <c r="X23" s="2">
        <v>2</v>
      </c>
    </row>
    <row r="24" spans="1:24" ht="51.75" customHeight="1" x14ac:dyDescent="0.25">
      <c r="A24" s="926"/>
      <c r="B24" s="933"/>
      <c r="C24" s="933"/>
      <c r="D24" s="933"/>
      <c r="E24" s="933"/>
      <c r="F24" s="929"/>
      <c r="G24" s="961"/>
      <c r="H24" s="963"/>
      <c r="I24" s="965"/>
      <c r="J24" s="967"/>
      <c r="K24" s="969"/>
      <c r="L24" s="933"/>
      <c r="M24" s="933"/>
      <c r="N24" s="91">
        <v>44957</v>
      </c>
      <c r="O24" s="929"/>
      <c r="P24" s="92">
        <v>124107.85</v>
      </c>
      <c r="Q24" s="93">
        <v>44988</v>
      </c>
      <c r="R24" s="271"/>
      <c r="S24" s="269"/>
      <c r="T24" s="269"/>
      <c r="U24" s="931"/>
      <c r="V24" s="957"/>
      <c r="W24" s="959"/>
      <c r="X24" s="2">
        <v>2</v>
      </c>
    </row>
    <row r="25" spans="1:24" ht="53.25" customHeight="1" x14ac:dyDescent="0.25">
      <c r="A25" s="926"/>
      <c r="B25" s="933"/>
      <c r="C25" s="933"/>
      <c r="D25" s="933"/>
      <c r="E25" s="933"/>
      <c r="F25" s="929"/>
      <c r="G25" s="961"/>
      <c r="H25" s="963"/>
      <c r="I25" s="965"/>
      <c r="J25" s="967"/>
      <c r="K25" s="969"/>
      <c r="L25" s="933"/>
      <c r="M25" s="933"/>
      <c r="N25" s="91">
        <v>44958</v>
      </c>
      <c r="O25" s="929"/>
      <c r="P25" s="92">
        <v>10643.22</v>
      </c>
      <c r="Q25" s="93">
        <v>44959</v>
      </c>
      <c r="R25" s="271"/>
      <c r="S25" s="269"/>
      <c r="T25" s="269"/>
      <c r="U25" s="931"/>
      <c r="V25" s="957"/>
      <c r="W25" s="959"/>
      <c r="X25" s="2">
        <v>2</v>
      </c>
    </row>
    <row r="26" spans="1:24" ht="59.25" customHeight="1" x14ac:dyDescent="0.25">
      <c r="A26" s="926"/>
      <c r="B26" s="933"/>
      <c r="C26" s="933"/>
      <c r="D26" s="933"/>
      <c r="E26" s="933"/>
      <c r="F26" s="929"/>
      <c r="G26" s="961"/>
      <c r="H26" s="963"/>
      <c r="I26" s="965"/>
      <c r="J26" s="967"/>
      <c r="K26" s="969"/>
      <c r="L26" s="933"/>
      <c r="M26" s="933"/>
      <c r="N26" s="91">
        <v>44985</v>
      </c>
      <c r="O26" s="929"/>
      <c r="P26" s="105">
        <v>73656.679999999993</v>
      </c>
      <c r="Q26" s="93">
        <v>45063</v>
      </c>
      <c r="R26" s="271"/>
      <c r="S26" s="269"/>
      <c r="T26" s="269"/>
      <c r="U26" s="931"/>
      <c r="V26" s="957"/>
      <c r="W26" s="959"/>
      <c r="X26" s="2">
        <v>2</v>
      </c>
    </row>
    <row r="27" spans="1:24" ht="48.75" customHeight="1" x14ac:dyDescent="0.25">
      <c r="A27" s="926"/>
      <c r="B27" s="933"/>
      <c r="C27" s="933"/>
      <c r="D27" s="933"/>
      <c r="E27" s="933"/>
      <c r="F27" s="929"/>
      <c r="G27" s="961"/>
      <c r="H27" s="963"/>
      <c r="I27" s="965"/>
      <c r="J27" s="967"/>
      <c r="K27" s="969"/>
      <c r="L27" s="933"/>
      <c r="M27" s="933"/>
      <c r="N27" s="91">
        <v>45016</v>
      </c>
      <c r="O27" s="929"/>
      <c r="P27" s="105">
        <v>41705</v>
      </c>
      <c r="Q27" s="93">
        <v>45063</v>
      </c>
      <c r="R27" s="271"/>
      <c r="S27" s="269"/>
      <c r="T27" s="269"/>
      <c r="U27" s="931"/>
      <c r="V27" s="957"/>
      <c r="W27" s="959"/>
      <c r="X27" s="2">
        <v>2</v>
      </c>
    </row>
    <row r="28" spans="1:24" ht="65.25" customHeight="1" x14ac:dyDescent="0.25">
      <c r="A28" s="926"/>
      <c r="B28" s="933"/>
      <c r="C28" s="933"/>
      <c r="D28" s="933"/>
      <c r="E28" s="933"/>
      <c r="F28" s="929"/>
      <c r="G28" s="961"/>
      <c r="H28" s="963"/>
      <c r="I28" s="965"/>
      <c r="J28" s="967"/>
      <c r="K28" s="969"/>
      <c r="L28" s="933"/>
      <c r="M28" s="933"/>
      <c r="N28" s="91">
        <v>45046</v>
      </c>
      <c r="O28" s="929"/>
      <c r="P28" s="105">
        <v>36015.1</v>
      </c>
      <c r="Q28" s="93">
        <v>45064</v>
      </c>
      <c r="R28" s="271"/>
      <c r="S28" s="269"/>
      <c r="T28" s="269"/>
      <c r="U28" s="931"/>
      <c r="V28" s="957"/>
      <c r="W28" s="959"/>
      <c r="X28" s="2">
        <v>2</v>
      </c>
    </row>
    <row r="29" spans="1:24" s="83" customFormat="1" ht="18" customHeight="1" x14ac:dyDescent="0.25">
      <c r="A29" s="925">
        <v>3</v>
      </c>
      <c r="B29" s="932" t="s">
        <v>56</v>
      </c>
      <c r="C29" s="932" t="s">
        <v>147</v>
      </c>
      <c r="D29" s="932" t="s">
        <v>172</v>
      </c>
      <c r="E29" s="932" t="s">
        <v>156</v>
      </c>
      <c r="F29" s="928">
        <v>44925</v>
      </c>
      <c r="G29" s="960" t="s">
        <v>157</v>
      </c>
      <c r="H29" s="962">
        <v>250000</v>
      </c>
      <c r="I29" s="964">
        <f>IF(X29 = 3, H29 + SUM(S29:S34) - SUM(T29:T34) - SUM(P29:P34) - V29,0)</f>
        <v>1.4551915228366852E-11</v>
      </c>
      <c r="J29" s="966">
        <v>7743529527</v>
      </c>
      <c r="K29" s="968" t="s">
        <v>158</v>
      </c>
      <c r="L29" s="932" t="s">
        <v>147</v>
      </c>
      <c r="M29" s="932" t="s">
        <v>159</v>
      </c>
      <c r="N29" s="84">
        <v>44963</v>
      </c>
      <c r="O29" s="928" t="s">
        <v>161</v>
      </c>
      <c r="P29" s="85">
        <v>21690</v>
      </c>
      <c r="Q29" s="86">
        <v>44964</v>
      </c>
      <c r="R29" s="286"/>
      <c r="S29" s="270"/>
      <c r="T29" s="270"/>
      <c r="U29" s="962" t="s">
        <v>344</v>
      </c>
      <c r="V29" s="979">
        <v>97465.01</v>
      </c>
      <c r="W29" s="970" t="s">
        <v>160</v>
      </c>
      <c r="X29" s="83">
        <v>3</v>
      </c>
    </row>
    <row r="30" spans="1:24" x14ac:dyDescent="0.25">
      <c r="A30" s="926"/>
      <c r="B30" s="933"/>
      <c r="C30" s="933"/>
      <c r="D30" s="933"/>
      <c r="E30" s="933"/>
      <c r="F30" s="929"/>
      <c r="G30" s="961"/>
      <c r="H30" s="963"/>
      <c r="I30" s="965"/>
      <c r="J30" s="967"/>
      <c r="K30" s="969"/>
      <c r="L30" s="933"/>
      <c r="M30" s="933"/>
      <c r="N30" s="91">
        <v>44991</v>
      </c>
      <c r="O30" s="929"/>
      <c r="P30" s="92">
        <v>30528</v>
      </c>
      <c r="Q30" s="93">
        <v>44994</v>
      </c>
      <c r="R30" s="271"/>
      <c r="S30" s="269"/>
      <c r="T30" s="269"/>
      <c r="U30" s="963"/>
      <c r="V30" s="980"/>
      <c r="W30" s="971"/>
      <c r="X30" s="2">
        <v>3</v>
      </c>
    </row>
    <row r="31" spans="1:24" x14ac:dyDescent="0.25">
      <c r="A31" s="926"/>
      <c r="B31" s="933"/>
      <c r="C31" s="933"/>
      <c r="D31" s="933"/>
      <c r="E31" s="933"/>
      <c r="F31" s="929"/>
      <c r="G31" s="961"/>
      <c r="H31" s="963"/>
      <c r="I31" s="965"/>
      <c r="J31" s="967"/>
      <c r="K31" s="969"/>
      <c r="L31" s="933"/>
      <c r="M31" s="933"/>
      <c r="N31" s="91">
        <v>45022</v>
      </c>
      <c r="O31" s="929"/>
      <c r="P31" s="92">
        <v>31249.99</v>
      </c>
      <c r="Q31" s="93">
        <v>45026</v>
      </c>
      <c r="R31" s="271"/>
      <c r="S31" s="269"/>
      <c r="T31" s="269"/>
      <c r="U31" s="963"/>
      <c r="V31" s="980"/>
      <c r="W31" s="971"/>
      <c r="X31" s="2">
        <v>3</v>
      </c>
    </row>
    <row r="32" spans="1:24" x14ac:dyDescent="0.25">
      <c r="A32" s="926"/>
      <c r="B32" s="933"/>
      <c r="C32" s="933"/>
      <c r="D32" s="933"/>
      <c r="E32" s="933"/>
      <c r="F32" s="929"/>
      <c r="G32" s="961"/>
      <c r="H32" s="963"/>
      <c r="I32" s="965"/>
      <c r="J32" s="967"/>
      <c r="K32" s="969"/>
      <c r="L32" s="933"/>
      <c r="M32" s="933"/>
      <c r="N32" s="91">
        <v>45051</v>
      </c>
      <c r="O32" s="929"/>
      <c r="P32" s="92">
        <v>31330</v>
      </c>
      <c r="Q32" s="93">
        <v>45051</v>
      </c>
      <c r="R32" s="271"/>
      <c r="S32" s="269"/>
      <c r="T32" s="269"/>
      <c r="U32" s="963"/>
      <c r="V32" s="980"/>
      <c r="W32" s="971"/>
      <c r="X32" s="2">
        <v>3</v>
      </c>
    </row>
    <row r="33" spans="1:24" x14ac:dyDescent="0.25">
      <c r="A33" s="926"/>
      <c r="B33" s="933"/>
      <c r="C33" s="933"/>
      <c r="D33" s="933"/>
      <c r="E33" s="933"/>
      <c r="F33" s="929"/>
      <c r="G33" s="961"/>
      <c r="H33" s="963"/>
      <c r="I33" s="965"/>
      <c r="J33" s="967"/>
      <c r="K33" s="969"/>
      <c r="L33" s="933"/>
      <c r="M33" s="933"/>
      <c r="N33" s="91">
        <v>45082</v>
      </c>
      <c r="O33" s="929"/>
      <c r="P33" s="92">
        <v>19280</v>
      </c>
      <c r="Q33" s="93">
        <v>45086</v>
      </c>
      <c r="R33" s="271"/>
      <c r="S33" s="269"/>
      <c r="T33" s="269"/>
      <c r="U33" s="963"/>
      <c r="V33" s="980"/>
      <c r="W33" s="971"/>
      <c r="X33" s="2">
        <v>3</v>
      </c>
    </row>
    <row r="34" spans="1:24" x14ac:dyDescent="0.25">
      <c r="A34" s="927"/>
      <c r="B34" s="934"/>
      <c r="C34" s="934"/>
      <c r="D34" s="934"/>
      <c r="E34" s="934"/>
      <c r="F34" s="973"/>
      <c r="G34" s="974"/>
      <c r="H34" s="975"/>
      <c r="I34" s="976"/>
      <c r="J34" s="977"/>
      <c r="K34" s="978"/>
      <c r="L34" s="934"/>
      <c r="M34" s="934"/>
      <c r="N34" s="88">
        <v>45112</v>
      </c>
      <c r="O34" s="973"/>
      <c r="P34" s="89">
        <v>18457</v>
      </c>
      <c r="Q34" s="90">
        <v>45113</v>
      </c>
      <c r="R34" s="287"/>
      <c r="S34" s="288"/>
      <c r="T34" s="288"/>
      <c r="U34" s="975"/>
      <c r="V34" s="981"/>
      <c r="W34" s="972"/>
      <c r="X34" s="2">
        <v>3</v>
      </c>
    </row>
    <row r="35" spans="1:24" s="83" customFormat="1" ht="22.5" customHeight="1" x14ac:dyDescent="0.25">
      <c r="A35" s="938">
        <v>4</v>
      </c>
      <c r="B35" s="947" t="s">
        <v>56</v>
      </c>
      <c r="C35" s="947" t="s">
        <v>147</v>
      </c>
      <c r="D35" s="947"/>
      <c r="E35" s="947" t="s">
        <v>173</v>
      </c>
      <c r="F35" s="941">
        <v>44946</v>
      </c>
      <c r="G35" s="988" t="s">
        <v>174</v>
      </c>
      <c r="H35" s="944">
        <v>3600</v>
      </c>
      <c r="I35" s="991">
        <f>IF(X35 = 4, H35 + SUM(S35:S38) - SUM(T35:T38) - SUM(P35:P38) - V35,0)</f>
        <v>900</v>
      </c>
      <c r="J35" s="994">
        <v>2369000660</v>
      </c>
      <c r="K35" s="997" t="s">
        <v>175</v>
      </c>
      <c r="L35" s="947" t="s">
        <v>147</v>
      </c>
      <c r="M35" s="947" t="s">
        <v>151</v>
      </c>
      <c r="N35" s="107">
        <v>45016</v>
      </c>
      <c r="O35" s="941" t="s">
        <v>176</v>
      </c>
      <c r="P35" s="108">
        <v>900</v>
      </c>
      <c r="Q35" s="109">
        <v>45026</v>
      </c>
      <c r="R35" s="110"/>
      <c r="S35" s="108"/>
      <c r="T35" s="108"/>
      <c r="U35" s="944"/>
      <c r="V35" s="1000"/>
      <c r="W35" s="985"/>
      <c r="X35" s="83">
        <v>4</v>
      </c>
    </row>
    <row r="36" spans="1:24" x14ac:dyDescent="0.25">
      <c r="A36" s="939"/>
      <c r="B36" s="948"/>
      <c r="C36" s="948"/>
      <c r="D36" s="948"/>
      <c r="E36" s="948"/>
      <c r="F36" s="942"/>
      <c r="G36" s="989"/>
      <c r="H36" s="945"/>
      <c r="I36" s="992"/>
      <c r="J36" s="995"/>
      <c r="K36" s="998"/>
      <c r="L36" s="948"/>
      <c r="M36" s="948"/>
      <c r="N36" s="115">
        <v>45107</v>
      </c>
      <c r="O36" s="942"/>
      <c r="P36" s="116">
        <v>900</v>
      </c>
      <c r="Q36" s="117">
        <v>45113</v>
      </c>
      <c r="R36" s="118"/>
      <c r="S36" s="116"/>
      <c r="T36" s="116"/>
      <c r="U36" s="945"/>
      <c r="V36" s="1001"/>
      <c r="W36" s="986"/>
      <c r="X36" s="2">
        <v>4</v>
      </c>
    </row>
    <row r="37" spans="1:24" x14ac:dyDescent="0.25">
      <c r="A37" s="939"/>
      <c r="B37" s="948"/>
      <c r="C37" s="948"/>
      <c r="D37" s="948"/>
      <c r="E37" s="948"/>
      <c r="F37" s="942"/>
      <c r="G37" s="989"/>
      <c r="H37" s="945"/>
      <c r="I37" s="992"/>
      <c r="J37" s="995"/>
      <c r="K37" s="998"/>
      <c r="L37" s="948"/>
      <c r="M37" s="948"/>
      <c r="N37" s="115">
        <v>45199</v>
      </c>
      <c r="O37" s="942"/>
      <c r="P37" s="116">
        <v>900</v>
      </c>
      <c r="Q37" s="117">
        <v>45209</v>
      </c>
      <c r="R37" s="118"/>
      <c r="S37" s="116"/>
      <c r="T37" s="116"/>
      <c r="U37" s="945"/>
      <c r="V37" s="1001"/>
      <c r="W37" s="986"/>
      <c r="X37" s="2">
        <v>4</v>
      </c>
    </row>
    <row r="38" spans="1:24" x14ac:dyDescent="0.25">
      <c r="A38" s="940"/>
      <c r="B38" s="949"/>
      <c r="C38" s="949"/>
      <c r="D38" s="949"/>
      <c r="E38" s="949"/>
      <c r="F38" s="943"/>
      <c r="G38" s="990"/>
      <c r="H38" s="946"/>
      <c r="I38" s="993"/>
      <c r="J38" s="996"/>
      <c r="K38" s="999"/>
      <c r="L38" s="949"/>
      <c r="M38" s="949"/>
      <c r="N38" s="111"/>
      <c r="O38" s="943"/>
      <c r="P38" s="112"/>
      <c r="Q38" s="113"/>
      <c r="R38" s="114"/>
      <c r="S38" s="112"/>
      <c r="T38" s="112"/>
      <c r="U38" s="946"/>
      <c r="V38" s="1002"/>
      <c r="W38" s="987"/>
      <c r="X38" s="2">
        <v>4</v>
      </c>
    </row>
    <row r="39" spans="1:24" s="83" customFormat="1" x14ac:dyDescent="0.25">
      <c r="A39" s="914">
        <v>5</v>
      </c>
      <c r="B39" s="917" t="s">
        <v>56</v>
      </c>
      <c r="C39" s="917" t="s">
        <v>147</v>
      </c>
      <c r="D39" s="917" t="s">
        <v>172</v>
      </c>
      <c r="E39" s="917" t="s">
        <v>184</v>
      </c>
      <c r="F39" s="920">
        <v>44946</v>
      </c>
      <c r="G39" s="1009" t="s">
        <v>185</v>
      </c>
      <c r="H39" s="1012">
        <v>27331.200000000001</v>
      </c>
      <c r="I39" s="1015">
        <f>IF(X39 = 5, H39 + SUM(S39:S50) - SUM(T39:T50) - SUM(P39:P50) - V39,0)</f>
        <v>7.2759576141834259E-12</v>
      </c>
      <c r="J39" s="1018">
        <v>2310163739</v>
      </c>
      <c r="K39" s="1021" t="s">
        <v>183</v>
      </c>
      <c r="L39" s="917" t="s">
        <v>147</v>
      </c>
      <c r="M39" s="917" t="s">
        <v>151</v>
      </c>
      <c r="N39" s="127">
        <v>44967</v>
      </c>
      <c r="O39" s="920" t="s">
        <v>186</v>
      </c>
      <c r="P39" s="128">
        <v>2277.6</v>
      </c>
      <c r="Q39" s="129">
        <v>44986</v>
      </c>
      <c r="R39" s="560"/>
      <c r="S39" s="561"/>
      <c r="T39" s="561"/>
      <c r="U39" s="935"/>
      <c r="V39" s="1003"/>
      <c r="W39" s="1006"/>
      <c r="X39" s="83">
        <v>5</v>
      </c>
    </row>
    <row r="40" spans="1:24" x14ac:dyDescent="0.25">
      <c r="A40" s="915"/>
      <c r="B40" s="918"/>
      <c r="C40" s="918"/>
      <c r="D40" s="918"/>
      <c r="E40" s="918"/>
      <c r="F40" s="921"/>
      <c r="G40" s="1010"/>
      <c r="H40" s="1013"/>
      <c r="I40" s="1016"/>
      <c r="J40" s="1019"/>
      <c r="K40" s="1022"/>
      <c r="L40" s="918"/>
      <c r="M40" s="918"/>
      <c r="N40" s="133">
        <v>44985</v>
      </c>
      <c r="O40" s="921"/>
      <c r="P40" s="134">
        <v>2277.6</v>
      </c>
      <c r="Q40" s="135">
        <v>44986</v>
      </c>
      <c r="R40" s="562"/>
      <c r="S40" s="563"/>
      <c r="T40" s="563"/>
      <c r="U40" s="936"/>
      <c r="V40" s="1004"/>
      <c r="W40" s="1007"/>
      <c r="X40" s="2">
        <v>5</v>
      </c>
    </row>
    <row r="41" spans="1:24" x14ac:dyDescent="0.25">
      <c r="A41" s="915"/>
      <c r="B41" s="918"/>
      <c r="C41" s="918"/>
      <c r="D41" s="918"/>
      <c r="E41" s="918"/>
      <c r="F41" s="921"/>
      <c r="G41" s="1010"/>
      <c r="H41" s="1013"/>
      <c r="I41" s="1016"/>
      <c r="J41" s="1019"/>
      <c r="K41" s="1022"/>
      <c r="L41" s="918"/>
      <c r="M41" s="918"/>
      <c r="N41" s="133">
        <v>45016</v>
      </c>
      <c r="O41" s="921"/>
      <c r="P41" s="134">
        <v>2277.6</v>
      </c>
      <c r="Q41" s="135">
        <v>45027</v>
      </c>
      <c r="R41" s="562"/>
      <c r="S41" s="563"/>
      <c r="T41" s="563"/>
      <c r="U41" s="936"/>
      <c r="V41" s="1004"/>
      <c r="W41" s="1007"/>
      <c r="X41" s="2">
        <v>5</v>
      </c>
    </row>
    <row r="42" spans="1:24" x14ac:dyDescent="0.25">
      <c r="A42" s="915"/>
      <c r="B42" s="918"/>
      <c r="C42" s="918"/>
      <c r="D42" s="918"/>
      <c r="E42" s="918"/>
      <c r="F42" s="921"/>
      <c r="G42" s="1010"/>
      <c r="H42" s="1013"/>
      <c r="I42" s="1016"/>
      <c r="J42" s="1019"/>
      <c r="K42" s="1022"/>
      <c r="L42" s="918"/>
      <c r="M42" s="918"/>
      <c r="N42" s="133">
        <v>45044</v>
      </c>
      <c r="O42" s="921"/>
      <c r="P42" s="134">
        <v>2277.6</v>
      </c>
      <c r="Q42" s="135">
        <v>45049</v>
      </c>
      <c r="R42" s="562"/>
      <c r="S42" s="563"/>
      <c r="T42" s="563"/>
      <c r="U42" s="936"/>
      <c r="V42" s="1004"/>
      <c r="W42" s="1007"/>
      <c r="X42" s="2">
        <v>5</v>
      </c>
    </row>
    <row r="43" spans="1:24" x14ac:dyDescent="0.25">
      <c r="A43" s="915"/>
      <c r="B43" s="918"/>
      <c r="C43" s="918"/>
      <c r="D43" s="918"/>
      <c r="E43" s="918"/>
      <c r="F43" s="921"/>
      <c r="G43" s="1010"/>
      <c r="H43" s="1013"/>
      <c r="I43" s="1016"/>
      <c r="J43" s="1019"/>
      <c r="K43" s="1022"/>
      <c r="L43" s="918"/>
      <c r="M43" s="918"/>
      <c r="N43" s="133">
        <v>45077</v>
      </c>
      <c r="O43" s="921"/>
      <c r="P43" s="134">
        <v>2277.6</v>
      </c>
      <c r="Q43" s="135">
        <v>45086</v>
      </c>
      <c r="R43" s="562"/>
      <c r="S43" s="563"/>
      <c r="T43" s="563"/>
      <c r="U43" s="936"/>
      <c r="V43" s="1004"/>
      <c r="W43" s="1007"/>
      <c r="X43" s="2">
        <v>5</v>
      </c>
    </row>
    <row r="44" spans="1:24" x14ac:dyDescent="0.25">
      <c r="A44" s="915"/>
      <c r="B44" s="918"/>
      <c r="C44" s="918"/>
      <c r="D44" s="918"/>
      <c r="E44" s="918"/>
      <c r="F44" s="921"/>
      <c r="G44" s="1010"/>
      <c r="H44" s="1013"/>
      <c r="I44" s="1016"/>
      <c r="J44" s="1019"/>
      <c r="K44" s="1022"/>
      <c r="L44" s="918"/>
      <c r="M44" s="918"/>
      <c r="N44" s="133">
        <v>45107</v>
      </c>
      <c r="O44" s="921"/>
      <c r="P44" s="134">
        <v>2277.6</v>
      </c>
      <c r="Q44" s="135">
        <v>45113</v>
      </c>
      <c r="R44" s="562"/>
      <c r="S44" s="563"/>
      <c r="T44" s="563"/>
      <c r="U44" s="936"/>
      <c r="V44" s="1004"/>
      <c r="W44" s="1007"/>
      <c r="X44" s="2">
        <v>5</v>
      </c>
    </row>
    <row r="45" spans="1:24" x14ac:dyDescent="0.25">
      <c r="A45" s="915"/>
      <c r="B45" s="918"/>
      <c r="C45" s="918"/>
      <c r="D45" s="918"/>
      <c r="E45" s="918"/>
      <c r="F45" s="921"/>
      <c r="G45" s="1010"/>
      <c r="H45" s="1013"/>
      <c r="I45" s="1016"/>
      <c r="J45" s="1019"/>
      <c r="K45" s="1022"/>
      <c r="L45" s="918"/>
      <c r="M45" s="918"/>
      <c r="N45" s="133">
        <v>45138</v>
      </c>
      <c r="O45" s="921"/>
      <c r="P45" s="134">
        <v>2277.6</v>
      </c>
      <c r="Q45" s="135">
        <v>45139</v>
      </c>
      <c r="R45" s="562"/>
      <c r="S45" s="563"/>
      <c r="T45" s="563"/>
      <c r="U45" s="936"/>
      <c r="V45" s="1004"/>
      <c r="W45" s="1007"/>
      <c r="X45" s="2">
        <v>5</v>
      </c>
    </row>
    <row r="46" spans="1:24" x14ac:dyDescent="0.25">
      <c r="A46" s="915"/>
      <c r="B46" s="918"/>
      <c r="C46" s="918"/>
      <c r="D46" s="918"/>
      <c r="E46" s="918"/>
      <c r="F46" s="921"/>
      <c r="G46" s="1010"/>
      <c r="H46" s="1013"/>
      <c r="I46" s="1016"/>
      <c r="J46" s="1019"/>
      <c r="K46" s="1022"/>
      <c r="L46" s="918"/>
      <c r="M46" s="918"/>
      <c r="N46" s="133">
        <v>45169</v>
      </c>
      <c r="O46" s="921"/>
      <c r="P46" s="134">
        <v>2277.6</v>
      </c>
      <c r="Q46" s="135"/>
      <c r="R46" s="562"/>
      <c r="S46" s="563"/>
      <c r="T46" s="563"/>
      <c r="U46" s="936"/>
      <c r="V46" s="1004"/>
      <c r="W46" s="1007"/>
      <c r="X46" s="2">
        <v>5</v>
      </c>
    </row>
    <row r="47" spans="1:24" x14ac:dyDescent="0.25">
      <c r="A47" s="915"/>
      <c r="B47" s="918"/>
      <c r="C47" s="918"/>
      <c r="D47" s="918"/>
      <c r="E47" s="918"/>
      <c r="F47" s="921"/>
      <c r="G47" s="1010"/>
      <c r="H47" s="1013"/>
      <c r="I47" s="1016"/>
      <c r="J47" s="1019"/>
      <c r="K47" s="1022"/>
      <c r="L47" s="918"/>
      <c r="M47" s="918"/>
      <c r="N47" s="133">
        <v>45198</v>
      </c>
      <c r="O47" s="921"/>
      <c r="P47" s="134">
        <v>2277.6</v>
      </c>
      <c r="Q47" s="135">
        <v>45209</v>
      </c>
      <c r="R47" s="562"/>
      <c r="S47" s="563"/>
      <c r="T47" s="563"/>
      <c r="U47" s="936"/>
      <c r="V47" s="1004"/>
      <c r="W47" s="1007"/>
      <c r="X47" s="2">
        <v>5</v>
      </c>
    </row>
    <row r="48" spans="1:24" x14ac:dyDescent="0.25">
      <c r="A48" s="915"/>
      <c r="B48" s="918"/>
      <c r="C48" s="918"/>
      <c r="D48" s="918"/>
      <c r="E48" s="918"/>
      <c r="F48" s="921"/>
      <c r="G48" s="1010"/>
      <c r="H48" s="1013"/>
      <c r="I48" s="1016"/>
      <c r="J48" s="1019"/>
      <c r="K48" s="1022"/>
      <c r="L48" s="918"/>
      <c r="M48" s="918"/>
      <c r="N48" s="133">
        <v>45230</v>
      </c>
      <c r="O48" s="921"/>
      <c r="P48" s="134">
        <v>2277.6</v>
      </c>
      <c r="Q48" s="135"/>
      <c r="R48" s="562"/>
      <c r="S48" s="563"/>
      <c r="T48" s="563"/>
      <c r="U48" s="936"/>
      <c r="V48" s="1004"/>
      <c r="W48" s="1007"/>
      <c r="X48" s="2">
        <v>5</v>
      </c>
    </row>
    <row r="49" spans="1:24" x14ac:dyDescent="0.25">
      <c r="A49" s="915"/>
      <c r="B49" s="918"/>
      <c r="C49" s="918"/>
      <c r="D49" s="918"/>
      <c r="E49" s="918"/>
      <c r="F49" s="921"/>
      <c r="G49" s="1010"/>
      <c r="H49" s="1013"/>
      <c r="I49" s="1016"/>
      <c r="J49" s="1019"/>
      <c r="K49" s="1022"/>
      <c r="L49" s="918"/>
      <c r="M49" s="918"/>
      <c r="N49" s="133">
        <v>45260</v>
      </c>
      <c r="O49" s="921"/>
      <c r="P49" s="134">
        <v>2277.6</v>
      </c>
      <c r="Q49" s="135">
        <v>45268</v>
      </c>
      <c r="R49" s="562"/>
      <c r="S49" s="563"/>
      <c r="T49" s="563"/>
      <c r="U49" s="936"/>
      <c r="V49" s="1004"/>
      <c r="W49" s="1007"/>
      <c r="X49" s="2">
        <v>5</v>
      </c>
    </row>
    <row r="50" spans="1:24" x14ac:dyDescent="0.25">
      <c r="A50" s="916"/>
      <c r="B50" s="919"/>
      <c r="C50" s="919"/>
      <c r="D50" s="919"/>
      <c r="E50" s="919"/>
      <c r="F50" s="922"/>
      <c r="G50" s="1011"/>
      <c r="H50" s="1014"/>
      <c r="I50" s="1017"/>
      <c r="J50" s="1020"/>
      <c r="K50" s="1023"/>
      <c r="L50" s="919"/>
      <c r="M50" s="919"/>
      <c r="N50" s="130">
        <v>45280</v>
      </c>
      <c r="O50" s="922"/>
      <c r="P50" s="131">
        <v>2277.6</v>
      </c>
      <c r="Q50" s="132">
        <v>45286</v>
      </c>
      <c r="R50" s="564"/>
      <c r="S50" s="565"/>
      <c r="T50" s="565"/>
      <c r="U50" s="937"/>
      <c r="V50" s="1005"/>
      <c r="W50" s="1008"/>
      <c r="X50" s="2">
        <v>5</v>
      </c>
    </row>
    <row r="51" spans="1:24" s="83" customFormat="1" x14ac:dyDescent="0.25">
      <c r="A51" s="893">
        <v>6</v>
      </c>
      <c r="B51" s="890" t="s">
        <v>56</v>
      </c>
      <c r="C51" s="890" t="s">
        <v>147</v>
      </c>
      <c r="D51" s="890" t="s">
        <v>172</v>
      </c>
      <c r="E51" s="890" t="s">
        <v>191</v>
      </c>
      <c r="F51" s="896">
        <v>44946</v>
      </c>
      <c r="G51" s="899" t="s">
        <v>192</v>
      </c>
      <c r="H51" s="902">
        <v>4500</v>
      </c>
      <c r="I51" s="905">
        <f>IF(X51 = 6, H51 + SUM(S51:S62) - SUM(T51:T62) - SUM(P51:P62) - V51,0)</f>
        <v>358.36999999999989</v>
      </c>
      <c r="J51" s="908">
        <v>7707049388</v>
      </c>
      <c r="K51" s="911" t="s">
        <v>193</v>
      </c>
      <c r="L51" s="890" t="s">
        <v>147</v>
      </c>
      <c r="M51" s="890" t="s">
        <v>151</v>
      </c>
      <c r="N51" s="145">
        <v>44963</v>
      </c>
      <c r="O51" s="896" t="s">
        <v>194</v>
      </c>
      <c r="P51" s="146">
        <v>375.6</v>
      </c>
      <c r="Q51" s="147">
        <v>44965</v>
      </c>
      <c r="R51" s="148"/>
      <c r="S51" s="146"/>
      <c r="T51" s="146"/>
      <c r="U51" s="902"/>
      <c r="V51" s="884"/>
      <c r="W51" s="887" t="s">
        <v>160</v>
      </c>
      <c r="X51" s="83">
        <v>6</v>
      </c>
    </row>
    <row r="52" spans="1:24" x14ac:dyDescent="0.25">
      <c r="A52" s="894"/>
      <c r="B52" s="891"/>
      <c r="C52" s="891"/>
      <c r="D52" s="891"/>
      <c r="E52" s="891"/>
      <c r="F52" s="897"/>
      <c r="G52" s="900"/>
      <c r="H52" s="903"/>
      <c r="I52" s="906"/>
      <c r="J52" s="909"/>
      <c r="K52" s="912"/>
      <c r="L52" s="891"/>
      <c r="M52" s="891"/>
      <c r="N52" s="153">
        <v>44991</v>
      </c>
      <c r="O52" s="897"/>
      <c r="P52" s="154">
        <v>375.6</v>
      </c>
      <c r="Q52" s="155">
        <v>44994</v>
      </c>
      <c r="R52" s="156"/>
      <c r="S52" s="154"/>
      <c r="T52" s="154"/>
      <c r="U52" s="903"/>
      <c r="V52" s="885"/>
      <c r="W52" s="888"/>
      <c r="X52" s="2">
        <v>6</v>
      </c>
    </row>
    <row r="53" spans="1:24" x14ac:dyDescent="0.25">
      <c r="A53" s="894"/>
      <c r="B53" s="891"/>
      <c r="C53" s="891"/>
      <c r="D53" s="891"/>
      <c r="E53" s="891"/>
      <c r="F53" s="897"/>
      <c r="G53" s="900"/>
      <c r="H53" s="903"/>
      <c r="I53" s="906"/>
      <c r="J53" s="909"/>
      <c r="K53" s="912"/>
      <c r="L53" s="891"/>
      <c r="M53" s="891"/>
      <c r="N53" s="153">
        <v>45022</v>
      </c>
      <c r="O53" s="897"/>
      <c r="P53" s="154">
        <v>375.6</v>
      </c>
      <c r="Q53" s="155">
        <v>45027</v>
      </c>
      <c r="R53" s="156"/>
      <c r="S53" s="154"/>
      <c r="T53" s="154"/>
      <c r="U53" s="903"/>
      <c r="V53" s="885"/>
      <c r="W53" s="888"/>
      <c r="X53" s="2">
        <v>6</v>
      </c>
    </row>
    <row r="54" spans="1:24" x14ac:dyDescent="0.25">
      <c r="A54" s="894"/>
      <c r="B54" s="891"/>
      <c r="C54" s="891"/>
      <c r="D54" s="891"/>
      <c r="E54" s="891"/>
      <c r="F54" s="897"/>
      <c r="G54" s="900"/>
      <c r="H54" s="903"/>
      <c r="I54" s="906"/>
      <c r="J54" s="909"/>
      <c r="K54" s="912"/>
      <c r="L54" s="891"/>
      <c r="M54" s="891"/>
      <c r="N54" s="153">
        <v>45050</v>
      </c>
      <c r="O54" s="897"/>
      <c r="P54" s="154">
        <v>377.23</v>
      </c>
      <c r="Q54" s="155">
        <v>45051</v>
      </c>
      <c r="R54" s="156"/>
      <c r="S54" s="154"/>
      <c r="T54" s="154"/>
      <c r="U54" s="903"/>
      <c r="V54" s="885"/>
      <c r="W54" s="888"/>
      <c r="X54" s="2">
        <v>6</v>
      </c>
    </row>
    <row r="55" spans="1:24" x14ac:dyDescent="0.25">
      <c r="A55" s="894"/>
      <c r="B55" s="891"/>
      <c r="C55" s="891"/>
      <c r="D55" s="891"/>
      <c r="E55" s="891"/>
      <c r="F55" s="897"/>
      <c r="G55" s="900"/>
      <c r="H55" s="903"/>
      <c r="I55" s="906"/>
      <c r="J55" s="909"/>
      <c r="K55" s="912"/>
      <c r="L55" s="891"/>
      <c r="M55" s="891"/>
      <c r="N55" s="153">
        <v>45082</v>
      </c>
      <c r="O55" s="897"/>
      <c r="P55" s="154">
        <v>380.41</v>
      </c>
      <c r="Q55" s="155">
        <v>45086</v>
      </c>
      <c r="R55" s="156"/>
      <c r="S55" s="154"/>
      <c r="T55" s="154"/>
      <c r="U55" s="903"/>
      <c r="V55" s="885"/>
      <c r="W55" s="888"/>
      <c r="X55" s="2">
        <v>6</v>
      </c>
    </row>
    <row r="56" spans="1:24" x14ac:dyDescent="0.25">
      <c r="A56" s="894"/>
      <c r="B56" s="891"/>
      <c r="C56" s="891"/>
      <c r="D56" s="891"/>
      <c r="E56" s="891"/>
      <c r="F56" s="897"/>
      <c r="G56" s="900"/>
      <c r="H56" s="903"/>
      <c r="I56" s="906"/>
      <c r="J56" s="909"/>
      <c r="K56" s="912"/>
      <c r="L56" s="891"/>
      <c r="M56" s="891"/>
      <c r="N56" s="153">
        <v>45112</v>
      </c>
      <c r="O56" s="897"/>
      <c r="P56" s="154">
        <v>375.6</v>
      </c>
      <c r="Q56" s="155">
        <v>45113</v>
      </c>
      <c r="R56" s="156"/>
      <c r="S56" s="154"/>
      <c r="T56" s="154"/>
      <c r="U56" s="903"/>
      <c r="V56" s="885"/>
      <c r="W56" s="888"/>
      <c r="X56" s="2">
        <v>6</v>
      </c>
    </row>
    <row r="57" spans="1:24" x14ac:dyDescent="0.25">
      <c r="A57" s="894"/>
      <c r="B57" s="891"/>
      <c r="C57" s="891"/>
      <c r="D57" s="891"/>
      <c r="E57" s="891"/>
      <c r="F57" s="897"/>
      <c r="G57" s="900"/>
      <c r="H57" s="903"/>
      <c r="I57" s="906"/>
      <c r="J57" s="909"/>
      <c r="K57" s="912"/>
      <c r="L57" s="891"/>
      <c r="M57" s="891"/>
      <c r="N57" s="153">
        <v>45152</v>
      </c>
      <c r="O57" s="897"/>
      <c r="P57" s="154">
        <v>375.6</v>
      </c>
      <c r="Q57" s="155">
        <v>45155</v>
      </c>
      <c r="R57" s="156"/>
      <c r="S57" s="154"/>
      <c r="T57" s="154"/>
      <c r="U57" s="903"/>
      <c r="V57" s="885"/>
      <c r="W57" s="888"/>
      <c r="X57" s="2">
        <v>6</v>
      </c>
    </row>
    <row r="58" spans="1:24" x14ac:dyDescent="0.25">
      <c r="A58" s="894"/>
      <c r="B58" s="891"/>
      <c r="C58" s="891"/>
      <c r="D58" s="891"/>
      <c r="E58" s="891"/>
      <c r="F58" s="897"/>
      <c r="G58" s="900"/>
      <c r="H58" s="903"/>
      <c r="I58" s="906"/>
      <c r="J58" s="909"/>
      <c r="K58" s="912"/>
      <c r="L58" s="891"/>
      <c r="M58" s="891"/>
      <c r="N58" s="153">
        <v>45175</v>
      </c>
      <c r="O58" s="897"/>
      <c r="P58" s="154">
        <v>378.37</v>
      </c>
      <c r="Q58" s="155">
        <v>45177</v>
      </c>
      <c r="R58" s="156"/>
      <c r="S58" s="154"/>
      <c r="T58" s="154"/>
      <c r="U58" s="903"/>
      <c r="V58" s="885"/>
      <c r="W58" s="888"/>
      <c r="X58" s="2">
        <v>6</v>
      </c>
    </row>
    <row r="59" spans="1:24" x14ac:dyDescent="0.25">
      <c r="A59" s="894"/>
      <c r="B59" s="891"/>
      <c r="C59" s="891"/>
      <c r="D59" s="891"/>
      <c r="E59" s="891"/>
      <c r="F59" s="897"/>
      <c r="G59" s="900"/>
      <c r="H59" s="903"/>
      <c r="I59" s="906"/>
      <c r="J59" s="909"/>
      <c r="K59" s="912"/>
      <c r="L59" s="891"/>
      <c r="M59" s="891"/>
      <c r="N59" s="153">
        <v>45208</v>
      </c>
      <c r="O59" s="897"/>
      <c r="P59" s="154">
        <v>376.42</v>
      </c>
      <c r="Q59" s="155">
        <v>45209</v>
      </c>
      <c r="R59" s="156"/>
      <c r="S59" s="154"/>
      <c r="T59" s="154"/>
      <c r="U59" s="903"/>
      <c r="V59" s="885"/>
      <c r="W59" s="888"/>
      <c r="X59" s="2">
        <v>6</v>
      </c>
    </row>
    <row r="60" spans="1:24" x14ac:dyDescent="0.25">
      <c r="A60" s="894"/>
      <c r="B60" s="891"/>
      <c r="C60" s="891"/>
      <c r="D60" s="891"/>
      <c r="E60" s="891"/>
      <c r="F60" s="897"/>
      <c r="G60" s="900"/>
      <c r="H60" s="903"/>
      <c r="I60" s="906"/>
      <c r="J60" s="909"/>
      <c r="K60" s="912"/>
      <c r="L60" s="891"/>
      <c r="M60" s="891"/>
      <c r="N60" s="153">
        <v>45237</v>
      </c>
      <c r="O60" s="897"/>
      <c r="P60" s="154">
        <v>375.6</v>
      </c>
      <c r="Q60" s="155"/>
      <c r="R60" s="156"/>
      <c r="S60" s="154"/>
      <c r="T60" s="154"/>
      <c r="U60" s="903"/>
      <c r="V60" s="885"/>
      <c r="W60" s="888"/>
      <c r="X60" s="2">
        <v>6</v>
      </c>
    </row>
    <row r="61" spans="1:24" x14ac:dyDescent="0.25">
      <c r="A61" s="894"/>
      <c r="B61" s="891"/>
      <c r="C61" s="891"/>
      <c r="D61" s="891"/>
      <c r="E61" s="891"/>
      <c r="F61" s="897"/>
      <c r="G61" s="900"/>
      <c r="H61" s="903"/>
      <c r="I61" s="906"/>
      <c r="J61" s="909"/>
      <c r="K61" s="912"/>
      <c r="L61" s="891"/>
      <c r="M61" s="891"/>
      <c r="N61" s="153">
        <v>45267</v>
      </c>
      <c r="O61" s="897"/>
      <c r="P61" s="154">
        <v>375.6</v>
      </c>
      <c r="Q61" s="155"/>
      <c r="R61" s="156"/>
      <c r="S61" s="154"/>
      <c r="T61" s="154"/>
      <c r="U61" s="903"/>
      <c r="V61" s="885"/>
      <c r="W61" s="888"/>
      <c r="X61" s="2">
        <v>6</v>
      </c>
    </row>
    <row r="62" spans="1:24" x14ac:dyDescent="0.25">
      <c r="A62" s="895"/>
      <c r="B62" s="892"/>
      <c r="C62" s="892"/>
      <c r="D62" s="892"/>
      <c r="E62" s="892"/>
      <c r="F62" s="898"/>
      <c r="G62" s="901"/>
      <c r="H62" s="904"/>
      <c r="I62" s="907"/>
      <c r="J62" s="910"/>
      <c r="K62" s="913"/>
      <c r="L62" s="892"/>
      <c r="M62" s="892"/>
      <c r="N62" s="149"/>
      <c r="O62" s="898"/>
      <c r="P62" s="150"/>
      <c r="Q62" s="151"/>
      <c r="R62" s="152"/>
      <c r="S62" s="150"/>
      <c r="T62" s="150"/>
      <c r="U62" s="904"/>
      <c r="V62" s="886"/>
      <c r="W62" s="889"/>
      <c r="X62" s="2">
        <v>6</v>
      </c>
    </row>
    <row r="63" spans="1:24" s="83" customFormat="1" ht="75" x14ac:dyDescent="0.25">
      <c r="A63" s="136">
        <v>7</v>
      </c>
      <c r="B63" s="137" t="s">
        <v>56</v>
      </c>
      <c r="C63" s="137" t="s">
        <v>147</v>
      </c>
      <c r="D63" s="137"/>
      <c r="E63" s="137" t="s">
        <v>195</v>
      </c>
      <c r="F63" s="141">
        <v>44946</v>
      </c>
      <c r="G63" s="138" t="s">
        <v>196</v>
      </c>
      <c r="H63" s="139">
        <v>50</v>
      </c>
      <c r="I63" s="140">
        <f>IF(X63 = 7, H63 + SUM(S63:S63) - SUM(T63:T63) - SUM(P63:P63) - V63,0)</f>
        <v>50</v>
      </c>
      <c r="J63" s="142">
        <v>7707049388</v>
      </c>
      <c r="K63" s="143" t="s">
        <v>193</v>
      </c>
      <c r="L63" s="137" t="s">
        <v>147</v>
      </c>
      <c r="M63" s="137" t="s">
        <v>151</v>
      </c>
      <c r="N63" s="141"/>
      <c r="O63" s="141" t="s">
        <v>194</v>
      </c>
      <c r="P63" s="139"/>
      <c r="Q63" s="138"/>
      <c r="R63" s="137"/>
      <c r="S63" s="139"/>
      <c r="T63" s="139"/>
      <c r="U63" s="139"/>
      <c r="V63" s="144"/>
      <c r="W63" s="361" t="s">
        <v>160</v>
      </c>
      <c r="X63" s="83">
        <v>7</v>
      </c>
    </row>
    <row r="64" spans="1:24" s="83" customFormat="1" x14ac:dyDescent="0.25">
      <c r="A64" s="1048">
        <v>8</v>
      </c>
      <c r="B64" s="1057" t="s">
        <v>56</v>
      </c>
      <c r="C64" s="1057" t="s">
        <v>147</v>
      </c>
      <c r="D64" s="1057" t="s">
        <v>172</v>
      </c>
      <c r="E64" s="1057" t="s">
        <v>200</v>
      </c>
      <c r="F64" s="1051">
        <v>44946</v>
      </c>
      <c r="G64" s="1069" t="s">
        <v>201</v>
      </c>
      <c r="H64" s="1054">
        <v>433196.92</v>
      </c>
      <c r="I64" s="1072">
        <f>IF(X64 = 8, H64 + SUM(S64:S70) - SUM(T64:T70) - SUM(P64:P70) - V64,0)</f>
        <v>0</v>
      </c>
      <c r="J64" s="1075">
        <v>235300582900</v>
      </c>
      <c r="K64" s="1078" t="s">
        <v>199</v>
      </c>
      <c r="L64" s="1057" t="s">
        <v>147</v>
      </c>
      <c r="M64" s="1057" t="s">
        <v>202</v>
      </c>
      <c r="N64" s="204">
        <v>44963</v>
      </c>
      <c r="O64" s="1051" t="s">
        <v>203</v>
      </c>
      <c r="P64" s="198">
        <v>88795.199999999997</v>
      </c>
      <c r="Q64" s="199">
        <v>44966</v>
      </c>
      <c r="R64" s="272"/>
      <c r="S64" s="273"/>
      <c r="T64" s="273"/>
      <c r="U64" s="1054" t="s">
        <v>332</v>
      </c>
      <c r="V64" s="1060">
        <v>70875.81</v>
      </c>
      <c r="W64" s="982"/>
      <c r="X64" s="83">
        <v>8</v>
      </c>
    </row>
    <row r="65" spans="1:24" x14ac:dyDescent="0.25">
      <c r="A65" s="1049"/>
      <c r="B65" s="1058"/>
      <c r="C65" s="1058"/>
      <c r="D65" s="1058"/>
      <c r="E65" s="1058"/>
      <c r="F65" s="1052"/>
      <c r="G65" s="1070"/>
      <c r="H65" s="1055"/>
      <c r="I65" s="1073"/>
      <c r="J65" s="1076"/>
      <c r="K65" s="1079"/>
      <c r="L65" s="1058"/>
      <c r="M65" s="1058"/>
      <c r="N65" s="205"/>
      <c r="O65" s="1052"/>
      <c r="P65" s="200"/>
      <c r="Q65" s="201">
        <v>44967</v>
      </c>
      <c r="R65" s="274"/>
      <c r="S65" s="275"/>
      <c r="T65" s="275"/>
      <c r="U65" s="1055"/>
      <c r="V65" s="1061"/>
      <c r="W65" s="983"/>
      <c r="X65" s="2">
        <v>8</v>
      </c>
    </row>
    <row r="66" spans="1:24" x14ac:dyDescent="0.25">
      <c r="A66" s="1049"/>
      <c r="B66" s="1058"/>
      <c r="C66" s="1058"/>
      <c r="D66" s="1058"/>
      <c r="E66" s="1058"/>
      <c r="F66" s="1052"/>
      <c r="G66" s="1070"/>
      <c r="H66" s="1055"/>
      <c r="I66" s="1073"/>
      <c r="J66" s="1076"/>
      <c r="K66" s="1079"/>
      <c r="L66" s="1058"/>
      <c r="M66" s="1058"/>
      <c r="N66" s="205">
        <v>44963</v>
      </c>
      <c r="O66" s="1052"/>
      <c r="P66" s="200">
        <v>31200</v>
      </c>
      <c r="Q66" s="201">
        <v>44967</v>
      </c>
      <c r="R66" s="274"/>
      <c r="S66" s="275"/>
      <c r="T66" s="275"/>
      <c r="U66" s="1055"/>
      <c r="V66" s="1061"/>
      <c r="W66" s="983"/>
      <c r="X66" s="2">
        <v>8</v>
      </c>
    </row>
    <row r="67" spans="1:24" x14ac:dyDescent="0.25">
      <c r="A67" s="1049"/>
      <c r="B67" s="1058"/>
      <c r="C67" s="1058"/>
      <c r="D67" s="1058"/>
      <c r="E67" s="1058"/>
      <c r="F67" s="1052"/>
      <c r="G67" s="1070"/>
      <c r="H67" s="1055"/>
      <c r="I67" s="1073"/>
      <c r="J67" s="1076"/>
      <c r="K67" s="1079"/>
      <c r="L67" s="1058"/>
      <c r="M67" s="1058"/>
      <c r="N67" s="205">
        <v>44986</v>
      </c>
      <c r="O67" s="1052"/>
      <c r="P67" s="200">
        <v>85387.61</v>
      </c>
      <c r="Q67" s="201">
        <v>44988</v>
      </c>
      <c r="R67" s="274"/>
      <c r="S67" s="275"/>
      <c r="T67" s="275"/>
      <c r="U67" s="1055"/>
      <c r="V67" s="1061"/>
      <c r="W67" s="983"/>
      <c r="X67" s="2">
        <v>8</v>
      </c>
    </row>
    <row r="68" spans="1:24" x14ac:dyDescent="0.25">
      <c r="A68" s="1049"/>
      <c r="B68" s="1058"/>
      <c r="C68" s="1058"/>
      <c r="D68" s="1058"/>
      <c r="E68" s="1058"/>
      <c r="F68" s="1052"/>
      <c r="G68" s="1070"/>
      <c r="H68" s="1055"/>
      <c r="I68" s="1073"/>
      <c r="J68" s="1076"/>
      <c r="K68" s="1079"/>
      <c r="L68" s="1058"/>
      <c r="M68" s="1058"/>
      <c r="N68" s="205">
        <v>44986</v>
      </c>
      <c r="O68" s="1052"/>
      <c r="P68" s="200">
        <v>30275</v>
      </c>
      <c r="Q68" s="201">
        <v>44994</v>
      </c>
      <c r="R68" s="274"/>
      <c r="S68" s="275"/>
      <c r="T68" s="275"/>
      <c r="U68" s="1055"/>
      <c r="V68" s="1061"/>
      <c r="W68" s="983"/>
      <c r="X68" s="2">
        <v>8</v>
      </c>
    </row>
    <row r="69" spans="1:24" x14ac:dyDescent="0.25">
      <c r="A69" s="1049"/>
      <c r="B69" s="1058"/>
      <c r="C69" s="1058"/>
      <c r="D69" s="1058"/>
      <c r="E69" s="1058"/>
      <c r="F69" s="1052"/>
      <c r="G69" s="1070"/>
      <c r="H69" s="1055"/>
      <c r="I69" s="1073"/>
      <c r="J69" s="1076"/>
      <c r="K69" s="1079"/>
      <c r="L69" s="1058"/>
      <c r="M69" s="1058"/>
      <c r="N69" s="205">
        <v>45013</v>
      </c>
      <c r="O69" s="1052"/>
      <c r="P69" s="200">
        <v>93313.3</v>
      </c>
      <c r="Q69" s="201">
        <v>45064</v>
      </c>
      <c r="R69" s="274"/>
      <c r="S69" s="275"/>
      <c r="T69" s="275"/>
      <c r="U69" s="1055"/>
      <c r="V69" s="1061"/>
      <c r="W69" s="983"/>
      <c r="X69" s="2">
        <v>8</v>
      </c>
    </row>
    <row r="70" spans="1:24" x14ac:dyDescent="0.25">
      <c r="A70" s="1050"/>
      <c r="B70" s="1059"/>
      <c r="C70" s="1059"/>
      <c r="D70" s="1059"/>
      <c r="E70" s="1059"/>
      <c r="F70" s="1053"/>
      <c r="G70" s="1071"/>
      <c r="H70" s="1056"/>
      <c r="I70" s="1074"/>
      <c r="J70" s="1077"/>
      <c r="K70" s="1080"/>
      <c r="L70" s="1059"/>
      <c r="M70" s="1059"/>
      <c r="N70" s="206">
        <v>45013</v>
      </c>
      <c r="O70" s="1053"/>
      <c r="P70" s="202">
        <v>33350</v>
      </c>
      <c r="Q70" s="203">
        <v>45058</v>
      </c>
      <c r="R70" s="276"/>
      <c r="S70" s="277"/>
      <c r="T70" s="277"/>
      <c r="U70" s="1056"/>
      <c r="V70" s="1062"/>
      <c r="W70" s="984"/>
      <c r="X70" s="2">
        <v>8</v>
      </c>
    </row>
    <row r="71" spans="1:24" s="83" customFormat="1" x14ac:dyDescent="0.25">
      <c r="A71" s="1081">
        <v>9</v>
      </c>
      <c r="B71" s="1145" t="s">
        <v>56</v>
      </c>
      <c r="C71" s="1145" t="s">
        <v>147</v>
      </c>
      <c r="D71" s="1145" t="s">
        <v>172</v>
      </c>
      <c r="E71" s="1145" t="s">
        <v>205</v>
      </c>
      <c r="F71" s="1084">
        <v>44946</v>
      </c>
      <c r="G71" s="1154" t="s">
        <v>204</v>
      </c>
      <c r="H71" s="1142">
        <v>484673.28000000003</v>
      </c>
      <c r="I71" s="1157">
        <f>IF(X71 = 9, H71 + SUM(S71:S102) - SUM(T71:T102) - SUM(P71:P102) - V71,0)</f>
        <v>0</v>
      </c>
      <c r="J71" s="1160">
        <v>235300582900</v>
      </c>
      <c r="K71" s="1163" t="s">
        <v>199</v>
      </c>
      <c r="L71" s="1145" t="s">
        <v>147</v>
      </c>
      <c r="M71" s="1145" t="s">
        <v>206</v>
      </c>
      <c r="N71" s="424">
        <v>44963</v>
      </c>
      <c r="O71" s="1084" t="s">
        <v>203</v>
      </c>
      <c r="P71" s="414">
        <v>82555.199999999997</v>
      </c>
      <c r="Q71" s="415">
        <v>44966</v>
      </c>
      <c r="R71" s="416"/>
      <c r="S71" s="417"/>
      <c r="T71" s="417"/>
      <c r="U71" s="1142"/>
      <c r="V71" s="1148">
        <v>109598.32</v>
      </c>
      <c r="W71" s="1151"/>
      <c r="X71" s="83">
        <v>9</v>
      </c>
    </row>
    <row r="72" spans="1:24" x14ac:dyDescent="0.25">
      <c r="A72" s="1082"/>
      <c r="B72" s="1146"/>
      <c r="C72" s="1146"/>
      <c r="D72" s="1146"/>
      <c r="E72" s="1146"/>
      <c r="F72" s="1085"/>
      <c r="G72" s="1155"/>
      <c r="H72" s="1143"/>
      <c r="I72" s="1158"/>
      <c r="J72" s="1161"/>
      <c r="K72" s="1164"/>
      <c r="L72" s="1146"/>
      <c r="M72" s="1146"/>
      <c r="N72" s="425"/>
      <c r="O72" s="1085"/>
      <c r="P72" s="418"/>
      <c r="Q72" s="419">
        <v>44978</v>
      </c>
      <c r="R72" s="420"/>
      <c r="S72" s="421"/>
      <c r="T72" s="421"/>
      <c r="U72" s="1143"/>
      <c r="V72" s="1149"/>
      <c r="W72" s="1152"/>
      <c r="X72" s="2">
        <v>9</v>
      </c>
    </row>
    <row r="73" spans="1:24" x14ac:dyDescent="0.25">
      <c r="A73" s="1082"/>
      <c r="B73" s="1146"/>
      <c r="C73" s="1146"/>
      <c r="D73" s="1146"/>
      <c r="E73" s="1146"/>
      <c r="F73" s="1085"/>
      <c r="G73" s="1155"/>
      <c r="H73" s="1143"/>
      <c r="I73" s="1158"/>
      <c r="J73" s="1161"/>
      <c r="K73" s="1164"/>
      <c r="L73" s="1146"/>
      <c r="M73" s="1146"/>
      <c r="N73" s="425"/>
      <c r="O73" s="1085"/>
      <c r="P73" s="418"/>
      <c r="Q73" s="419">
        <v>44984</v>
      </c>
      <c r="R73" s="420"/>
      <c r="S73" s="421"/>
      <c r="T73" s="421"/>
      <c r="U73" s="1143"/>
      <c r="V73" s="1149"/>
      <c r="W73" s="1152"/>
      <c r="X73" s="2">
        <v>9</v>
      </c>
    </row>
    <row r="74" spans="1:24" x14ac:dyDescent="0.25">
      <c r="A74" s="1082"/>
      <c r="B74" s="1146"/>
      <c r="C74" s="1146"/>
      <c r="D74" s="1146"/>
      <c r="E74" s="1146"/>
      <c r="F74" s="1085"/>
      <c r="G74" s="1155"/>
      <c r="H74" s="1143"/>
      <c r="I74" s="1158"/>
      <c r="J74" s="1161"/>
      <c r="K74" s="1164"/>
      <c r="L74" s="1146"/>
      <c r="M74" s="1146"/>
      <c r="N74" s="425"/>
      <c r="O74" s="1085"/>
      <c r="P74" s="418"/>
      <c r="Q74" s="419">
        <v>44985</v>
      </c>
      <c r="R74" s="420"/>
      <c r="S74" s="421"/>
      <c r="T74" s="421"/>
      <c r="U74" s="1143"/>
      <c r="V74" s="1149"/>
      <c r="W74" s="1152"/>
      <c r="X74" s="2">
        <v>9</v>
      </c>
    </row>
    <row r="75" spans="1:24" x14ac:dyDescent="0.25">
      <c r="A75" s="1082"/>
      <c r="B75" s="1146"/>
      <c r="C75" s="1146"/>
      <c r="D75" s="1146"/>
      <c r="E75" s="1146"/>
      <c r="F75" s="1085"/>
      <c r="G75" s="1155"/>
      <c r="H75" s="1143"/>
      <c r="I75" s="1158"/>
      <c r="J75" s="1161"/>
      <c r="K75" s="1164"/>
      <c r="L75" s="1146"/>
      <c r="M75" s="1146"/>
      <c r="N75" s="425"/>
      <c r="O75" s="1085"/>
      <c r="P75" s="418"/>
      <c r="Q75" s="419">
        <v>44998</v>
      </c>
      <c r="R75" s="420"/>
      <c r="S75" s="421"/>
      <c r="T75" s="421"/>
      <c r="U75" s="1143"/>
      <c r="V75" s="1149"/>
      <c r="W75" s="1152"/>
      <c r="X75" s="2">
        <v>9</v>
      </c>
    </row>
    <row r="76" spans="1:24" x14ac:dyDescent="0.25">
      <c r="A76" s="1082"/>
      <c r="B76" s="1146"/>
      <c r="C76" s="1146"/>
      <c r="D76" s="1146"/>
      <c r="E76" s="1146"/>
      <c r="F76" s="1085"/>
      <c r="G76" s="1155"/>
      <c r="H76" s="1143"/>
      <c r="I76" s="1158"/>
      <c r="J76" s="1161"/>
      <c r="K76" s="1164"/>
      <c r="L76" s="1146"/>
      <c r="M76" s="1146"/>
      <c r="N76" s="425">
        <v>44986</v>
      </c>
      <c r="O76" s="1085"/>
      <c r="P76" s="418">
        <v>83512</v>
      </c>
      <c r="Q76" s="419">
        <v>44998</v>
      </c>
      <c r="R76" s="420"/>
      <c r="S76" s="421"/>
      <c r="T76" s="421"/>
      <c r="U76" s="1143"/>
      <c r="V76" s="1149"/>
      <c r="W76" s="1152"/>
      <c r="X76" s="2">
        <v>9</v>
      </c>
    </row>
    <row r="77" spans="1:24" x14ac:dyDescent="0.25">
      <c r="A77" s="1082"/>
      <c r="B77" s="1146"/>
      <c r="C77" s="1146"/>
      <c r="D77" s="1146"/>
      <c r="E77" s="1146"/>
      <c r="F77" s="1085"/>
      <c r="G77" s="1155"/>
      <c r="H77" s="1143"/>
      <c r="I77" s="1158"/>
      <c r="J77" s="1161"/>
      <c r="K77" s="1164"/>
      <c r="L77" s="1146"/>
      <c r="M77" s="1146"/>
      <c r="N77" s="425"/>
      <c r="O77" s="1085"/>
      <c r="P77" s="418"/>
      <c r="Q77" s="419">
        <v>45001</v>
      </c>
      <c r="R77" s="420"/>
      <c r="S77" s="421"/>
      <c r="T77" s="421"/>
      <c r="U77" s="1143"/>
      <c r="V77" s="1149"/>
      <c r="W77" s="1152"/>
      <c r="X77" s="2">
        <v>9</v>
      </c>
    </row>
    <row r="78" spans="1:24" x14ac:dyDescent="0.25">
      <c r="A78" s="1082"/>
      <c r="B78" s="1146"/>
      <c r="C78" s="1146"/>
      <c r="D78" s="1146"/>
      <c r="E78" s="1146"/>
      <c r="F78" s="1085"/>
      <c r="G78" s="1155"/>
      <c r="H78" s="1143"/>
      <c r="I78" s="1158"/>
      <c r="J78" s="1161"/>
      <c r="K78" s="1164"/>
      <c r="L78" s="1146"/>
      <c r="M78" s="1146"/>
      <c r="N78" s="425"/>
      <c r="O78" s="1085"/>
      <c r="P78" s="418"/>
      <c r="Q78" s="419">
        <v>45012</v>
      </c>
      <c r="R78" s="420"/>
      <c r="S78" s="421"/>
      <c r="T78" s="421"/>
      <c r="U78" s="1143"/>
      <c r="V78" s="1149"/>
      <c r="W78" s="1152"/>
      <c r="X78" s="2">
        <v>9</v>
      </c>
    </row>
    <row r="79" spans="1:24" x14ac:dyDescent="0.25">
      <c r="A79" s="1082"/>
      <c r="B79" s="1146"/>
      <c r="C79" s="1146"/>
      <c r="D79" s="1146"/>
      <c r="E79" s="1146"/>
      <c r="F79" s="1085"/>
      <c r="G79" s="1155"/>
      <c r="H79" s="1143"/>
      <c r="I79" s="1158"/>
      <c r="J79" s="1161"/>
      <c r="K79" s="1164"/>
      <c r="L79" s="1146"/>
      <c r="M79" s="1146"/>
      <c r="N79" s="425"/>
      <c r="O79" s="1085"/>
      <c r="P79" s="418"/>
      <c r="Q79" s="419">
        <v>45022</v>
      </c>
      <c r="R79" s="420"/>
      <c r="S79" s="421"/>
      <c r="T79" s="421"/>
      <c r="U79" s="1143"/>
      <c r="V79" s="1149"/>
      <c r="W79" s="1152"/>
      <c r="X79" s="2">
        <v>9</v>
      </c>
    </row>
    <row r="80" spans="1:24" x14ac:dyDescent="0.25">
      <c r="A80" s="1082"/>
      <c r="B80" s="1146"/>
      <c r="C80" s="1146"/>
      <c r="D80" s="1146"/>
      <c r="E80" s="1146"/>
      <c r="F80" s="1085"/>
      <c r="G80" s="1155"/>
      <c r="H80" s="1143"/>
      <c r="I80" s="1158"/>
      <c r="J80" s="1161"/>
      <c r="K80" s="1164"/>
      <c r="L80" s="1146"/>
      <c r="M80" s="1146"/>
      <c r="N80" s="425"/>
      <c r="O80" s="1085"/>
      <c r="P80" s="418"/>
      <c r="Q80" s="419">
        <v>45023</v>
      </c>
      <c r="R80" s="420"/>
      <c r="S80" s="421"/>
      <c r="T80" s="421"/>
      <c r="U80" s="1143"/>
      <c r="V80" s="1149"/>
      <c r="W80" s="1152"/>
      <c r="X80" s="2">
        <v>9</v>
      </c>
    </row>
    <row r="81" spans="1:24" x14ac:dyDescent="0.25">
      <c r="A81" s="1082"/>
      <c r="B81" s="1146"/>
      <c r="C81" s="1146"/>
      <c r="D81" s="1146"/>
      <c r="E81" s="1146"/>
      <c r="F81" s="1085"/>
      <c r="G81" s="1155"/>
      <c r="H81" s="1143"/>
      <c r="I81" s="1158"/>
      <c r="J81" s="1161"/>
      <c r="K81" s="1164"/>
      <c r="L81" s="1146"/>
      <c r="M81" s="1146"/>
      <c r="N81" s="425">
        <v>45013</v>
      </c>
      <c r="O81" s="1085"/>
      <c r="P81" s="418">
        <v>10642</v>
      </c>
      <c r="Q81" s="419">
        <v>45023</v>
      </c>
      <c r="R81" s="420"/>
      <c r="S81" s="421"/>
      <c r="T81" s="421"/>
      <c r="U81" s="1143"/>
      <c r="V81" s="1149"/>
      <c r="W81" s="1152"/>
      <c r="X81" s="2">
        <v>9</v>
      </c>
    </row>
    <row r="82" spans="1:24" x14ac:dyDescent="0.25">
      <c r="A82" s="1082"/>
      <c r="B82" s="1146"/>
      <c r="C82" s="1146"/>
      <c r="D82" s="1146"/>
      <c r="E82" s="1146"/>
      <c r="F82" s="1085"/>
      <c r="G82" s="1155"/>
      <c r="H82" s="1143"/>
      <c r="I82" s="1158"/>
      <c r="J82" s="1161"/>
      <c r="K82" s="1164"/>
      <c r="L82" s="1146"/>
      <c r="M82" s="1146"/>
      <c r="N82" s="425">
        <v>45013</v>
      </c>
      <c r="O82" s="1085"/>
      <c r="P82" s="418">
        <v>63911.44</v>
      </c>
      <c r="Q82" s="419">
        <v>45026</v>
      </c>
      <c r="R82" s="420"/>
      <c r="S82" s="421"/>
      <c r="T82" s="421"/>
      <c r="U82" s="1143"/>
      <c r="V82" s="1149"/>
      <c r="W82" s="1152"/>
      <c r="X82" s="2">
        <v>9</v>
      </c>
    </row>
    <row r="83" spans="1:24" x14ac:dyDescent="0.25">
      <c r="A83" s="1082"/>
      <c r="B83" s="1146"/>
      <c r="C83" s="1146"/>
      <c r="D83" s="1146"/>
      <c r="E83" s="1146"/>
      <c r="F83" s="1085"/>
      <c r="G83" s="1155"/>
      <c r="H83" s="1143"/>
      <c r="I83" s="1158"/>
      <c r="J83" s="1161"/>
      <c r="K83" s="1164"/>
      <c r="L83" s="1146"/>
      <c r="M83" s="1146"/>
      <c r="N83" s="425"/>
      <c r="O83" s="1085"/>
      <c r="P83" s="418"/>
      <c r="Q83" s="419">
        <v>45028</v>
      </c>
      <c r="R83" s="420"/>
      <c r="S83" s="421"/>
      <c r="T83" s="421"/>
      <c r="U83" s="1143"/>
      <c r="V83" s="1149"/>
      <c r="W83" s="1152"/>
      <c r="X83" s="2">
        <v>9</v>
      </c>
    </row>
    <row r="84" spans="1:24" x14ac:dyDescent="0.25">
      <c r="A84" s="1082"/>
      <c r="B84" s="1146"/>
      <c r="C84" s="1146"/>
      <c r="D84" s="1146"/>
      <c r="E84" s="1146"/>
      <c r="F84" s="1085"/>
      <c r="G84" s="1155"/>
      <c r="H84" s="1143"/>
      <c r="I84" s="1158"/>
      <c r="J84" s="1161"/>
      <c r="K84" s="1164"/>
      <c r="L84" s="1146"/>
      <c r="M84" s="1146"/>
      <c r="N84" s="425"/>
      <c r="O84" s="1085"/>
      <c r="P84" s="418"/>
      <c r="Q84" s="419">
        <v>45030</v>
      </c>
      <c r="R84" s="420"/>
      <c r="S84" s="421"/>
      <c r="T84" s="421"/>
      <c r="U84" s="1143"/>
      <c r="V84" s="1149"/>
      <c r="W84" s="1152"/>
      <c r="X84" s="2">
        <v>9</v>
      </c>
    </row>
    <row r="85" spans="1:24" x14ac:dyDescent="0.25">
      <c r="A85" s="1082"/>
      <c r="B85" s="1146"/>
      <c r="C85" s="1146"/>
      <c r="D85" s="1146"/>
      <c r="E85" s="1146"/>
      <c r="F85" s="1085"/>
      <c r="G85" s="1155"/>
      <c r="H85" s="1143"/>
      <c r="I85" s="1158"/>
      <c r="J85" s="1161"/>
      <c r="K85" s="1164"/>
      <c r="L85" s="1146"/>
      <c r="M85" s="1146"/>
      <c r="N85" s="425"/>
      <c r="O85" s="1085"/>
      <c r="P85" s="418"/>
      <c r="Q85" s="419">
        <v>45036</v>
      </c>
      <c r="R85" s="420"/>
      <c r="S85" s="421"/>
      <c r="T85" s="421"/>
      <c r="U85" s="1143"/>
      <c r="V85" s="1149"/>
      <c r="W85" s="1152"/>
      <c r="X85" s="2">
        <v>9</v>
      </c>
    </row>
    <row r="86" spans="1:24" x14ac:dyDescent="0.25">
      <c r="A86" s="1082"/>
      <c r="B86" s="1146"/>
      <c r="C86" s="1146"/>
      <c r="D86" s="1146"/>
      <c r="E86" s="1146"/>
      <c r="F86" s="1085"/>
      <c r="G86" s="1155"/>
      <c r="H86" s="1143"/>
      <c r="I86" s="1158"/>
      <c r="J86" s="1161"/>
      <c r="K86" s="1164"/>
      <c r="L86" s="1146"/>
      <c r="M86" s="1146"/>
      <c r="N86" s="425">
        <v>45049</v>
      </c>
      <c r="O86" s="1085"/>
      <c r="P86" s="418">
        <v>12020</v>
      </c>
      <c r="Q86" s="419">
        <v>45058</v>
      </c>
      <c r="R86" s="420"/>
      <c r="S86" s="421"/>
      <c r="T86" s="421"/>
      <c r="U86" s="1143"/>
      <c r="V86" s="1149"/>
      <c r="W86" s="1152"/>
      <c r="X86" s="2">
        <v>9</v>
      </c>
    </row>
    <row r="87" spans="1:24" x14ac:dyDescent="0.25">
      <c r="A87" s="1082"/>
      <c r="B87" s="1146"/>
      <c r="C87" s="1146"/>
      <c r="D87" s="1146"/>
      <c r="E87" s="1146"/>
      <c r="F87" s="1085"/>
      <c r="G87" s="1155"/>
      <c r="H87" s="1143"/>
      <c r="I87" s="1158"/>
      <c r="J87" s="1161"/>
      <c r="K87" s="1164"/>
      <c r="L87" s="1146"/>
      <c r="M87" s="1146"/>
      <c r="N87" s="425">
        <v>45049</v>
      </c>
      <c r="O87" s="1085"/>
      <c r="P87" s="418">
        <v>71112.399999999994</v>
      </c>
      <c r="Q87" s="419">
        <v>45058</v>
      </c>
      <c r="R87" s="420"/>
      <c r="S87" s="421"/>
      <c r="T87" s="421"/>
      <c r="U87" s="1143"/>
      <c r="V87" s="1149"/>
      <c r="W87" s="1152"/>
      <c r="X87" s="2">
        <v>9</v>
      </c>
    </row>
    <row r="88" spans="1:24" x14ac:dyDescent="0.25">
      <c r="A88" s="1082"/>
      <c r="B88" s="1146"/>
      <c r="C88" s="1146"/>
      <c r="D88" s="1146"/>
      <c r="E88" s="1146"/>
      <c r="F88" s="1085"/>
      <c r="G88" s="1155"/>
      <c r="H88" s="1143"/>
      <c r="I88" s="1158"/>
      <c r="J88" s="1161"/>
      <c r="K88" s="1164"/>
      <c r="L88" s="1146"/>
      <c r="M88" s="1146"/>
      <c r="N88" s="425"/>
      <c r="O88" s="1085"/>
      <c r="P88" s="418"/>
      <c r="Q88" s="419">
        <v>45063</v>
      </c>
      <c r="R88" s="420"/>
      <c r="S88" s="421"/>
      <c r="T88" s="421"/>
      <c r="U88" s="1143"/>
      <c r="V88" s="1149"/>
      <c r="W88" s="1152"/>
      <c r="X88" s="2">
        <v>9</v>
      </c>
    </row>
    <row r="89" spans="1:24" x14ac:dyDescent="0.25">
      <c r="A89" s="1082"/>
      <c r="B89" s="1146"/>
      <c r="C89" s="1146"/>
      <c r="D89" s="1146"/>
      <c r="E89" s="1146"/>
      <c r="F89" s="1085"/>
      <c r="G89" s="1155"/>
      <c r="H89" s="1143"/>
      <c r="I89" s="1158"/>
      <c r="J89" s="1161"/>
      <c r="K89" s="1164"/>
      <c r="L89" s="1146"/>
      <c r="M89" s="1146"/>
      <c r="N89" s="425"/>
      <c r="O89" s="1085"/>
      <c r="P89" s="418"/>
      <c r="Q89" s="419">
        <v>45065</v>
      </c>
      <c r="R89" s="420"/>
      <c r="S89" s="421"/>
      <c r="T89" s="421"/>
      <c r="U89" s="1143"/>
      <c r="V89" s="1149"/>
      <c r="W89" s="1152"/>
      <c r="X89" s="2">
        <v>9</v>
      </c>
    </row>
    <row r="90" spans="1:24" x14ac:dyDescent="0.25">
      <c r="A90" s="1082"/>
      <c r="B90" s="1146"/>
      <c r="C90" s="1146"/>
      <c r="D90" s="1146"/>
      <c r="E90" s="1146"/>
      <c r="F90" s="1085"/>
      <c r="G90" s="1155"/>
      <c r="H90" s="1143"/>
      <c r="I90" s="1158"/>
      <c r="J90" s="1161"/>
      <c r="K90" s="1164"/>
      <c r="L90" s="1146"/>
      <c r="M90" s="1146"/>
      <c r="N90" s="425"/>
      <c r="O90" s="1085"/>
      <c r="P90" s="418"/>
      <c r="Q90" s="419">
        <v>45071</v>
      </c>
      <c r="R90" s="420"/>
      <c r="S90" s="421"/>
      <c r="T90" s="421"/>
      <c r="U90" s="1143"/>
      <c r="V90" s="1149"/>
      <c r="W90" s="1152"/>
      <c r="X90" s="2">
        <v>9</v>
      </c>
    </row>
    <row r="91" spans="1:24" x14ac:dyDescent="0.25">
      <c r="A91" s="1082"/>
      <c r="B91" s="1146"/>
      <c r="C91" s="1146"/>
      <c r="D91" s="1146"/>
      <c r="E91" s="1146"/>
      <c r="F91" s="1085"/>
      <c r="G91" s="1155"/>
      <c r="H91" s="1143"/>
      <c r="I91" s="1158"/>
      <c r="J91" s="1161"/>
      <c r="K91" s="1164"/>
      <c r="L91" s="1146"/>
      <c r="M91" s="1146"/>
      <c r="N91" s="425"/>
      <c r="O91" s="1085"/>
      <c r="P91" s="418"/>
      <c r="Q91" s="419">
        <v>45085</v>
      </c>
      <c r="R91" s="420"/>
      <c r="S91" s="421"/>
      <c r="T91" s="421"/>
      <c r="U91" s="1143"/>
      <c r="V91" s="1149"/>
      <c r="W91" s="1152"/>
      <c r="X91" s="2">
        <v>9</v>
      </c>
    </row>
    <row r="92" spans="1:24" x14ac:dyDescent="0.25">
      <c r="A92" s="1082"/>
      <c r="B92" s="1146"/>
      <c r="C92" s="1146"/>
      <c r="D92" s="1146"/>
      <c r="E92" s="1146"/>
      <c r="F92" s="1085"/>
      <c r="G92" s="1155"/>
      <c r="H92" s="1143"/>
      <c r="I92" s="1158"/>
      <c r="J92" s="1161"/>
      <c r="K92" s="1164"/>
      <c r="L92" s="1146"/>
      <c r="M92" s="1146"/>
      <c r="N92" s="425"/>
      <c r="O92" s="1085"/>
      <c r="P92" s="418"/>
      <c r="Q92" s="419">
        <v>45097</v>
      </c>
      <c r="R92" s="420"/>
      <c r="S92" s="421"/>
      <c r="T92" s="421"/>
      <c r="U92" s="1143"/>
      <c r="V92" s="1149"/>
      <c r="W92" s="1152"/>
      <c r="X92" s="2">
        <v>9</v>
      </c>
    </row>
    <row r="93" spans="1:24" x14ac:dyDescent="0.25">
      <c r="A93" s="1082"/>
      <c r="B93" s="1146"/>
      <c r="C93" s="1146"/>
      <c r="D93" s="1146"/>
      <c r="E93" s="1146"/>
      <c r="F93" s="1085"/>
      <c r="G93" s="1155"/>
      <c r="H93" s="1143"/>
      <c r="I93" s="1158"/>
      <c r="J93" s="1161"/>
      <c r="K93" s="1164"/>
      <c r="L93" s="1146"/>
      <c r="M93" s="1146"/>
      <c r="N93" s="425"/>
      <c r="O93" s="1085"/>
      <c r="P93" s="418"/>
      <c r="Q93" s="419">
        <v>45106</v>
      </c>
      <c r="R93" s="420"/>
      <c r="S93" s="421"/>
      <c r="T93" s="421"/>
      <c r="U93" s="1143"/>
      <c r="V93" s="1149"/>
      <c r="W93" s="1152"/>
      <c r="X93" s="2">
        <v>9</v>
      </c>
    </row>
    <row r="94" spans="1:24" x14ac:dyDescent="0.25">
      <c r="A94" s="1082"/>
      <c r="B94" s="1146"/>
      <c r="C94" s="1146"/>
      <c r="D94" s="1146"/>
      <c r="E94" s="1146"/>
      <c r="F94" s="1085"/>
      <c r="G94" s="1155"/>
      <c r="H94" s="1143"/>
      <c r="I94" s="1158"/>
      <c r="J94" s="1161"/>
      <c r="K94" s="1164"/>
      <c r="L94" s="1146"/>
      <c r="M94" s="1146"/>
      <c r="N94" s="425">
        <v>45069</v>
      </c>
      <c r="O94" s="1085"/>
      <c r="P94" s="418">
        <v>7456</v>
      </c>
      <c r="Q94" s="419">
        <v>45082</v>
      </c>
      <c r="R94" s="420"/>
      <c r="S94" s="421"/>
      <c r="T94" s="421"/>
      <c r="U94" s="1143"/>
      <c r="V94" s="1149"/>
      <c r="W94" s="1152"/>
      <c r="X94" s="2">
        <v>9</v>
      </c>
    </row>
    <row r="95" spans="1:24" x14ac:dyDescent="0.25">
      <c r="A95" s="1082"/>
      <c r="B95" s="1146"/>
      <c r="C95" s="1146"/>
      <c r="D95" s="1146"/>
      <c r="E95" s="1146"/>
      <c r="F95" s="1085"/>
      <c r="G95" s="1155"/>
      <c r="H95" s="1143"/>
      <c r="I95" s="1158"/>
      <c r="J95" s="1161"/>
      <c r="K95" s="1164"/>
      <c r="L95" s="1146"/>
      <c r="M95" s="1146"/>
      <c r="N95" s="425">
        <v>45069</v>
      </c>
      <c r="O95" s="1085"/>
      <c r="P95" s="418">
        <v>43865.919999999998</v>
      </c>
      <c r="Q95" s="419">
        <v>45106</v>
      </c>
      <c r="R95" s="420"/>
      <c r="S95" s="421"/>
      <c r="T95" s="421"/>
      <c r="U95" s="1143"/>
      <c r="V95" s="1149"/>
      <c r="W95" s="1152"/>
      <c r="X95" s="2">
        <v>9</v>
      </c>
    </row>
    <row r="96" spans="1:24" x14ac:dyDescent="0.25">
      <c r="A96" s="1082"/>
      <c r="B96" s="1146"/>
      <c r="C96" s="1146"/>
      <c r="D96" s="1146"/>
      <c r="E96" s="1146"/>
      <c r="F96" s="1085"/>
      <c r="G96" s="1155"/>
      <c r="H96" s="1143"/>
      <c r="I96" s="1158"/>
      <c r="J96" s="1161"/>
      <c r="K96" s="1164"/>
      <c r="L96" s="1146"/>
      <c r="M96" s="1146"/>
      <c r="N96" s="425"/>
      <c r="O96" s="1085"/>
      <c r="P96" s="418"/>
      <c r="Q96" s="419">
        <v>45114</v>
      </c>
      <c r="R96" s="420"/>
      <c r="S96" s="421"/>
      <c r="T96" s="421"/>
      <c r="U96" s="1143"/>
      <c r="V96" s="1149"/>
      <c r="W96" s="1152"/>
      <c r="X96" s="2">
        <v>9</v>
      </c>
    </row>
    <row r="97" spans="1:24" x14ac:dyDescent="0.25">
      <c r="A97" s="1082"/>
      <c r="B97" s="1146"/>
      <c r="C97" s="1146"/>
      <c r="D97" s="1146"/>
      <c r="E97" s="1146"/>
      <c r="F97" s="1085"/>
      <c r="G97" s="1155"/>
      <c r="H97" s="1143"/>
      <c r="I97" s="1158"/>
      <c r="J97" s="1161"/>
      <c r="K97" s="1164"/>
      <c r="L97" s="1146"/>
      <c r="M97" s="1146"/>
      <c r="N97" s="425"/>
      <c r="O97" s="1085"/>
      <c r="P97" s="418"/>
      <c r="Q97" s="419">
        <v>45146</v>
      </c>
      <c r="R97" s="420"/>
      <c r="S97" s="421"/>
      <c r="T97" s="421"/>
      <c r="U97" s="1143"/>
      <c r="V97" s="1149"/>
      <c r="W97" s="1152"/>
      <c r="X97" s="2">
        <v>9</v>
      </c>
    </row>
    <row r="98" spans="1:24" x14ac:dyDescent="0.25">
      <c r="A98" s="1082"/>
      <c r="B98" s="1146"/>
      <c r="C98" s="1146"/>
      <c r="D98" s="1146"/>
      <c r="E98" s="1146"/>
      <c r="F98" s="1085"/>
      <c r="G98" s="1155"/>
      <c r="H98" s="1143"/>
      <c r="I98" s="1158"/>
      <c r="J98" s="1161"/>
      <c r="K98" s="1164"/>
      <c r="L98" s="1146"/>
      <c r="M98" s="1146"/>
      <c r="N98" s="425"/>
      <c r="O98" s="1085"/>
      <c r="P98" s="418"/>
      <c r="Q98" s="419">
        <v>45168</v>
      </c>
      <c r="R98" s="420"/>
      <c r="S98" s="421"/>
      <c r="T98" s="421"/>
      <c r="U98" s="1143"/>
      <c r="V98" s="1149"/>
      <c r="W98" s="1152"/>
      <c r="X98" s="2">
        <v>9</v>
      </c>
    </row>
    <row r="99" spans="1:24" x14ac:dyDescent="0.25">
      <c r="A99" s="1082"/>
      <c r="B99" s="1146"/>
      <c r="C99" s="1146"/>
      <c r="D99" s="1146"/>
      <c r="E99" s="1146"/>
      <c r="F99" s="1085"/>
      <c r="G99" s="1155"/>
      <c r="H99" s="1143"/>
      <c r="I99" s="1158"/>
      <c r="J99" s="1161"/>
      <c r="K99" s="1164"/>
      <c r="L99" s="1146"/>
      <c r="M99" s="1146"/>
      <c r="N99" s="425"/>
      <c r="O99" s="1085"/>
      <c r="P99" s="418"/>
      <c r="Q99" s="419">
        <v>45177</v>
      </c>
      <c r="R99" s="420"/>
      <c r="S99" s="421"/>
      <c r="T99" s="421"/>
      <c r="U99" s="1143"/>
      <c r="V99" s="1149"/>
      <c r="W99" s="1152"/>
      <c r="X99" s="2">
        <v>9</v>
      </c>
    </row>
    <row r="100" spans="1:24" x14ac:dyDescent="0.25">
      <c r="A100" s="1082"/>
      <c r="B100" s="1146"/>
      <c r="C100" s="1146"/>
      <c r="D100" s="1146"/>
      <c r="E100" s="1146"/>
      <c r="F100" s="1085"/>
      <c r="G100" s="1155"/>
      <c r="H100" s="1143"/>
      <c r="I100" s="1158"/>
      <c r="J100" s="1161"/>
      <c r="K100" s="1164"/>
      <c r="L100" s="1146"/>
      <c r="M100" s="1146"/>
      <c r="N100" s="425"/>
      <c r="O100" s="1085"/>
      <c r="P100" s="418"/>
      <c r="Q100" s="419">
        <v>45222</v>
      </c>
      <c r="R100" s="420"/>
      <c r="S100" s="421"/>
      <c r="T100" s="421"/>
      <c r="U100" s="1143"/>
      <c r="V100" s="1149"/>
      <c r="W100" s="1152"/>
      <c r="X100" s="2">
        <v>9</v>
      </c>
    </row>
    <row r="101" spans="1:24" x14ac:dyDescent="0.25">
      <c r="A101" s="1082"/>
      <c r="B101" s="1146"/>
      <c r="C101" s="1146"/>
      <c r="D101" s="1146"/>
      <c r="E101" s="1146"/>
      <c r="F101" s="1085"/>
      <c r="G101" s="1155"/>
      <c r="H101" s="1143"/>
      <c r="I101" s="1158"/>
      <c r="J101" s="1161"/>
      <c r="K101" s="1164"/>
      <c r="L101" s="1146"/>
      <c r="M101" s="1146"/>
      <c r="N101" s="425"/>
      <c r="O101" s="1085"/>
      <c r="P101" s="418"/>
      <c r="Q101" s="419"/>
      <c r="R101" s="420"/>
      <c r="S101" s="421"/>
      <c r="T101" s="421"/>
      <c r="U101" s="1143"/>
      <c r="V101" s="1149"/>
      <c r="W101" s="1152"/>
      <c r="X101" s="2">
        <v>9</v>
      </c>
    </row>
    <row r="102" spans="1:24" x14ac:dyDescent="0.25">
      <c r="A102" s="1083"/>
      <c r="B102" s="1147"/>
      <c r="C102" s="1147"/>
      <c r="D102" s="1147"/>
      <c r="E102" s="1147"/>
      <c r="F102" s="1086"/>
      <c r="G102" s="1156"/>
      <c r="H102" s="1144"/>
      <c r="I102" s="1159"/>
      <c r="J102" s="1162"/>
      <c r="K102" s="1165"/>
      <c r="L102" s="1147"/>
      <c r="M102" s="1147"/>
      <c r="N102" s="426"/>
      <c r="O102" s="1086"/>
      <c r="P102" s="422"/>
      <c r="Q102" s="423"/>
      <c r="R102" s="427"/>
      <c r="S102" s="428"/>
      <c r="T102" s="428"/>
      <c r="U102" s="1144"/>
      <c r="V102" s="1150"/>
      <c r="W102" s="1153"/>
      <c r="X102" s="2">
        <v>9</v>
      </c>
    </row>
    <row r="103" spans="1:24" s="83" customFormat="1" x14ac:dyDescent="0.25">
      <c r="A103" s="1063">
        <v>10</v>
      </c>
      <c r="B103" s="1027" t="s">
        <v>56</v>
      </c>
      <c r="C103" s="1027" t="s">
        <v>147</v>
      </c>
      <c r="D103" s="1027" t="s">
        <v>172</v>
      </c>
      <c r="E103" s="1027" t="s">
        <v>132</v>
      </c>
      <c r="F103" s="1030">
        <v>44946</v>
      </c>
      <c r="G103" s="1033" t="s">
        <v>207</v>
      </c>
      <c r="H103" s="1036">
        <v>55000</v>
      </c>
      <c r="I103" s="1039">
        <f>IF(X103 = 10, H103 + SUM(S103:S114) - SUM(T103:T114) - SUM(P103:P114) - V103,0)</f>
        <v>1960</v>
      </c>
      <c r="J103" s="1042">
        <v>2353017179</v>
      </c>
      <c r="K103" s="1045" t="s">
        <v>208</v>
      </c>
      <c r="L103" s="1027" t="s">
        <v>147</v>
      </c>
      <c r="M103" s="1027" t="s">
        <v>151</v>
      </c>
      <c r="N103" s="157">
        <v>44957</v>
      </c>
      <c r="O103" s="1030" t="s">
        <v>345</v>
      </c>
      <c r="P103" s="158">
        <v>5460</v>
      </c>
      <c r="Q103" s="159">
        <v>44965</v>
      </c>
      <c r="R103" s="160"/>
      <c r="S103" s="158"/>
      <c r="T103" s="158"/>
      <c r="U103" s="1036"/>
      <c r="V103" s="1066"/>
      <c r="W103" s="1024"/>
      <c r="X103" s="83">
        <v>10</v>
      </c>
    </row>
    <row r="104" spans="1:24" x14ac:dyDescent="0.25">
      <c r="A104" s="1064"/>
      <c r="B104" s="1028"/>
      <c r="C104" s="1028"/>
      <c r="D104" s="1028"/>
      <c r="E104" s="1028"/>
      <c r="F104" s="1031"/>
      <c r="G104" s="1034"/>
      <c r="H104" s="1037"/>
      <c r="I104" s="1040"/>
      <c r="J104" s="1043"/>
      <c r="K104" s="1046"/>
      <c r="L104" s="1028"/>
      <c r="M104" s="1028"/>
      <c r="N104" s="165">
        <v>44985</v>
      </c>
      <c r="O104" s="1031"/>
      <c r="P104" s="166">
        <v>5720</v>
      </c>
      <c r="Q104" s="167">
        <v>44994</v>
      </c>
      <c r="R104" s="168"/>
      <c r="S104" s="166"/>
      <c r="T104" s="166"/>
      <c r="U104" s="1037"/>
      <c r="V104" s="1067"/>
      <c r="W104" s="1025"/>
      <c r="X104" s="2">
        <v>10</v>
      </c>
    </row>
    <row r="105" spans="1:24" x14ac:dyDescent="0.25">
      <c r="A105" s="1064"/>
      <c r="B105" s="1028"/>
      <c r="C105" s="1028"/>
      <c r="D105" s="1028"/>
      <c r="E105" s="1028"/>
      <c r="F105" s="1031"/>
      <c r="G105" s="1034"/>
      <c r="H105" s="1037"/>
      <c r="I105" s="1040"/>
      <c r="J105" s="1043"/>
      <c r="K105" s="1046"/>
      <c r="L105" s="1028"/>
      <c r="M105" s="1028"/>
      <c r="N105" s="165">
        <v>45016</v>
      </c>
      <c r="O105" s="1031"/>
      <c r="P105" s="166">
        <v>6240</v>
      </c>
      <c r="Q105" s="167">
        <v>45026</v>
      </c>
      <c r="R105" s="168"/>
      <c r="S105" s="166"/>
      <c r="T105" s="166"/>
      <c r="U105" s="1037"/>
      <c r="V105" s="1067"/>
      <c r="W105" s="1025"/>
      <c r="X105" s="2">
        <v>10</v>
      </c>
    </row>
    <row r="106" spans="1:24" x14ac:dyDescent="0.25">
      <c r="A106" s="1064"/>
      <c r="B106" s="1028"/>
      <c r="C106" s="1028"/>
      <c r="D106" s="1028"/>
      <c r="E106" s="1028"/>
      <c r="F106" s="1031"/>
      <c r="G106" s="1034"/>
      <c r="H106" s="1037"/>
      <c r="I106" s="1040"/>
      <c r="J106" s="1043"/>
      <c r="K106" s="1046"/>
      <c r="L106" s="1028"/>
      <c r="M106" s="1028"/>
      <c r="N106" s="165">
        <v>45046</v>
      </c>
      <c r="O106" s="1031"/>
      <c r="P106" s="166">
        <v>5980</v>
      </c>
      <c r="Q106" s="167">
        <v>45056</v>
      </c>
      <c r="R106" s="168"/>
      <c r="S106" s="166"/>
      <c r="T106" s="166"/>
      <c r="U106" s="1037"/>
      <c r="V106" s="1067"/>
      <c r="W106" s="1025"/>
      <c r="X106" s="2">
        <v>10</v>
      </c>
    </row>
    <row r="107" spans="1:24" x14ac:dyDescent="0.25">
      <c r="A107" s="1064"/>
      <c r="B107" s="1028"/>
      <c r="C107" s="1028"/>
      <c r="D107" s="1028"/>
      <c r="E107" s="1028"/>
      <c r="F107" s="1031"/>
      <c r="G107" s="1034"/>
      <c r="H107" s="1037"/>
      <c r="I107" s="1040"/>
      <c r="J107" s="1043"/>
      <c r="K107" s="1046"/>
      <c r="L107" s="1028"/>
      <c r="M107" s="1028"/>
      <c r="N107" s="165">
        <v>45084</v>
      </c>
      <c r="O107" s="1031"/>
      <c r="P107" s="166">
        <v>5460</v>
      </c>
      <c r="Q107" s="167">
        <v>45093</v>
      </c>
      <c r="R107" s="168"/>
      <c r="S107" s="166"/>
      <c r="T107" s="166"/>
      <c r="U107" s="1037"/>
      <c r="V107" s="1067"/>
      <c r="W107" s="1025"/>
      <c r="X107" s="2">
        <v>10</v>
      </c>
    </row>
    <row r="108" spans="1:24" x14ac:dyDescent="0.25">
      <c r="A108" s="1064"/>
      <c r="B108" s="1028"/>
      <c r="C108" s="1028"/>
      <c r="D108" s="1028"/>
      <c r="E108" s="1028"/>
      <c r="F108" s="1031"/>
      <c r="G108" s="1034"/>
      <c r="H108" s="1037"/>
      <c r="I108" s="1040"/>
      <c r="J108" s="1043"/>
      <c r="K108" s="1046"/>
      <c r="L108" s="1028"/>
      <c r="M108" s="1028"/>
      <c r="N108" s="165">
        <v>45107</v>
      </c>
      <c r="O108" s="1031"/>
      <c r="P108" s="166">
        <v>3380</v>
      </c>
      <c r="Q108" s="167">
        <v>45117</v>
      </c>
      <c r="R108" s="168"/>
      <c r="S108" s="166"/>
      <c r="T108" s="166"/>
      <c r="U108" s="1037"/>
      <c r="V108" s="1067"/>
      <c r="W108" s="1025"/>
      <c r="X108" s="2">
        <v>10</v>
      </c>
    </row>
    <row r="109" spans="1:24" x14ac:dyDescent="0.25">
      <c r="A109" s="1064"/>
      <c r="B109" s="1028"/>
      <c r="C109" s="1028"/>
      <c r="D109" s="1028"/>
      <c r="E109" s="1028"/>
      <c r="F109" s="1031"/>
      <c r="G109" s="1034"/>
      <c r="H109" s="1037"/>
      <c r="I109" s="1040"/>
      <c r="J109" s="1043"/>
      <c r="K109" s="1046"/>
      <c r="L109" s="1028"/>
      <c r="M109" s="1028"/>
      <c r="N109" s="165">
        <v>45138</v>
      </c>
      <c r="O109" s="1031"/>
      <c r="P109" s="166">
        <v>520</v>
      </c>
      <c r="Q109" s="167">
        <v>45147</v>
      </c>
      <c r="R109" s="168"/>
      <c r="S109" s="166"/>
      <c r="T109" s="166"/>
      <c r="U109" s="1037"/>
      <c r="V109" s="1067"/>
      <c r="W109" s="1025"/>
      <c r="X109" s="2">
        <v>10</v>
      </c>
    </row>
    <row r="110" spans="1:24" x14ac:dyDescent="0.25">
      <c r="A110" s="1064"/>
      <c r="B110" s="1028"/>
      <c r="C110" s="1028"/>
      <c r="D110" s="1028"/>
      <c r="E110" s="1028"/>
      <c r="F110" s="1031"/>
      <c r="G110" s="1034"/>
      <c r="H110" s="1037"/>
      <c r="I110" s="1040"/>
      <c r="J110" s="1043"/>
      <c r="K110" s="1046"/>
      <c r="L110" s="1028"/>
      <c r="M110" s="1028"/>
      <c r="N110" s="165">
        <v>45169</v>
      </c>
      <c r="O110" s="1031"/>
      <c r="P110" s="166">
        <v>1560</v>
      </c>
      <c r="Q110" s="167">
        <v>45177</v>
      </c>
      <c r="R110" s="168"/>
      <c r="S110" s="166"/>
      <c r="T110" s="166"/>
      <c r="U110" s="1037"/>
      <c r="V110" s="1067"/>
      <c r="W110" s="1025"/>
      <c r="X110" s="2">
        <v>10</v>
      </c>
    </row>
    <row r="111" spans="1:24" x14ac:dyDescent="0.25">
      <c r="A111" s="1064"/>
      <c r="B111" s="1028"/>
      <c r="C111" s="1028"/>
      <c r="D111" s="1028"/>
      <c r="E111" s="1028"/>
      <c r="F111" s="1031"/>
      <c r="G111" s="1034"/>
      <c r="H111" s="1037"/>
      <c r="I111" s="1040"/>
      <c r="J111" s="1043"/>
      <c r="K111" s="1046"/>
      <c r="L111" s="1028"/>
      <c r="M111" s="1028"/>
      <c r="N111" s="165">
        <v>45199</v>
      </c>
      <c r="O111" s="1031"/>
      <c r="P111" s="166">
        <v>6500</v>
      </c>
      <c r="Q111" s="167">
        <v>45209</v>
      </c>
      <c r="R111" s="168"/>
      <c r="S111" s="166"/>
      <c r="T111" s="166"/>
      <c r="U111" s="1037"/>
      <c r="V111" s="1067"/>
      <c r="W111" s="1025"/>
      <c r="X111" s="2">
        <v>10</v>
      </c>
    </row>
    <row r="112" spans="1:24" x14ac:dyDescent="0.25">
      <c r="A112" s="1064"/>
      <c r="B112" s="1028"/>
      <c r="C112" s="1028"/>
      <c r="D112" s="1028"/>
      <c r="E112" s="1028"/>
      <c r="F112" s="1031"/>
      <c r="G112" s="1034"/>
      <c r="H112" s="1037"/>
      <c r="I112" s="1040"/>
      <c r="J112" s="1043"/>
      <c r="K112" s="1046"/>
      <c r="L112" s="1028"/>
      <c r="M112" s="1028"/>
      <c r="N112" s="165">
        <v>45230</v>
      </c>
      <c r="O112" s="1031"/>
      <c r="P112" s="166">
        <v>5980</v>
      </c>
      <c r="Q112" s="167"/>
      <c r="R112" s="168"/>
      <c r="S112" s="166"/>
      <c r="T112" s="166"/>
      <c r="U112" s="1037"/>
      <c r="V112" s="1067"/>
      <c r="W112" s="1025"/>
      <c r="X112" s="2">
        <v>10</v>
      </c>
    </row>
    <row r="113" spans="1:24" x14ac:dyDescent="0.25">
      <c r="A113" s="1064"/>
      <c r="B113" s="1028"/>
      <c r="C113" s="1028"/>
      <c r="D113" s="1028"/>
      <c r="E113" s="1028"/>
      <c r="F113" s="1031"/>
      <c r="G113" s="1034"/>
      <c r="H113" s="1037"/>
      <c r="I113" s="1040"/>
      <c r="J113" s="1043"/>
      <c r="K113" s="1046"/>
      <c r="L113" s="1028"/>
      <c r="M113" s="1028"/>
      <c r="N113" s="165">
        <v>45267</v>
      </c>
      <c r="O113" s="1031"/>
      <c r="P113" s="166">
        <v>6240</v>
      </c>
      <c r="Q113" s="167">
        <v>45278</v>
      </c>
      <c r="R113" s="168"/>
      <c r="S113" s="166"/>
      <c r="T113" s="166"/>
      <c r="U113" s="1037"/>
      <c r="V113" s="1067"/>
      <c r="W113" s="1025"/>
      <c r="X113" s="2">
        <v>10</v>
      </c>
    </row>
    <row r="114" spans="1:24" x14ac:dyDescent="0.25">
      <c r="A114" s="1065"/>
      <c r="B114" s="1029"/>
      <c r="C114" s="1029"/>
      <c r="D114" s="1029"/>
      <c r="E114" s="1029"/>
      <c r="F114" s="1032"/>
      <c r="G114" s="1035"/>
      <c r="H114" s="1038"/>
      <c r="I114" s="1041"/>
      <c r="J114" s="1044"/>
      <c r="K114" s="1047"/>
      <c r="L114" s="1029"/>
      <c r="M114" s="1029"/>
      <c r="N114" s="161"/>
      <c r="O114" s="1032"/>
      <c r="P114" s="162"/>
      <c r="Q114" s="163"/>
      <c r="R114" s="164"/>
      <c r="S114" s="162"/>
      <c r="T114" s="162"/>
      <c r="U114" s="1038"/>
      <c r="V114" s="1068"/>
      <c r="W114" s="1026"/>
      <c r="X114" s="2">
        <v>10</v>
      </c>
    </row>
    <row r="115" spans="1:24" s="83" customFormat="1" x14ac:dyDescent="0.25">
      <c r="A115" s="869">
        <v>11</v>
      </c>
      <c r="B115" s="801" t="s">
        <v>56</v>
      </c>
      <c r="C115" s="801" t="s">
        <v>147</v>
      </c>
      <c r="D115" s="801" t="s">
        <v>172</v>
      </c>
      <c r="E115" s="801" t="s">
        <v>211</v>
      </c>
      <c r="F115" s="872">
        <v>44946</v>
      </c>
      <c r="G115" s="881" t="s">
        <v>213</v>
      </c>
      <c r="H115" s="827">
        <v>36000</v>
      </c>
      <c r="I115" s="792">
        <f>IF(X115 = 11, H115 + SUM(S115:S126) - SUM(T115:T126) - SUM(P115:P126) - V115,0)</f>
        <v>0</v>
      </c>
      <c r="J115" s="795">
        <v>2353002302</v>
      </c>
      <c r="K115" s="798" t="s">
        <v>212</v>
      </c>
      <c r="L115" s="801" t="s">
        <v>147</v>
      </c>
      <c r="M115" s="801" t="s">
        <v>151</v>
      </c>
      <c r="N115" s="174">
        <v>44971</v>
      </c>
      <c r="O115" s="872" t="s">
        <v>214</v>
      </c>
      <c r="P115" s="175">
        <v>3000</v>
      </c>
      <c r="Q115" s="176">
        <v>44986</v>
      </c>
      <c r="R115" s="177"/>
      <c r="S115" s="175"/>
      <c r="T115" s="175"/>
      <c r="U115" s="827"/>
      <c r="V115" s="875"/>
      <c r="W115" s="878"/>
      <c r="X115" s="83">
        <v>11</v>
      </c>
    </row>
    <row r="116" spans="1:24" x14ac:dyDescent="0.25">
      <c r="A116" s="870"/>
      <c r="B116" s="802"/>
      <c r="C116" s="802"/>
      <c r="D116" s="802"/>
      <c r="E116" s="802"/>
      <c r="F116" s="873"/>
      <c r="G116" s="882"/>
      <c r="H116" s="828"/>
      <c r="I116" s="793"/>
      <c r="J116" s="796"/>
      <c r="K116" s="799"/>
      <c r="L116" s="802"/>
      <c r="M116" s="802"/>
      <c r="N116" s="182">
        <v>44985</v>
      </c>
      <c r="O116" s="873"/>
      <c r="P116" s="183">
        <v>3000</v>
      </c>
      <c r="Q116" s="184">
        <v>44986</v>
      </c>
      <c r="R116" s="185"/>
      <c r="S116" s="183"/>
      <c r="T116" s="183"/>
      <c r="U116" s="828"/>
      <c r="V116" s="876"/>
      <c r="W116" s="879"/>
      <c r="X116" s="2">
        <v>11</v>
      </c>
    </row>
    <row r="117" spans="1:24" x14ac:dyDescent="0.25">
      <c r="A117" s="870"/>
      <c r="B117" s="802"/>
      <c r="C117" s="802"/>
      <c r="D117" s="802"/>
      <c r="E117" s="802"/>
      <c r="F117" s="873"/>
      <c r="G117" s="882"/>
      <c r="H117" s="828"/>
      <c r="I117" s="793"/>
      <c r="J117" s="796"/>
      <c r="K117" s="799"/>
      <c r="L117" s="802"/>
      <c r="M117" s="802"/>
      <c r="N117" s="182">
        <v>45016</v>
      </c>
      <c r="O117" s="873"/>
      <c r="P117" s="183">
        <v>3000</v>
      </c>
      <c r="Q117" s="184">
        <v>45027</v>
      </c>
      <c r="R117" s="185"/>
      <c r="S117" s="183"/>
      <c r="T117" s="183"/>
      <c r="U117" s="828"/>
      <c r="V117" s="876"/>
      <c r="W117" s="879"/>
      <c r="X117" s="2">
        <v>11</v>
      </c>
    </row>
    <row r="118" spans="1:24" x14ac:dyDescent="0.25">
      <c r="A118" s="870"/>
      <c r="B118" s="802"/>
      <c r="C118" s="802"/>
      <c r="D118" s="802"/>
      <c r="E118" s="802"/>
      <c r="F118" s="873"/>
      <c r="G118" s="882"/>
      <c r="H118" s="828"/>
      <c r="I118" s="793"/>
      <c r="J118" s="796"/>
      <c r="K118" s="799"/>
      <c r="L118" s="802"/>
      <c r="M118" s="802"/>
      <c r="N118" s="182">
        <v>45046</v>
      </c>
      <c r="O118" s="873"/>
      <c r="P118" s="183">
        <v>3000</v>
      </c>
      <c r="Q118" s="184">
        <v>45049</v>
      </c>
      <c r="R118" s="185"/>
      <c r="S118" s="183"/>
      <c r="T118" s="183"/>
      <c r="U118" s="828"/>
      <c r="V118" s="876"/>
      <c r="W118" s="879"/>
      <c r="X118" s="2">
        <v>11</v>
      </c>
    </row>
    <row r="119" spans="1:24" x14ac:dyDescent="0.25">
      <c r="A119" s="870"/>
      <c r="B119" s="802"/>
      <c r="C119" s="802"/>
      <c r="D119" s="802"/>
      <c r="E119" s="802"/>
      <c r="F119" s="873"/>
      <c r="G119" s="882"/>
      <c r="H119" s="828"/>
      <c r="I119" s="793"/>
      <c r="J119" s="796"/>
      <c r="K119" s="799"/>
      <c r="L119" s="802"/>
      <c r="M119" s="802"/>
      <c r="N119" s="182">
        <v>45077</v>
      </c>
      <c r="O119" s="873"/>
      <c r="P119" s="183">
        <v>3000</v>
      </c>
      <c r="Q119" s="184">
        <v>45077</v>
      </c>
      <c r="R119" s="185"/>
      <c r="S119" s="183"/>
      <c r="T119" s="183"/>
      <c r="U119" s="828"/>
      <c r="V119" s="876"/>
      <c r="W119" s="879"/>
      <c r="X119" s="2">
        <v>11</v>
      </c>
    </row>
    <row r="120" spans="1:24" x14ac:dyDescent="0.25">
      <c r="A120" s="870"/>
      <c r="B120" s="802"/>
      <c r="C120" s="802"/>
      <c r="D120" s="802"/>
      <c r="E120" s="802"/>
      <c r="F120" s="873"/>
      <c r="G120" s="882"/>
      <c r="H120" s="828"/>
      <c r="I120" s="793"/>
      <c r="J120" s="796"/>
      <c r="K120" s="799"/>
      <c r="L120" s="802"/>
      <c r="M120" s="802"/>
      <c r="N120" s="182">
        <v>45107</v>
      </c>
      <c r="O120" s="873"/>
      <c r="P120" s="183">
        <v>3000</v>
      </c>
      <c r="Q120" s="184">
        <v>45113</v>
      </c>
      <c r="R120" s="185"/>
      <c r="S120" s="183"/>
      <c r="T120" s="183"/>
      <c r="U120" s="828"/>
      <c r="V120" s="876"/>
      <c r="W120" s="879"/>
      <c r="X120" s="2">
        <v>11</v>
      </c>
    </row>
    <row r="121" spans="1:24" x14ac:dyDescent="0.25">
      <c r="A121" s="870"/>
      <c r="B121" s="802"/>
      <c r="C121" s="802"/>
      <c r="D121" s="802"/>
      <c r="E121" s="802"/>
      <c r="F121" s="873"/>
      <c r="G121" s="882"/>
      <c r="H121" s="828"/>
      <c r="I121" s="793"/>
      <c r="J121" s="796"/>
      <c r="K121" s="799"/>
      <c r="L121" s="802"/>
      <c r="M121" s="802"/>
      <c r="N121" s="182">
        <v>45138</v>
      </c>
      <c r="O121" s="873"/>
      <c r="P121" s="183">
        <v>3000</v>
      </c>
      <c r="Q121" s="184">
        <v>45139</v>
      </c>
      <c r="R121" s="185"/>
      <c r="S121" s="183"/>
      <c r="T121" s="183"/>
      <c r="U121" s="828"/>
      <c r="V121" s="876"/>
      <c r="W121" s="879"/>
      <c r="X121" s="2">
        <v>11</v>
      </c>
    </row>
    <row r="122" spans="1:24" x14ac:dyDescent="0.25">
      <c r="A122" s="870"/>
      <c r="B122" s="802"/>
      <c r="C122" s="802"/>
      <c r="D122" s="802"/>
      <c r="E122" s="802"/>
      <c r="F122" s="873"/>
      <c r="G122" s="882"/>
      <c r="H122" s="828"/>
      <c r="I122" s="793"/>
      <c r="J122" s="796"/>
      <c r="K122" s="799"/>
      <c r="L122" s="802"/>
      <c r="M122" s="802"/>
      <c r="N122" s="182">
        <v>45169</v>
      </c>
      <c r="O122" s="873"/>
      <c r="P122" s="183">
        <v>3000</v>
      </c>
      <c r="Q122" s="184">
        <v>45177</v>
      </c>
      <c r="R122" s="185"/>
      <c r="S122" s="183"/>
      <c r="T122" s="183"/>
      <c r="U122" s="828"/>
      <c r="V122" s="876"/>
      <c r="W122" s="879"/>
      <c r="X122" s="2">
        <v>11</v>
      </c>
    </row>
    <row r="123" spans="1:24" x14ac:dyDescent="0.25">
      <c r="A123" s="870"/>
      <c r="B123" s="802"/>
      <c r="C123" s="802"/>
      <c r="D123" s="802"/>
      <c r="E123" s="802"/>
      <c r="F123" s="873"/>
      <c r="G123" s="882"/>
      <c r="H123" s="828"/>
      <c r="I123" s="793"/>
      <c r="J123" s="796"/>
      <c r="K123" s="799"/>
      <c r="L123" s="802"/>
      <c r="M123" s="802"/>
      <c r="N123" s="182">
        <v>45199</v>
      </c>
      <c r="O123" s="873"/>
      <c r="P123" s="183">
        <v>3000</v>
      </c>
      <c r="Q123" s="184">
        <v>45209</v>
      </c>
      <c r="R123" s="185"/>
      <c r="S123" s="183"/>
      <c r="T123" s="183"/>
      <c r="U123" s="828"/>
      <c r="V123" s="876"/>
      <c r="W123" s="879"/>
      <c r="X123" s="2">
        <v>11</v>
      </c>
    </row>
    <row r="124" spans="1:24" x14ac:dyDescent="0.25">
      <c r="A124" s="870"/>
      <c r="B124" s="802"/>
      <c r="C124" s="802"/>
      <c r="D124" s="802"/>
      <c r="E124" s="802"/>
      <c r="F124" s="873"/>
      <c r="G124" s="882"/>
      <c r="H124" s="828"/>
      <c r="I124" s="793"/>
      <c r="J124" s="796"/>
      <c r="K124" s="799"/>
      <c r="L124" s="802"/>
      <c r="M124" s="802"/>
      <c r="N124" s="182">
        <v>45230</v>
      </c>
      <c r="O124" s="873"/>
      <c r="P124" s="183">
        <v>3000</v>
      </c>
      <c r="Q124" s="184"/>
      <c r="R124" s="185"/>
      <c r="S124" s="183"/>
      <c r="T124" s="183"/>
      <c r="U124" s="828"/>
      <c r="V124" s="876"/>
      <c r="W124" s="879"/>
      <c r="X124" s="2">
        <v>11</v>
      </c>
    </row>
    <row r="125" spans="1:24" x14ac:dyDescent="0.25">
      <c r="A125" s="870"/>
      <c r="B125" s="802"/>
      <c r="C125" s="802"/>
      <c r="D125" s="802"/>
      <c r="E125" s="802"/>
      <c r="F125" s="873"/>
      <c r="G125" s="882"/>
      <c r="H125" s="828"/>
      <c r="I125" s="793"/>
      <c r="J125" s="796"/>
      <c r="K125" s="799"/>
      <c r="L125" s="802"/>
      <c r="M125" s="802"/>
      <c r="N125" s="182">
        <v>45260</v>
      </c>
      <c r="O125" s="873"/>
      <c r="P125" s="183">
        <v>3000</v>
      </c>
      <c r="Q125" s="184">
        <v>45268</v>
      </c>
      <c r="R125" s="185"/>
      <c r="S125" s="183"/>
      <c r="T125" s="183"/>
      <c r="U125" s="828"/>
      <c r="V125" s="876"/>
      <c r="W125" s="879"/>
      <c r="X125" s="2">
        <v>11</v>
      </c>
    </row>
    <row r="126" spans="1:24" x14ac:dyDescent="0.25">
      <c r="A126" s="871"/>
      <c r="B126" s="803"/>
      <c r="C126" s="803"/>
      <c r="D126" s="803"/>
      <c r="E126" s="803"/>
      <c r="F126" s="874"/>
      <c r="G126" s="883"/>
      <c r="H126" s="829"/>
      <c r="I126" s="794"/>
      <c r="J126" s="797"/>
      <c r="K126" s="800"/>
      <c r="L126" s="803"/>
      <c r="M126" s="803"/>
      <c r="N126" s="178">
        <v>45279</v>
      </c>
      <c r="O126" s="874"/>
      <c r="P126" s="179">
        <v>3000</v>
      </c>
      <c r="Q126" s="180">
        <v>45279</v>
      </c>
      <c r="R126" s="181"/>
      <c r="S126" s="179"/>
      <c r="T126" s="179"/>
      <c r="U126" s="829"/>
      <c r="V126" s="877"/>
      <c r="W126" s="880"/>
      <c r="X126" s="2">
        <v>11</v>
      </c>
    </row>
    <row r="127" spans="1:24" s="83" customFormat="1" x14ac:dyDescent="0.25">
      <c r="A127" s="861">
        <v>12</v>
      </c>
      <c r="B127" s="788" t="s">
        <v>56</v>
      </c>
      <c r="C127" s="788" t="s">
        <v>147</v>
      </c>
      <c r="D127" s="788" t="s">
        <v>172</v>
      </c>
      <c r="E127" s="788" t="s">
        <v>215</v>
      </c>
      <c r="F127" s="784">
        <v>44946</v>
      </c>
      <c r="G127" s="844" t="s">
        <v>216</v>
      </c>
      <c r="H127" s="786">
        <v>24000</v>
      </c>
      <c r="I127" s="846">
        <f>IF(X127 = 12, H127 + SUM(S127:S138) - SUM(T127:T138) - SUM(P127:P138) - V127,0)</f>
        <v>0</v>
      </c>
      <c r="J127" s="848">
        <v>2353002302</v>
      </c>
      <c r="K127" s="850" t="s">
        <v>212</v>
      </c>
      <c r="L127" s="788" t="s">
        <v>147</v>
      </c>
      <c r="M127" s="788" t="s">
        <v>151</v>
      </c>
      <c r="N127" s="328">
        <v>44971</v>
      </c>
      <c r="O127" s="784" t="s">
        <v>214</v>
      </c>
      <c r="P127" s="322">
        <v>2000</v>
      </c>
      <c r="Q127" s="323">
        <v>44986</v>
      </c>
      <c r="R127" s="324"/>
      <c r="S127" s="322"/>
      <c r="T127" s="322"/>
      <c r="U127" s="786"/>
      <c r="V127" s="790"/>
      <c r="W127" s="842"/>
      <c r="X127" s="83">
        <v>12</v>
      </c>
    </row>
    <row r="128" spans="1:24" x14ac:dyDescent="0.25">
      <c r="A128" s="862"/>
      <c r="B128" s="789"/>
      <c r="C128" s="789"/>
      <c r="D128" s="789"/>
      <c r="E128" s="789"/>
      <c r="F128" s="785"/>
      <c r="G128" s="845"/>
      <c r="H128" s="787"/>
      <c r="I128" s="847"/>
      <c r="J128" s="849"/>
      <c r="K128" s="851"/>
      <c r="L128" s="789"/>
      <c r="M128" s="789"/>
      <c r="N128" s="329">
        <v>44985</v>
      </c>
      <c r="O128" s="785"/>
      <c r="P128" s="325">
        <v>2000</v>
      </c>
      <c r="Q128" s="326">
        <v>44986</v>
      </c>
      <c r="R128" s="327"/>
      <c r="S128" s="325"/>
      <c r="T128" s="325"/>
      <c r="U128" s="787"/>
      <c r="V128" s="791"/>
      <c r="W128" s="843"/>
      <c r="X128" s="2">
        <v>12</v>
      </c>
    </row>
    <row r="129" spans="1:24" x14ac:dyDescent="0.25">
      <c r="A129" s="862"/>
      <c r="B129" s="789"/>
      <c r="C129" s="789"/>
      <c r="D129" s="789"/>
      <c r="E129" s="789"/>
      <c r="F129" s="785"/>
      <c r="G129" s="845"/>
      <c r="H129" s="787"/>
      <c r="I129" s="847"/>
      <c r="J129" s="849"/>
      <c r="K129" s="851"/>
      <c r="L129" s="789"/>
      <c r="M129" s="789"/>
      <c r="N129" s="329">
        <v>45016</v>
      </c>
      <c r="O129" s="785"/>
      <c r="P129" s="325">
        <v>2000</v>
      </c>
      <c r="Q129" s="326">
        <v>45027</v>
      </c>
      <c r="R129" s="327"/>
      <c r="S129" s="325"/>
      <c r="T129" s="325"/>
      <c r="U129" s="787"/>
      <c r="V129" s="791"/>
      <c r="W129" s="843"/>
      <c r="X129" s="2">
        <v>12</v>
      </c>
    </row>
    <row r="130" spans="1:24" x14ac:dyDescent="0.25">
      <c r="A130" s="862"/>
      <c r="B130" s="789"/>
      <c r="C130" s="789"/>
      <c r="D130" s="789"/>
      <c r="E130" s="789"/>
      <c r="F130" s="785"/>
      <c r="G130" s="845"/>
      <c r="H130" s="787"/>
      <c r="I130" s="847"/>
      <c r="J130" s="849"/>
      <c r="K130" s="851"/>
      <c r="L130" s="789"/>
      <c r="M130" s="789"/>
      <c r="N130" s="329">
        <v>45046</v>
      </c>
      <c r="O130" s="785"/>
      <c r="P130" s="325">
        <v>2000</v>
      </c>
      <c r="Q130" s="326">
        <v>45049</v>
      </c>
      <c r="R130" s="327"/>
      <c r="S130" s="325"/>
      <c r="T130" s="325"/>
      <c r="U130" s="787"/>
      <c r="V130" s="791"/>
      <c r="W130" s="843"/>
      <c r="X130" s="2">
        <v>12</v>
      </c>
    </row>
    <row r="131" spans="1:24" x14ac:dyDescent="0.25">
      <c r="A131" s="862"/>
      <c r="B131" s="789"/>
      <c r="C131" s="789"/>
      <c r="D131" s="789"/>
      <c r="E131" s="789"/>
      <c r="F131" s="785"/>
      <c r="G131" s="845"/>
      <c r="H131" s="787"/>
      <c r="I131" s="847"/>
      <c r="J131" s="849"/>
      <c r="K131" s="851"/>
      <c r="L131" s="789"/>
      <c r="M131" s="789"/>
      <c r="N131" s="329">
        <v>45077</v>
      </c>
      <c r="O131" s="785"/>
      <c r="P131" s="325">
        <v>2000</v>
      </c>
      <c r="Q131" s="326">
        <v>45077</v>
      </c>
      <c r="R131" s="327"/>
      <c r="S131" s="325"/>
      <c r="T131" s="325"/>
      <c r="U131" s="787"/>
      <c r="V131" s="791"/>
      <c r="W131" s="843"/>
      <c r="X131" s="2">
        <v>12</v>
      </c>
    </row>
    <row r="132" spans="1:24" x14ac:dyDescent="0.25">
      <c r="A132" s="862"/>
      <c r="B132" s="789"/>
      <c r="C132" s="789"/>
      <c r="D132" s="789"/>
      <c r="E132" s="789"/>
      <c r="F132" s="785"/>
      <c r="G132" s="845"/>
      <c r="H132" s="787"/>
      <c r="I132" s="847"/>
      <c r="J132" s="849"/>
      <c r="K132" s="851"/>
      <c r="L132" s="789"/>
      <c r="M132" s="789"/>
      <c r="N132" s="329">
        <v>45107</v>
      </c>
      <c r="O132" s="785"/>
      <c r="P132" s="325">
        <v>2000</v>
      </c>
      <c r="Q132" s="326">
        <v>45113</v>
      </c>
      <c r="R132" s="327"/>
      <c r="S132" s="325"/>
      <c r="T132" s="325"/>
      <c r="U132" s="787"/>
      <c r="V132" s="791"/>
      <c r="W132" s="843"/>
      <c r="X132" s="2">
        <v>12</v>
      </c>
    </row>
    <row r="133" spans="1:24" x14ac:dyDescent="0.25">
      <c r="A133" s="862"/>
      <c r="B133" s="789"/>
      <c r="C133" s="789"/>
      <c r="D133" s="789"/>
      <c r="E133" s="789"/>
      <c r="F133" s="785"/>
      <c r="G133" s="845"/>
      <c r="H133" s="787"/>
      <c r="I133" s="847"/>
      <c r="J133" s="849"/>
      <c r="K133" s="851"/>
      <c r="L133" s="789"/>
      <c r="M133" s="789"/>
      <c r="N133" s="329">
        <v>45138</v>
      </c>
      <c r="O133" s="785"/>
      <c r="P133" s="325">
        <v>2000</v>
      </c>
      <c r="Q133" s="326">
        <v>45139</v>
      </c>
      <c r="R133" s="327"/>
      <c r="S133" s="325"/>
      <c r="T133" s="325"/>
      <c r="U133" s="787"/>
      <c r="V133" s="791"/>
      <c r="W133" s="843"/>
      <c r="X133" s="2">
        <v>12</v>
      </c>
    </row>
    <row r="134" spans="1:24" x14ac:dyDescent="0.25">
      <c r="A134" s="862"/>
      <c r="B134" s="789"/>
      <c r="C134" s="789"/>
      <c r="D134" s="789"/>
      <c r="E134" s="789"/>
      <c r="F134" s="785"/>
      <c r="G134" s="845"/>
      <c r="H134" s="787"/>
      <c r="I134" s="847"/>
      <c r="J134" s="849"/>
      <c r="K134" s="851"/>
      <c r="L134" s="789"/>
      <c r="M134" s="789"/>
      <c r="N134" s="329">
        <v>45169</v>
      </c>
      <c r="O134" s="785"/>
      <c r="P134" s="325">
        <v>2000</v>
      </c>
      <c r="Q134" s="326">
        <v>45177</v>
      </c>
      <c r="R134" s="327"/>
      <c r="S134" s="325"/>
      <c r="T134" s="325"/>
      <c r="U134" s="787"/>
      <c r="V134" s="791"/>
      <c r="W134" s="843"/>
      <c r="X134" s="2">
        <v>12</v>
      </c>
    </row>
    <row r="135" spans="1:24" x14ac:dyDescent="0.25">
      <c r="A135" s="862"/>
      <c r="B135" s="789"/>
      <c r="C135" s="789"/>
      <c r="D135" s="789"/>
      <c r="E135" s="789"/>
      <c r="F135" s="785"/>
      <c r="G135" s="845"/>
      <c r="H135" s="787"/>
      <c r="I135" s="847"/>
      <c r="J135" s="849"/>
      <c r="K135" s="851"/>
      <c r="L135" s="789"/>
      <c r="M135" s="789"/>
      <c r="N135" s="329">
        <v>45199</v>
      </c>
      <c r="O135" s="785"/>
      <c r="P135" s="325">
        <v>2000</v>
      </c>
      <c r="Q135" s="326">
        <v>45209</v>
      </c>
      <c r="R135" s="327"/>
      <c r="S135" s="325"/>
      <c r="T135" s="325"/>
      <c r="U135" s="787"/>
      <c r="V135" s="791"/>
      <c r="W135" s="843"/>
      <c r="X135" s="2">
        <v>12</v>
      </c>
    </row>
    <row r="136" spans="1:24" x14ac:dyDescent="0.25">
      <c r="A136" s="862"/>
      <c r="B136" s="789"/>
      <c r="C136" s="789"/>
      <c r="D136" s="789"/>
      <c r="E136" s="789"/>
      <c r="F136" s="785"/>
      <c r="G136" s="845"/>
      <c r="H136" s="787"/>
      <c r="I136" s="847"/>
      <c r="J136" s="849"/>
      <c r="K136" s="851"/>
      <c r="L136" s="789"/>
      <c r="M136" s="789"/>
      <c r="N136" s="329">
        <v>45230</v>
      </c>
      <c r="O136" s="785"/>
      <c r="P136" s="325">
        <v>2000</v>
      </c>
      <c r="Q136" s="326"/>
      <c r="R136" s="327"/>
      <c r="S136" s="325"/>
      <c r="T136" s="325"/>
      <c r="U136" s="787"/>
      <c r="V136" s="791"/>
      <c r="W136" s="843"/>
      <c r="X136" s="2">
        <v>12</v>
      </c>
    </row>
    <row r="137" spans="1:24" x14ac:dyDescent="0.25">
      <c r="A137" s="862"/>
      <c r="B137" s="789"/>
      <c r="C137" s="789"/>
      <c r="D137" s="789"/>
      <c r="E137" s="789"/>
      <c r="F137" s="785"/>
      <c r="G137" s="845"/>
      <c r="H137" s="787"/>
      <c r="I137" s="847"/>
      <c r="J137" s="849"/>
      <c r="K137" s="851"/>
      <c r="L137" s="789"/>
      <c r="M137" s="789"/>
      <c r="N137" s="329">
        <v>45260</v>
      </c>
      <c r="O137" s="785"/>
      <c r="P137" s="325">
        <v>2000</v>
      </c>
      <c r="Q137" s="326">
        <v>45268</v>
      </c>
      <c r="R137" s="327"/>
      <c r="S137" s="325"/>
      <c r="T137" s="325"/>
      <c r="U137" s="787"/>
      <c r="V137" s="791"/>
      <c r="W137" s="843"/>
      <c r="X137" s="2">
        <v>12</v>
      </c>
    </row>
    <row r="138" spans="1:24" x14ac:dyDescent="0.25">
      <c r="A138" s="862"/>
      <c r="B138" s="789"/>
      <c r="C138" s="789"/>
      <c r="D138" s="789"/>
      <c r="E138" s="789"/>
      <c r="F138" s="785"/>
      <c r="G138" s="845"/>
      <c r="H138" s="787"/>
      <c r="I138" s="847"/>
      <c r="J138" s="849"/>
      <c r="K138" s="851"/>
      <c r="L138" s="789"/>
      <c r="M138" s="789"/>
      <c r="N138" s="329">
        <v>45279</v>
      </c>
      <c r="O138" s="785"/>
      <c r="P138" s="325">
        <v>2000</v>
      </c>
      <c r="Q138" s="326">
        <v>45279</v>
      </c>
      <c r="R138" s="327"/>
      <c r="S138" s="325"/>
      <c r="T138" s="325"/>
      <c r="U138" s="787"/>
      <c r="V138" s="791"/>
      <c r="W138" s="843"/>
      <c r="X138" s="2">
        <v>12</v>
      </c>
    </row>
    <row r="139" spans="1:24" s="83" customFormat="1" x14ac:dyDescent="0.25">
      <c r="A139" s="825">
        <v>13</v>
      </c>
      <c r="B139" s="806" t="s">
        <v>56</v>
      </c>
      <c r="C139" s="806" t="s">
        <v>147</v>
      </c>
      <c r="D139" s="806" t="s">
        <v>172</v>
      </c>
      <c r="E139" s="806" t="s">
        <v>116</v>
      </c>
      <c r="F139" s="810">
        <v>44946</v>
      </c>
      <c r="G139" s="812" t="s">
        <v>217</v>
      </c>
      <c r="H139" s="804">
        <v>5188</v>
      </c>
      <c r="I139" s="814">
        <f>IF(X139 = 13, H139 + SUM(S139:S143) - SUM(T139:T143) - SUM(P139:P143) - V139,0)</f>
        <v>1.7053025658242404E-13</v>
      </c>
      <c r="J139" s="854">
        <v>2353023951</v>
      </c>
      <c r="K139" s="856" t="s">
        <v>218</v>
      </c>
      <c r="L139" s="806" t="s">
        <v>147</v>
      </c>
      <c r="M139" s="806" t="s">
        <v>151</v>
      </c>
      <c r="N139" s="309">
        <v>44985</v>
      </c>
      <c r="O139" s="810" t="s">
        <v>219</v>
      </c>
      <c r="P139" s="301">
        <v>2050.84</v>
      </c>
      <c r="Q139" s="302">
        <v>44988</v>
      </c>
      <c r="R139" s="303"/>
      <c r="S139" s="304"/>
      <c r="T139" s="304"/>
      <c r="U139" s="804" t="s">
        <v>454</v>
      </c>
      <c r="V139" s="808">
        <v>286.83999999999997</v>
      </c>
      <c r="W139" s="852"/>
      <c r="X139" s="83">
        <v>13</v>
      </c>
    </row>
    <row r="140" spans="1:24" x14ac:dyDescent="0.25">
      <c r="A140" s="826"/>
      <c r="B140" s="807"/>
      <c r="C140" s="807"/>
      <c r="D140" s="807"/>
      <c r="E140" s="807"/>
      <c r="F140" s="811"/>
      <c r="G140" s="813"/>
      <c r="H140" s="805"/>
      <c r="I140" s="815"/>
      <c r="J140" s="855"/>
      <c r="K140" s="857"/>
      <c r="L140" s="807"/>
      <c r="M140" s="807"/>
      <c r="N140" s="310">
        <v>45016</v>
      </c>
      <c r="O140" s="811"/>
      <c r="P140" s="305">
        <v>799.48</v>
      </c>
      <c r="Q140" s="306">
        <v>45027</v>
      </c>
      <c r="R140" s="307"/>
      <c r="S140" s="308"/>
      <c r="T140" s="308"/>
      <c r="U140" s="805"/>
      <c r="V140" s="809"/>
      <c r="W140" s="853"/>
      <c r="X140" s="2">
        <v>13</v>
      </c>
    </row>
    <row r="141" spans="1:24" x14ac:dyDescent="0.25">
      <c r="A141" s="826"/>
      <c r="B141" s="807"/>
      <c r="C141" s="807"/>
      <c r="D141" s="807"/>
      <c r="E141" s="807"/>
      <c r="F141" s="811"/>
      <c r="G141" s="813"/>
      <c r="H141" s="805"/>
      <c r="I141" s="815"/>
      <c r="J141" s="855"/>
      <c r="K141" s="857"/>
      <c r="L141" s="807"/>
      <c r="M141" s="807"/>
      <c r="N141" s="310">
        <v>45056</v>
      </c>
      <c r="O141" s="811"/>
      <c r="P141" s="305">
        <v>1077.56</v>
      </c>
      <c r="Q141" s="306">
        <v>45063</v>
      </c>
      <c r="R141" s="307"/>
      <c r="S141" s="308"/>
      <c r="T141" s="308"/>
      <c r="U141" s="805"/>
      <c r="V141" s="809"/>
      <c r="W141" s="853"/>
      <c r="X141" s="2">
        <v>13</v>
      </c>
    </row>
    <row r="142" spans="1:24" x14ac:dyDescent="0.25">
      <c r="A142" s="826"/>
      <c r="B142" s="807"/>
      <c r="C142" s="807"/>
      <c r="D142" s="807"/>
      <c r="E142" s="807"/>
      <c r="F142" s="811"/>
      <c r="G142" s="813"/>
      <c r="H142" s="805"/>
      <c r="I142" s="815"/>
      <c r="J142" s="855"/>
      <c r="K142" s="857"/>
      <c r="L142" s="807"/>
      <c r="M142" s="807"/>
      <c r="N142" s="310">
        <v>45079</v>
      </c>
      <c r="O142" s="811"/>
      <c r="P142" s="305">
        <v>451.88</v>
      </c>
      <c r="Q142" s="306">
        <v>45086</v>
      </c>
      <c r="R142" s="307"/>
      <c r="S142" s="308"/>
      <c r="T142" s="308"/>
      <c r="U142" s="805"/>
      <c r="V142" s="809"/>
      <c r="W142" s="853"/>
      <c r="X142" s="2">
        <v>13</v>
      </c>
    </row>
    <row r="143" spans="1:24" x14ac:dyDescent="0.25">
      <c r="A143" s="826"/>
      <c r="B143" s="807"/>
      <c r="C143" s="807"/>
      <c r="D143" s="807"/>
      <c r="E143" s="807"/>
      <c r="F143" s="811"/>
      <c r="G143" s="813"/>
      <c r="H143" s="805"/>
      <c r="I143" s="815"/>
      <c r="J143" s="855"/>
      <c r="K143" s="857"/>
      <c r="L143" s="807"/>
      <c r="M143" s="807"/>
      <c r="N143" s="310">
        <v>45105</v>
      </c>
      <c r="O143" s="811"/>
      <c r="P143" s="305">
        <v>521.4</v>
      </c>
      <c r="Q143" s="306">
        <v>45113</v>
      </c>
      <c r="R143" s="307"/>
      <c r="S143" s="308"/>
      <c r="T143" s="308"/>
      <c r="U143" s="805"/>
      <c r="V143" s="809"/>
      <c r="W143" s="853"/>
      <c r="X143" s="2">
        <v>13</v>
      </c>
    </row>
    <row r="144" spans="1:24" s="83" customFormat="1" ht="37.5" x14ac:dyDescent="0.25">
      <c r="A144" s="869">
        <v>14</v>
      </c>
      <c r="B144" s="801" t="s">
        <v>56</v>
      </c>
      <c r="C144" s="801" t="s">
        <v>147</v>
      </c>
      <c r="D144" s="801" t="s">
        <v>172</v>
      </c>
      <c r="E144" s="801" t="s">
        <v>229</v>
      </c>
      <c r="F144" s="872">
        <v>44972</v>
      </c>
      <c r="G144" s="881" t="s">
        <v>228</v>
      </c>
      <c r="H144" s="827">
        <v>45256.38</v>
      </c>
      <c r="I144" s="792">
        <f>IF(X144 = 14, H144 + SUM(S144:S155) - SUM(T144:T155) - SUM(P144:P155) - V144,0)</f>
        <v>3771.3299999999945</v>
      </c>
      <c r="J144" s="795">
        <v>2308131994</v>
      </c>
      <c r="K144" s="798" t="s">
        <v>227</v>
      </c>
      <c r="L144" s="801" t="s">
        <v>147</v>
      </c>
      <c r="M144" s="801" t="s">
        <v>151</v>
      </c>
      <c r="N144" s="174">
        <v>44972</v>
      </c>
      <c r="O144" s="872" t="s">
        <v>226</v>
      </c>
      <c r="P144" s="175">
        <v>3771.37</v>
      </c>
      <c r="Q144" s="176">
        <v>44986</v>
      </c>
      <c r="R144" s="177" t="s">
        <v>342</v>
      </c>
      <c r="S144" s="281"/>
      <c r="T144" s="175">
        <v>4873.76</v>
      </c>
      <c r="U144" s="827"/>
      <c r="V144" s="875"/>
      <c r="W144" s="878"/>
      <c r="X144" s="83">
        <v>14</v>
      </c>
    </row>
    <row r="145" spans="1:24" x14ac:dyDescent="0.25">
      <c r="A145" s="870"/>
      <c r="B145" s="802"/>
      <c r="C145" s="802"/>
      <c r="D145" s="802"/>
      <c r="E145" s="802"/>
      <c r="F145" s="873"/>
      <c r="G145" s="882"/>
      <c r="H145" s="828"/>
      <c r="I145" s="793"/>
      <c r="J145" s="796"/>
      <c r="K145" s="799"/>
      <c r="L145" s="802"/>
      <c r="M145" s="802"/>
      <c r="N145" s="182">
        <v>44985</v>
      </c>
      <c r="O145" s="873"/>
      <c r="P145" s="183">
        <v>3771.37</v>
      </c>
      <c r="Q145" s="184">
        <v>44986</v>
      </c>
      <c r="R145" s="284"/>
      <c r="S145" s="282"/>
      <c r="T145" s="282"/>
      <c r="U145" s="828"/>
      <c r="V145" s="876"/>
      <c r="W145" s="879"/>
      <c r="X145" s="2">
        <v>14</v>
      </c>
    </row>
    <row r="146" spans="1:24" x14ac:dyDescent="0.25">
      <c r="A146" s="870"/>
      <c r="B146" s="802"/>
      <c r="C146" s="802"/>
      <c r="D146" s="802"/>
      <c r="E146" s="802"/>
      <c r="F146" s="873"/>
      <c r="G146" s="882"/>
      <c r="H146" s="828"/>
      <c r="I146" s="793"/>
      <c r="J146" s="796"/>
      <c r="K146" s="799"/>
      <c r="L146" s="802"/>
      <c r="M146" s="802"/>
      <c r="N146" s="182">
        <v>45022</v>
      </c>
      <c r="O146" s="873"/>
      <c r="P146" s="183">
        <v>3771.37</v>
      </c>
      <c r="Q146" s="184">
        <v>45027</v>
      </c>
      <c r="R146" s="284"/>
      <c r="S146" s="282"/>
      <c r="T146" s="282"/>
      <c r="U146" s="828"/>
      <c r="V146" s="876"/>
      <c r="W146" s="879"/>
      <c r="X146" s="2">
        <v>14</v>
      </c>
    </row>
    <row r="147" spans="1:24" x14ac:dyDescent="0.25">
      <c r="A147" s="870"/>
      <c r="B147" s="802"/>
      <c r="C147" s="802"/>
      <c r="D147" s="802"/>
      <c r="E147" s="802"/>
      <c r="F147" s="873"/>
      <c r="G147" s="882"/>
      <c r="H147" s="828"/>
      <c r="I147" s="793"/>
      <c r="J147" s="796"/>
      <c r="K147" s="799"/>
      <c r="L147" s="802"/>
      <c r="M147" s="802"/>
      <c r="N147" s="182">
        <v>45048</v>
      </c>
      <c r="O147" s="873"/>
      <c r="P147" s="183">
        <v>3771.37</v>
      </c>
      <c r="Q147" s="184">
        <v>45049</v>
      </c>
      <c r="R147" s="284"/>
      <c r="S147" s="282"/>
      <c r="T147" s="282"/>
      <c r="U147" s="828"/>
      <c r="V147" s="876"/>
      <c r="W147" s="879"/>
      <c r="X147" s="2">
        <v>14</v>
      </c>
    </row>
    <row r="148" spans="1:24" x14ac:dyDescent="0.25">
      <c r="A148" s="870"/>
      <c r="B148" s="802"/>
      <c r="C148" s="802"/>
      <c r="D148" s="802"/>
      <c r="E148" s="802"/>
      <c r="F148" s="873"/>
      <c r="G148" s="882"/>
      <c r="H148" s="828"/>
      <c r="I148" s="793"/>
      <c r="J148" s="796"/>
      <c r="K148" s="799"/>
      <c r="L148" s="802"/>
      <c r="M148" s="802"/>
      <c r="N148" s="182">
        <v>45082</v>
      </c>
      <c r="O148" s="873"/>
      <c r="P148" s="183">
        <v>3771.37</v>
      </c>
      <c r="Q148" s="184">
        <v>45086</v>
      </c>
      <c r="R148" s="284"/>
      <c r="S148" s="282"/>
      <c r="T148" s="282"/>
      <c r="U148" s="828"/>
      <c r="V148" s="876"/>
      <c r="W148" s="879"/>
      <c r="X148" s="2">
        <v>14</v>
      </c>
    </row>
    <row r="149" spans="1:24" x14ac:dyDescent="0.25">
      <c r="A149" s="870"/>
      <c r="B149" s="802"/>
      <c r="C149" s="802"/>
      <c r="D149" s="802"/>
      <c r="E149" s="802"/>
      <c r="F149" s="873"/>
      <c r="G149" s="882"/>
      <c r="H149" s="828"/>
      <c r="I149" s="793"/>
      <c r="J149" s="796"/>
      <c r="K149" s="799"/>
      <c r="L149" s="802"/>
      <c r="M149" s="802"/>
      <c r="N149" s="182">
        <v>45112</v>
      </c>
      <c r="O149" s="873"/>
      <c r="P149" s="183">
        <v>2959.07</v>
      </c>
      <c r="Q149" s="184">
        <v>45113</v>
      </c>
      <c r="R149" s="284"/>
      <c r="S149" s="282"/>
      <c r="T149" s="282"/>
      <c r="U149" s="828"/>
      <c r="V149" s="876"/>
      <c r="W149" s="879"/>
      <c r="X149" s="2">
        <v>14</v>
      </c>
    </row>
    <row r="150" spans="1:24" x14ac:dyDescent="0.25">
      <c r="A150" s="870"/>
      <c r="B150" s="802"/>
      <c r="C150" s="802"/>
      <c r="D150" s="802"/>
      <c r="E150" s="802"/>
      <c r="F150" s="873"/>
      <c r="G150" s="882"/>
      <c r="H150" s="828"/>
      <c r="I150" s="793"/>
      <c r="J150" s="796"/>
      <c r="K150" s="799"/>
      <c r="L150" s="802"/>
      <c r="M150" s="802"/>
      <c r="N150" s="182">
        <v>45140</v>
      </c>
      <c r="O150" s="873"/>
      <c r="P150" s="183">
        <v>1740.63</v>
      </c>
      <c r="Q150" s="184">
        <v>45148</v>
      </c>
      <c r="R150" s="284"/>
      <c r="S150" s="282"/>
      <c r="T150" s="282"/>
      <c r="U150" s="828"/>
      <c r="V150" s="876"/>
      <c r="W150" s="879"/>
      <c r="X150" s="2">
        <v>14</v>
      </c>
    </row>
    <row r="151" spans="1:24" x14ac:dyDescent="0.25">
      <c r="A151" s="870"/>
      <c r="B151" s="802"/>
      <c r="C151" s="802"/>
      <c r="D151" s="802"/>
      <c r="E151" s="802"/>
      <c r="F151" s="873"/>
      <c r="G151" s="882"/>
      <c r="H151" s="828"/>
      <c r="I151" s="793"/>
      <c r="J151" s="796"/>
      <c r="K151" s="799"/>
      <c r="L151" s="802"/>
      <c r="M151" s="802"/>
      <c r="N151" s="182">
        <v>45175</v>
      </c>
      <c r="O151" s="873"/>
      <c r="P151" s="183">
        <v>1740.63</v>
      </c>
      <c r="Q151" s="184">
        <v>45177</v>
      </c>
      <c r="R151" s="284"/>
      <c r="S151" s="282"/>
      <c r="T151" s="282"/>
      <c r="U151" s="828"/>
      <c r="V151" s="876"/>
      <c r="W151" s="879"/>
      <c r="X151" s="2">
        <v>14</v>
      </c>
    </row>
    <row r="152" spans="1:24" x14ac:dyDescent="0.25">
      <c r="A152" s="870"/>
      <c r="B152" s="802"/>
      <c r="C152" s="802"/>
      <c r="D152" s="802"/>
      <c r="E152" s="802"/>
      <c r="F152" s="873"/>
      <c r="G152" s="882"/>
      <c r="H152" s="828"/>
      <c r="I152" s="793"/>
      <c r="J152" s="796"/>
      <c r="K152" s="799"/>
      <c r="L152" s="802"/>
      <c r="M152" s="802"/>
      <c r="N152" s="182">
        <v>45208</v>
      </c>
      <c r="O152" s="873"/>
      <c r="P152" s="183">
        <v>3771.37</v>
      </c>
      <c r="Q152" s="184">
        <v>45211</v>
      </c>
      <c r="R152" s="284"/>
      <c r="S152" s="282"/>
      <c r="T152" s="282"/>
      <c r="U152" s="828"/>
      <c r="V152" s="876"/>
      <c r="W152" s="879"/>
      <c r="X152" s="2">
        <v>14</v>
      </c>
    </row>
    <row r="153" spans="1:24" x14ac:dyDescent="0.25">
      <c r="A153" s="870"/>
      <c r="B153" s="802"/>
      <c r="C153" s="802"/>
      <c r="D153" s="802"/>
      <c r="E153" s="802"/>
      <c r="F153" s="873"/>
      <c r="G153" s="882"/>
      <c r="H153" s="828"/>
      <c r="I153" s="793"/>
      <c r="J153" s="796"/>
      <c r="K153" s="799"/>
      <c r="L153" s="802"/>
      <c r="M153" s="802"/>
      <c r="N153" s="182">
        <v>45237</v>
      </c>
      <c r="O153" s="873"/>
      <c r="P153" s="183">
        <v>3771.37</v>
      </c>
      <c r="Q153" s="184"/>
      <c r="R153" s="284"/>
      <c r="S153" s="282"/>
      <c r="T153" s="282"/>
      <c r="U153" s="828"/>
      <c r="V153" s="876"/>
      <c r="W153" s="879"/>
      <c r="X153" s="2">
        <v>14</v>
      </c>
    </row>
    <row r="154" spans="1:24" x14ac:dyDescent="0.25">
      <c r="A154" s="870"/>
      <c r="B154" s="802"/>
      <c r="C154" s="802"/>
      <c r="D154" s="802"/>
      <c r="E154" s="802"/>
      <c r="F154" s="873"/>
      <c r="G154" s="882"/>
      <c r="H154" s="828"/>
      <c r="I154" s="793"/>
      <c r="J154" s="796"/>
      <c r="K154" s="799"/>
      <c r="L154" s="802"/>
      <c r="M154" s="802"/>
      <c r="N154" s="182">
        <v>45260</v>
      </c>
      <c r="O154" s="873"/>
      <c r="P154" s="183">
        <v>3771.37</v>
      </c>
      <c r="Q154" s="184"/>
      <c r="R154" s="284"/>
      <c r="S154" s="282"/>
      <c r="T154" s="282"/>
      <c r="U154" s="828"/>
      <c r="V154" s="876"/>
      <c r="W154" s="879"/>
      <c r="X154" s="2">
        <v>14</v>
      </c>
    </row>
    <row r="155" spans="1:24" x14ac:dyDescent="0.25">
      <c r="A155" s="871"/>
      <c r="B155" s="803"/>
      <c r="C155" s="803"/>
      <c r="D155" s="803"/>
      <c r="E155" s="803"/>
      <c r="F155" s="874"/>
      <c r="G155" s="883"/>
      <c r="H155" s="829"/>
      <c r="I155" s="794"/>
      <c r="J155" s="797"/>
      <c r="K155" s="800"/>
      <c r="L155" s="803"/>
      <c r="M155" s="803"/>
      <c r="N155" s="178"/>
      <c r="O155" s="874"/>
      <c r="P155" s="179"/>
      <c r="Q155" s="180"/>
      <c r="R155" s="285"/>
      <c r="S155" s="283"/>
      <c r="T155" s="283"/>
      <c r="U155" s="829"/>
      <c r="V155" s="877"/>
      <c r="W155" s="880"/>
      <c r="X155" s="2">
        <v>14</v>
      </c>
    </row>
    <row r="156" spans="1:24" s="83" customFormat="1" ht="47.25" customHeight="1" x14ac:dyDescent="0.25">
      <c r="A156" s="858">
        <v>15</v>
      </c>
      <c r="B156" s="816" t="s">
        <v>56</v>
      </c>
      <c r="C156" s="816" t="s">
        <v>147</v>
      </c>
      <c r="D156" s="816" t="s">
        <v>172</v>
      </c>
      <c r="E156" s="816" t="s">
        <v>236</v>
      </c>
      <c r="F156" s="819">
        <v>44985</v>
      </c>
      <c r="G156" s="822" t="s">
        <v>237</v>
      </c>
      <c r="H156" s="830">
        <v>11470.4</v>
      </c>
      <c r="I156" s="833">
        <f>IF(X156 = 16, H156 + SUM(S156:S160) - SUM(T156:T160) - SUM(P156:P160) - V156,0)</f>
        <v>-1.3642420526593924E-12</v>
      </c>
      <c r="J156" s="836">
        <v>235300582900</v>
      </c>
      <c r="K156" s="839" t="s">
        <v>199</v>
      </c>
      <c r="L156" s="816" t="s">
        <v>147</v>
      </c>
      <c r="M156" s="816" t="s">
        <v>238</v>
      </c>
      <c r="N156" s="247">
        <v>44995</v>
      </c>
      <c r="O156" s="819" t="s">
        <v>235</v>
      </c>
      <c r="P156" s="241">
        <v>2396.8000000000002</v>
      </c>
      <c r="Q156" s="242">
        <v>44998</v>
      </c>
      <c r="R156" s="384"/>
      <c r="S156" s="385"/>
      <c r="T156" s="385"/>
      <c r="U156" s="830" t="s">
        <v>459</v>
      </c>
      <c r="V156" s="863">
        <v>1369.6</v>
      </c>
      <c r="W156" s="866"/>
      <c r="X156" s="83">
        <v>16</v>
      </c>
    </row>
    <row r="157" spans="1:24" ht="63.75" customHeight="1" x14ac:dyDescent="0.25">
      <c r="A157" s="859"/>
      <c r="B157" s="817"/>
      <c r="C157" s="817"/>
      <c r="D157" s="817"/>
      <c r="E157" s="817"/>
      <c r="F157" s="820"/>
      <c r="G157" s="823"/>
      <c r="H157" s="831"/>
      <c r="I157" s="834"/>
      <c r="J157" s="837"/>
      <c r="K157" s="840"/>
      <c r="L157" s="817"/>
      <c r="M157" s="817"/>
      <c r="N157" s="248"/>
      <c r="O157" s="820"/>
      <c r="P157" s="243"/>
      <c r="Q157" s="244">
        <v>45002</v>
      </c>
      <c r="R157" s="386"/>
      <c r="S157" s="387"/>
      <c r="T157" s="387"/>
      <c r="U157" s="831"/>
      <c r="V157" s="864"/>
      <c r="W157" s="867"/>
      <c r="X157" s="2">
        <v>16</v>
      </c>
    </row>
    <row r="158" spans="1:24" ht="48.75" customHeight="1" x14ac:dyDescent="0.25">
      <c r="A158" s="859"/>
      <c r="B158" s="817"/>
      <c r="C158" s="817"/>
      <c r="D158" s="817"/>
      <c r="E158" s="817"/>
      <c r="F158" s="820"/>
      <c r="G158" s="823"/>
      <c r="H158" s="831"/>
      <c r="I158" s="834"/>
      <c r="J158" s="837"/>
      <c r="K158" s="840"/>
      <c r="L158" s="817"/>
      <c r="M158" s="817"/>
      <c r="N158" s="248">
        <v>45013</v>
      </c>
      <c r="O158" s="820"/>
      <c r="P158" s="243">
        <v>2568</v>
      </c>
      <c r="Q158" s="244">
        <v>45068</v>
      </c>
      <c r="R158" s="386"/>
      <c r="S158" s="387"/>
      <c r="T158" s="387"/>
      <c r="U158" s="831"/>
      <c r="V158" s="864"/>
      <c r="W158" s="867"/>
      <c r="X158" s="2">
        <v>16</v>
      </c>
    </row>
    <row r="159" spans="1:24" x14ac:dyDescent="0.25">
      <c r="A159" s="859"/>
      <c r="B159" s="817"/>
      <c r="C159" s="817"/>
      <c r="D159" s="817"/>
      <c r="E159" s="817"/>
      <c r="F159" s="820"/>
      <c r="G159" s="823"/>
      <c r="H159" s="831"/>
      <c r="I159" s="834"/>
      <c r="J159" s="837"/>
      <c r="K159" s="840"/>
      <c r="L159" s="817"/>
      <c r="M159" s="817"/>
      <c r="N159" s="248">
        <v>45049</v>
      </c>
      <c r="O159" s="820"/>
      <c r="P159" s="243">
        <v>3252.8</v>
      </c>
      <c r="Q159" s="244">
        <v>45064</v>
      </c>
      <c r="R159" s="386"/>
      <c r="S159" s="387"/>
      <c r="T159" s="387"/>
      <c r="U159" s="831"/>
      <c r="V159" s="864"/>
      <c r="W159" s="867"/>
      <c r="X159" s="2">
        <v>16</v>
      </c>
    </row>
    <row r="160" spans="1:24" x14ac:dyDescent="0.25">
      <c r="A160" s="860"/>
      <c r="B160" s="818"/>
      <c r="C160" s="818"/>
      <c r="D160" s="818"/>
      <c r="E160" s="818"/>
      <c r="F160" s="821"/>
      <c r="G160" s="824"/>
      <c r="H160" s="832"/>
      <c r="I160" s="835"/>
      <c r="J160" s="838"/>
      <c r="K160" s="841"/>
      <c r="L160" s="818"/>
      <c r="M160" s="818"/>
      <c r="N160" s="249">
        <v>45069</v>
      </c>
      <c r="O160" s="821"/>
      <c r="P160" s="245">
        <v>1883.2</v>
      </c>
      <c r="Q160" s="246">
        <v>45078</v>
      </c>
      <c r="R160" s="388"/>
      <c r="S160" s="389"/>
      <c r="T160" s="389"/>
      <c r="U160" s="832"/>
      <c r="V160" s="865"/>
      <c r="W160" s="868"/>
      <c r="X160" s="2">
        <v>16</v>
      </c>
    </row>
    <row r="161" spans="1:24" s="83" customFormat="1" ht="90.75" customHeight="1" x14ac:dyDescent="0.25">
      <c r="A161" s="1087">
        <v>16</v>
      </c>
      <c r="B161" s="1093" t="s">
        <v>56</v>
      </c>
      <c r="C161" s="1093" t="s">
        <v>147</v>
      </c>
      <c r="D161" s="1093" t="s">
        <v>172</v>
      </c>
      <c r="E161" s="1093" t="s">
        <v>239</v>
      </c>
      <c r="F161" s="1089">
        <v>45013</v>
      </c>
      <c r="G161" s="1099" t="s">
        <v>243</v>
      </c>
      <c r="H161" s="1091">
        <v>15563.6</v>
      </c>
      <c r="I161" s="1101">
        <f>IF(X161 = 17, H161 + SUM(S161:S162) - SUM(T161:T162) - SUM(P161:P162) - V161,0)</f>
        <v>-9.0949470177292824E-13</v>
      </c>
      <c r="J161" s="1103">
        <v>235300582900</v>
      </c>
      <c r="K161" s="1105" t="s">
        <v>199</v>
      </c>
      <c r="L161" s="1093" t="s">
        <v>147</v>
      </c>
      <c r="M161" s="1093" t="s">
        <v>234</v>
      </c>
      <c r="N161" s="211">
        <v>44995</v>
      </c>
      <c r="O161" s="1089" t="s">
        <v>235</v>
      </c>
      <c r="P161" s="212">
        <v>7743.84</v>
      </c>
      <c r="Q161" s="213">
        <v>45029</v>
      </c>
      <c r="R161" s="251"/>
      <c r="S161" s="252"/>
      <c r="T161" s="252"/>
      <c r="U161" s="1091" t="s">
        <v>307</v>
      </c>
      <c r="V161" s="1095">
        <v>2809.04</v>
      </c>
      <c r="W161" s="1097"/>
      <c r="X161" s="83">
        <v>17</v>
      </c>
    </row>
    <row r="162" spans="1:24" ht="90.75" customHeight="1" x14ac:dyDescent="0.25">
      <c r="A162" s="1088"/>
      <c r="B162" s="1094"/>
      <c r="C162" s="1094"/>
      <c r="D162" s="1094"/>
      <c r="E162" s="1094"/>
      <c r="F162" s="1090"/>
      <c r="G162" s="1100"/>
      <c r="H162" s="1092"/>
      <c r="I162" s="1102"/>
      <c r="J162" s="1104"/>
      <c r="K162" s="1106"/>
      <c r="L162" s="1094"/>
      <c r="M162" s="1094"/>
      <c r="N162" s="214">
        <v>45013</v>
      </c>
      <c r="O162" s="1090"/>
      <c r="P162" s="215">
        <v>5010.72</v>
      </c>
      <c r="Q162" s="216">
        <v>45023</v>
      </c>
      <c r="R162" s="253"/>
      <c r="S162" s="254"/>
      <c r="T162" s="254"/>
      <c r="U162" s="1092"/>
      <c r="V162" s="1096"/>
      <c r="W162" s="1098"/>
      <c r="X162" s="2">
        <v>17</v>
      </c>
    </row>
    <row r="163" spans="1:24" s="83" customFormat="1" ht="123.75" customHeight="1" x14ac:dyDescent="0.25">
      <c r="A163" s="1087">
        <v>17</v>
      </c>
      <c r="B163" s="1093" t="s">
        <v>56</v>
      </c>
      <c r="C163" s="1093" t="s">
        <v>147</v>
      </c>
      <c r="D163" s="1093" t="s">
        <v>172</v>
      </c>
      <c r="E163" s="1093" t="s">
        <v>232</v>
      </c>
      <c r="F163" s="1089">
        <v>44985</v>
      </c>
      <c r="G163" s="1099" t="s">
        <v>233</v>
      </c>
      <c r="H163" s="1091">
        <v>6875</v>
      </c>
      <c r="I163" s="1101">
        <f>IF(X163 = 18, H163 + SUM(S163:S164) - SUM(T163:T164) - SUM(P163:P164) - V163,0)</f>
        <v>0</v>
      </c>
      <c r="J163" s="1103">
        <v>235300582900</v>
      </c>
      <c r="K163" s="1105" t="s">
        <v>199</v>
      </c>
      <c r="L163" s="1093" t="s">
        <v>147</v>
      </c>
      <c r="M163" s="1093" t="s">
        <v>234</v>
      </c>
      <c r="N163" s="211">
        <v>44995</v>
      </c>
      <c r="O163" s="1089" t="s">
        <v>235</v>
      </c>
      <c r="P163" s="212">
        <v>3250</v>
      </c>
      <c r="Q163" s="213">
        <v>45002</v>
      </c>
      <c r="R163" s="251"/>
      <c r="S163" s="252"/>
      <c r="T163" s="252"/>
      <c r="U163" s="1091" t="s">
        <v>331</v>
      </c>
      <c r="V163" s="1095">
        <v>1225</v>
      </c>
      <c r="W163" s="1097"/>
      <c r="X163" s="83">
        <v>18</v>
      </c>
    </row>
    <row r="164" spans="1:24" ht="126.75" customHeight="1" x14ac:dyDescent="0.25">
      <c r="A164" s="1088"/>
      <c r="B164" s="1094"/>
      <c r="C164" s="1094"/>
      <c r="D164" s="1094"/>
      <c r="E164" s="1094"/>
      <c r="F164" s="1090"/>
      <c r="G164" s="1100"/>
      <c r="H164" s="1092"/>
      <c r="I164" s="1102"/>
      <c r="J164" s="1104"/>
      <c r="K164" s="1106"/>
      <c r="L164" s="1094"/>
      <c r="M164" s="1094"/>
      <c r="N164" s="214">
        <v>45013</v>
      </c>
      <c r="O164" s="1090"/>
      <c r="P164" s="215">
        <v>2400</v>
      </c>
      <c r="Q164" s="216">
        <v>45058</v>
      </c>
      <c r="R164" s="253"/>
      <c r="S164" s="254"/>
      <c r="T164" s="254"/>
      <c r="U164" s="1092"/>
      <c r="V164" s="1096"/>
      <c r="W164" s="1098"/>
      <c r="X164" s="2">
        <v>18</v>
      </c>
    </row>
    <row r="165" spans="1:24" s="83" customFormat="1" x14ac:dyDescent="0.25">
      <c r="A165" s="1087">
        <v>18</v>
      </c>
      <c r="B165" s="1093" t="s">
        <v>56</v>
      </c>
      <c r="C165" s="1093" t="s">
        <v>147</v>
      </c>
      <c r="D165" s="1093" t="s">
        <v>172</v>
      </c>
      <c r="E165" s="1093" t="s">
        <v>266</v>
      </c>
      <c r="F165" s="1089">
        <v>44985</v>
      </c>
      <c r="G165" s="1099" t="s">
        <v>242</v>
      </c>
      <c r="H165" s="1091">
        <v>12135.8</v>
      </c>
      <c r="I165" s="1101">
        <f>IF(X165 = 19, H165 + SUM(S165:S168) - SUM(T165:T168) - SUM(P165:P168) - V165,0)</f>
        <v>0</v>
      </c>
      <c r="J165" s="1103">
        <v>2353018870</v>
      </c>
      <c r="K165" s="1105" t="s">
        <v>241</v>
      </c>
      <c r="L165" s="1093" t="s">
        <v>147</v>
      </c>
      <c r="M165" s="1093" t="s">
        <v>151</v>
      </c>
      <c r="N165" s="211">
        <v>45012</v>
      </c>
      <c r="O165" s="1089" t="s">
        <v>240</v>
      </c>
      <c r="P165" s="212">
        <v>3033.95</v>
      </c>
      <c r="Q165" s="213">
        <v>45015</v>
      </c>
      <c r="R165" s="251"/>
      <c r="S165" s="252"/>
      <c r="T165" s="252"/>
      <c r="U165" s="1109"/>
      <c r="V165" s="1113"/>
      <c r="W165" s="1097"/>
      <c r="X165" s="83">
        <v>19</v>
      </c>
    </row>
    <row r="166" spans="1:24" x14ac:dyDescent="0.25">
      <c r="A166" s="1107"/>
      <c r="B166" s="1112"/>
      <c r="C166" s="1112"/>
      <c r="D166" s="1112"/>
      <c r="E166" s="1112"/>
      <c r="F166" s="1108"/>
      <c r="G166" s="1117"/>
      <c r="H166" s="1118"/>
      <c r="I166" s="1119"/>
      <c r="J166" s="1120"/>
      <c r="K166" s="1121"/>
      <c r="L166" s="1112"/>
      <c r="M166" s="1112"/>
      <c r="N166" s="217">
        <v>45104</v>
      </c>
      <c r="O166" s="1108"/>
      <c r="P166" s="218">
        <v>3033.95</v>
      </c>
      <c r="Q166" s="219">
        <v>45113</v>
      </c>
      <c r="R166" s="552"/>
      <c r="S166" s="553"/>
      <c r="T166" s="553"/>
      <c r="U166" s="1110"/>
      <c r="V166" s="1114"/>
      <c r="W166" s="1116"/>
      <c r="X166" s="2">
        <v>19</v>
      </c>
    </row>
    <row r="167" spans="1:24" x14ac:dyDescent="0.25">
      <c r="A167" s="1107"/>
      <c r="B167" s="1112"/>
      <c r="C167" s="1112"/>
      <c r="D167" s="1112"/>
      <c r="E167" s="1112"/>
      <c r="F167" s="1108"/>
      <c r="G167" s="1117"/>
      <c r="H167" s="1118"/>
      <c r="I167" s="1119"/>
      <c r="J167" s="1120"/>
      <c r="K167" s="1121"/>
      <c r="L167" s="1112"/>
      <c r="M167" s="1112"/>
      <c r="N167" s="217">
        <v>45196</v>
      </c>
      <c r="O167" s="1108"/>
      <c r="P167" s="218">
        <v>3033.95</v>
      </c>
      <c r="Q167" s="219">
        <v>45209</v>
      </c>
      <c r="R167" s="552"/>
      <c r="S167" s="553"/>
      <c r="T167" s="553"/>
      <c r="U167" s="1110"/>
      <c r="V167" s="1114"/>
      <c r="W167" s="1116"/>
      <c r="X167" s="2">
        <v>19</v>
      </c>
    </row>
    <row r="168" spans="1:24" x14ac:dyDescent="0.25">
      <c r="A168" s="1088"/>
      <c r="B168" s="1094"/>
      <c r="C168" s="1094"/>
      <c r="D168" s="1094"/>
      <c r="E168" s="1094"/>
      <c r="F168" s="1090"/>
      <c r="G168" s="1100"/>
      <c r="H168" s="1092"/>
      <c r="I168" s="1102"/>
      <c r="J168" s="1104"/>
      <c r="K168" s="1106"/>
      <c r="L168" s="1094"/>
      <c r="M168" s="1094"/>
      <c r="N168" s="214">
        <v>45275</v>
      </c>
      <c r="O168" s="1090"/>
      <c r="P168" s="215">
        <v>3033.95</v>
      </c>
      <c r="Q168" s="216">
        <v>45278</v>
      </c>
      <c r="R168" s="253"/>
      <c r="S168" s="254"/>
      <c r="T168" s="254"/>
      <c r="U168" s="1111"/>
      <c r="V168" s="1115"/>
      <c r="W168" s="1098"/>
      <c r="X168" s="2">
        <v>19</v>
      </c>
    </row>
    <row r="169" spans="1:24" s="83" customFormat="1" ht="23.25" customHeight="1" x14ac:dyDescent="0.25">
      <c r="A169" s="624">
        <v>19</v>
      </c>
      <c r="B169" s="630" t="s">
        <v>56</v>
      </c>
      <c r="C169" s="630" t="s">
        <v>147</v>
      </c>
      <c r="D169" s="630" t="s">
        <v>172</v>
      </c>
      <c r="E169" s="630" t="s">
        <v>265</v>
      </c>
      <c r="F169" s="626">
        <v>45018</v>
      </c>
      <c r="G169" s="1126" t="s">
        <v>201</v>
      </c>
      <c r="H169" s="635">
        <v>273006.40000000002</v>
      </c>
      <c r="I169" s="637">
        <f>IF(X169 = 20, H169 + SUM(S169:S172) - SUM(T169:T172) - SUM(P169:P172) - V169,0)</f>
        <v>2.1827872842550278E-11</v>
      </c>
      <c r="J169" s="1128">
        <v>235300582900</v>
      </c>
      <c r="K169" s="1130" t="s">
        <v>199</v>
      </c>
      <c r="L169" s="630" t="s">
        <v>147</v>
      </c>
      <c r="M169" s="630" t="s">
        <v>308</v>
      </c>
      <c r="N169" s="225">
        <v>45049</v>
      </c>
      <c r="O169" s="626" t="s">
        <v>203</v>
      </c>
      <c r="P169" s="226">
        <v>98798.16</v>
      </c>
      <c r="Q169" s="227">
        <v>45064</v>
      </c>
      <c r="R169" s="231"/>
      <c r="S169" s="232"/>
      <c r="T169" s="232"/>
      <c r="U169" s="635" t="s">
        <v>459</v>
      </c>
      <c r="V169" s="1122">
        <v>57707.43</v>
      </c>
      <c r="W169" s="1124"/>
      <c r="X169" s="83">
        <v>20</v>
      </c>
    </row>
    <row r="170" spans="1:24" ht="26.25" customHeight="1" x14ac:dyDescent="0.25">
      <c r="A170" s="1132"/>
      <c r="B170" s="1135"/>
      <c r="C170" s="1135"/>
      <c r="D170" s="1135"/>
      <c r="E170" s="1135"/>
      <c r="F170" s="1133"/>
      <c r="G170" s="1138"/>
      <c r="H170" s="1134"/>
      <c r="I170" s="1139"/>
      <c r="J170" s="1140"/>
      <c r="K170" s="1141"/>
      <c r="L170" s="1135"/>
      <c r="M170" s="1135"/>
      <c r="N170" s="238">
        <v>45049</v>
      </c>
      <c r="O170" s="1133"/>
      <c r="P170" s="239">
        <v>33900</v>
      </c>
      <c r="Q170" s="240">
        <v>45058</v>
      </c>
      <c r="R170" s="390"/>
      <c r="S170" s="391"/>
      <c r="T170" s="391"/>
      <c r="U170" s="1134"/>
      <c r="V170" s="1136"/>
      <c r="W170" s="1137"/>
      <c r="X170" s="2">
        <v>20</v>
      </c>
    </row>
    <row r="171" spans="1:24" x14ac:dyDescent="0.25">
      <c r="A171" s="1132"/>
      <c r="B171" s="1135"/>
      <c r="C171" s="1135"/>
      <c r="D171" s="1135"/>
      <c r="E171" s="1135"/>
      <c r="F171" s="1133"/>
      <c r="G171" s="1138"/>
      <c r="H171" s="1134"/>
      <c r="I171" s="1139"/>
      <c r="J171" s="1140"/>
      <c r="K171" s="1141"/>
      <c r="L171" s="1135"/>
      <c r="M171" s="1135"/>
      <c r="N171" s="238">
        <v>45069</v>
      </c>
      <c r="O171" s="1133"/>
      <c r="P171" s="239">
        <v>20525</v>
      </c>
      <c r="Q171" s="240">
        <v>45078</v>
      </c>
      <c r="R171" s="390"/>
      <c r="S171" s="391"/>
      <c r="T171" s="391"/>
      <c r="U171" s="1134"/>
      <c r="V171" s="1136"/>
      <c r="W171" s="1137"/>
      <c r="X171" s="2">
        <v>20</v>
      </c>
    </row>
    <row r="172" spans="1:24" x14ac:dyDescent="0.25">
      <c r="A172" s="625"/>
      <c r="B172" s="631"/>
      <c r="C172" s="631"/>
      <c r="D172" s="631"/>
      <c r="E172" s="631"/>
      <c r="F172" s="627"/>
      <c r="G172" s="1127"/>
      <c r="H172" s="636"/>
      <c r="I172" s="638"/>
      <c r="J172" s="1129"/>
      <c r="K172" s="1131"/>
      <c r="L172" s="631"/>
      <c r="M172" s="631"/>
      <c r="N172" s="228">
        <v>45069</v>
      </c>
      <c r="O172" s="627"/>
      <c r="P172" s="229">
        <v>62075.81</v>
      </c>
      <c r="Q172" s="230">
        <v>45078</v>
      </c>
      <c r="R172" s="233"/>
      <c r="S172" s="234"/>
      <c r="T172" s="234"/>
      <c r="U172" s="636"/>
      <c r="V172" s="1123"/>
      <c r="W172" s="1125"/>
      <c r="X172" s="2">
        <v>20</v>
      </c>
    </row>
    <row r="173" spans="1:24" s="83" customFormat="1" ht="81.75" customHeight="1" x14ac:dyDescent="0.25">
      <c r="A173" s="624">
        <v>20</v>
      </c>
      <c r="B173" s="630" t="s">
        <v>56</v>
      </c>
      <c r="C173" s="630" t="s">
        <v>147</v>
      </c>
      <c r="D173" s="630" t="s">
        <v>172</v>
      </c>
      <c r="E173" s="630" t="s">
        <v>267</v>
      </c>
      <c r="F173" s="626">
        <v>45018</v>
      </c>
      <c r="G173" s="1126" t="s">
        <v>243</v>
      </c>
      <c r="H173" s="635">
        <v>12147.2</v>
      </c>
      <c r="I173" s="637">
        <f>IF(X173 = 21, H173 + SUM(S173:S174) - SUM(T173:T174) - SUM(P173:P174) - V173,0)</f>
        <v>1.3642420526593924E-12</v>
      </c>
      <c r="J173" s="1128">
        <v>235300582900</v>
      </c>
      <c r="K173" s="1130" t="s">
        <v>199</v>
      </c>
      <c r="L173" s="630" t="s">
        <v>147</v>
      </c>
      <c r="M173" s="630" t="s">
        <v>308</v>
      </c>
      <c r="N173" s="225">
        <v>45049</v>
      </c>
      <c r="O173" s="626" t="s">
        <v>235</v>
      </c>
      <c r="P173" s="226">
        <v>5921.76</v>
      </c>
      <c r="Q173" s="227">
        <v>45058</v>
      </c>
      <c r="R173" s="231"/>
      <c r="S173" s="232"/>
      <c r="T173" s="232"/>
      <c r="U173" s="635" t="s">
        <v>459</v>
      </c>
      <c r="V173" s="1122">
        <v>3264.56</v>
      </c>
      <c r="W173" s="1124"/>
      <c r="X173" s="83">
        <v>21</v>
      </c>
    </row>
    <row r="174" spans="1:24" ht="101.25" customHeight="1" x14ac:dyDescent="0.25">
      <c r="A174" s="625"/>
      <c r="B174" s="631"/>
      <c r="C174" s="631"/>
      <c r="D174" s="631"/>
      <c r="E174" s="631"/>
      <c r="F174" s="627"/>
      <c r="G174" s="1127"/>
      <c r="H174" s="636"/>
      <c r="I174" s="638"/>
      <c r="J174" s="1129"/>
      <c r="K174" s="1131"/>
      <c r="L174" s="631"/>
      <c r="M174" s="631"/>
      <c r="N174" s="228">
        <v>45069</v>
      </c>
      <c r="O174" s="627"/>
      <c r="P174" s="229">
        <v>2960.88</v>
      </c>
      <c r="Q174" s="230">
        <v>45078</v>
      </c>
      <c r="R174" s="233"/>
      <c r="S174" s="234"/>
      <c r="T174" s="234"/>
      <c r="U174" s="636"/>
      <c r="V174" s="1123"/>
      <c r="W174" s="1125"/>
      <c r="X174" s="2">
        <v>21</v>
      </c>
    </row>
    <row r="175" spans="1:24" s="83" customFormat="1" ht="117.75" customHeight="1" x14ac:dyDescent="0.25">
      <c r="A175" s="624">
        <v>21</v>
      </c>
      <c r="B175" s="630" t="s">
        <v>56</v>
      </c>
      <c r="C175" s="630" t="s">
        <v>147</v>
      </c>
      <c r="D175" s="630" t="s">
        <v>172</v>
      </c>
      <c r="E175" s="630" t="s">
        <v>268</v>
      </c>
      <c r="F175" s="626">
        <v>45018</v>
      </c>
      <c r="G175" s="1126" t="s">
        <v>233</v>
      </c>
      <c r="H175" s="635">
        <v>5600</v>
      </c>
      <c r="I175" s="637">
        <f>IF(X175 = 22, H175 + SUM(S175:S176) - SUM(T175:T176) - SUM(P175:P176) - V175,0)</f>
        <v>0</v>
      </c>
      <c r="J175" s="1128">
        <v>235300582900</v>
      </c>
      <c r="K175" s="1130" t="s">
        <v>199</v>
      </c>
      <c r="L175" s="630" t="s">
        <v>147</v>
      </c>
      <c r="M175" s="630" t="s">
        <v>308</v>
      </c>
      <c r="N175" s="225">
        <v>45049</v>
      </c>
      <c r="O175" s="626" t="s">
        <v>235</v>
      </c>
      <c r="P175" s="226">
        <v>2900</v>
      </c>
      <c r="Q175" s="227">
        <v>45064</v>
      </c>
      <c r="R175" s="231"/>
      <c r="S175" s="232"/>
      <c r="T175" s="232"/>
      <c r="U175" s="635" t="s">
        <v>459</v>
      </c>
      <c r="V175" s="1122">
        <v>1175</v>
      </c>
      <c r="W175" s="1124"/>
      <c r="X175" s="83">
        <v>22</v>
      </c>
    </row>
    <row r="176" spans="1:24" ht="156.75" customHeight="1" x14ac:dyDescent="0.25">
      <c r="A176" s="625"/>
      <c r="B176" s="631"/>
      <c r="C176" s="631"/>
      <c r="D176" s="631"/>
      <c r="E176" s="631"/>
      <c r="F176" s="627"/>
      <c r="G176" s="1127"/>
      <c r="H176" s="636"/>
      <c r="I176" s="638"/>
      <c r="J176" s="1129"/>
      <c r="K176" s="1131"/>
      <c r="L176" s="631"/>
      <c r="M176" s="631"/>
      <c r="N176" s="228">
        <v>45069</v>
      </c>
      <c r="O176" s="627"/>
      <c r="P176" s="229">
        <v>1525</v>
      </c>
      <c r="Q176" s="230">
        <v>45078</v>
      </c>
      <c r="R176" s="233"/>
      <c r="S176" s="234"/>
      <c r="T176" s="234"/>
      <c r="U176" s="636"/>
      <c r="V176" s="1123"/>
      <c r="W176" s="1125"/>
      <c r="X176" s="2">
        <v>22</v>
      </c>
    </row>
    <row r="177" spans="1:24" s="83" customFormat="1" ht="56.25" x14ac:dyDescent="0.25">
      <c r="A177" s="360">
        <v>22</v>
      </c>
      <c r="B177" s="314" t="s">
        <v>56</v>
      </c>
      <c r="C177" s="314" t="s">
        <v>147</v>
      </c>
      <c r="D177" s="314" t="s">
        <v>172</v>
      </c>
      <c r="E177" s="314" t="s">
        <v>346</v>
      </c>
      <c r="F177" s="318">
        <v>45072</v>
      </c>
      <c r="G177" s="316" t="s">
        <v>347</v>
      </c>
      <c r="H177" s="315">
        <v>91485</v>
      </c>
      <c r="I177" s="317">
        <f>IF(X177 = 24, H177 + SUM(S177:S177) - SUM(T177:T177) - SUM(P177:P177) - V177,0)</f>
        <v>0</v>
      </c>
      <c r="J177" s="312">
        <v>235300582900</v>
      </c>
      <c r="K177" s="313" t="s">
        <v>199</v>
      </c>
      <c r="L177" s="314" t="s">
        <v>147</v>
      </c>
      <c r="M177" s="314" t="s">
        <v>348</v>
      </c>
      <c r="N177" s="318">
        <v>45097</v>
      </c>
      <c r="O177" s="318" t="s">
        <v>349</v>
      </c>
      <c r="P177" s="315">
        <v>91485</v>
      </c>
      <c r="Q177" s="316">
        <v>45107</v>
      </c>
      <c r="R177" s="307"/>
      <c r="S177" s="308"/>
      <c r="T177" s="308"/>
      <c r="U177" s="308"/>
      <c r="V177" s="319"/>
      <c r="W177" s="311"/>
      <c r="X177" s="83">
        <v>24</v>
      </c>
    </row>
    <row r="178" spans="1:24" s="83" customFormat="1" x14ac:dyDescent="0.25">
      <c r="A178" s="777">
        <v>23</v>
      </c>
      <c r="B178" s="763" t="s">
        <v>56</v>
      </c>
      <c r="C178" s="763" t="s">
        <v>147</v>
      </c>
      <c r="D178" s="763" t="s">
        <v>198</v>
      </c>
      <c r="E178" s="763" t="s">
        <v>152</v>
      </c>
      <c r="F178" s="765">
        <v>45119</v>
      </c>
      <c r="G178" s="767" t="s">
        <v>373</v>
      </c>
      <c r="H178" s="769">
        <v>485000</v>
      </c>
      <c r="I178" s="771">
        <f>IF(X178 = 25, H178 + SUM(S178:S196) - SUM(T178:T196) - SUM(P178:P196) - V178,0)</f>
        <v>275313.16000000003</v>
      </c>
      <c r="J178" s="773">
        <v>2308119595</v>
      </c>
      <c r="K178" s="775" t="s">
        <v>154</v>
      </c>
      <c r="L178" s="763" t="s">
        <v>147</v>
      </c>
      <c r="M178" s="763" t="s">
        <v>375</v>
      </c>
      <c r="N178" s="330">
        <v>45119</v>
      </c>
      <c r="O178" s="765" t="s">
        <v>374</v>
      </c>
      <c r="P178" s="331">
        <v>25423.86</v>
      </c>
      <c r="Q178" s="332">
        <v>45126</v>
      </c>
      <c r="R178" s="333"/>
      <c r="S178" s="331"/>
      <c r="T178" s="331"/>
      <c r="U178" s="769"/>
      <c r="V178" s="779"/>
      <c r="W178" s="761"/>
      <c r="X178" s="83">
        <v>25</v>
      </c>
    </row>
    <row r="179" spans="1:24" x14ac:dyDescent="0.25">
      <c r="A179" s="778"/>
      <c r="B179" s="764"/>
      <c r="C179" s="764"/>
      <c r="D179" s="764"/>
      <c r="E179" s="764"/>
      <c r="F179" s="766"/>
      <c r="G179" s="768"/>
      <c r="H179" s="770"/>
      <c r="I179" s="772"/>
      <c r="J179" s="774"/>
      <c r="K179" s="776"/>
      <c r="L179" s="764"/>
      <c r="M179" s="764"/>
      <c r="N179" s="334">
        <v>45119</v>
      </c>
      <c r="O179" s="766"/>
      <c r="P179" s="335">
        <v>23018.3</v>
      </c>
      <c r="Q179" s="336">
        <v>45126</v>
      </c>
      <c r="R179" s="337"/>
      <c r="S179" s="335"/>
      <c r="T179" s="335"/>
      <c r="U179" s="770"/>
      <c r="V179" s="780"/>
      <c r="W179" s="762"/>
      <c r="X179" s="2">
        <v>25</v>
      </c>
    </row>
    <row r="180" spans="1:24" x14ac:dyDescent="0.25">
      <c r="A180" s="778"/>
      <c r="B180" s="764"/>
      <c r="C180" s="764"/>
      <c r="D180" s="764"/>
      <c r="E180" s="764"/>
      <c r="F180" s="766"/>
      <c r="G180" s="768"/>
      <c r="H180" s="770"/>
      <c r="I180" s="772"/>
      <c r="J180" s="774"/>
      <c r="K180" s="776"/>
      <c r="L180" s="764"/>
      <c r="M180" s="764"/>
      <c r="N180" s="334">
        <v>45119</v>
      </c>
      <c r="O180" s="766"/>
      <c r="P180" s="335">
        <v>10137.08</v>
      </c>
      <c r="Q180" s="336">
        <v>45126</v>
      </c>
      <c r="R180" s="337"/>
      <c r="S180" s="335"/>
      <c r="T180" s="335"/>
      <c r="U180" s="770"/>
      <c r="V180" s="780"/>
      <c r="W180" s="762"/>
      <c r="X180" s="2">
        <v>25</v>
      </c>
    </row>
    <row r="181" spans="1:24" x14ac:dyDescent="0.25">
      <c r="A181" s="778"/>
      <c r="B181" s="764"/>
      <c r="C181" s="764"/>
      <c r="D181" s="764"/>
      <c r="E181" s="764"/>
      <c r="F181" s="766"/>
      <c r="G181" s="768"/>
      <c r="H181" s="770"/>
      <c r="I181" s="772"/>
      <c r="J181" s="774"/>
      <c r="K181" s="776"/>
      <c r="L181" s="764"/>
      <c r="M181" s="764"/>
      <c r="N181" s="334">
        <v>45138</v>
      </c>
      <c r="O181" s="766"/>
      <c r="P181" s="335">
        <v>2704.22</v>
      </c>
      <c r="Q181" s="336">
        <v>45155</v>
      </c>
      <c r="R181" s="337"/>
      <c r="S181" s="335"/>
      <c r="T181" s="335"/>
      <c r="U181" s="770"/>
      <c r="V181" s="780"/>
      <c r="W181" s="762"/>
      <c r="X181" s="2">
        <v>25</v>
      </c>
    </row>
    <row r="182" spans="1:24" x14ac:dyDescent="0.25">
      <c r="A182" s="778"/>
      <c r="B182" s="764"/>
      <c r="C182" s="764"/>
      <c r="D182" s="764"/>
      <c r="E182" s="764"/>
      <c r="F182" s="766"/>
      <c r="G182" s="768"/>
      <c r="H182" s="770"/>
      <c r="I182" s="772"/>
      <c r="J182" s="774"/>
      <c r="K182" s="776"/>
      <c r="L182" s="764"/>
      <c r="M182" s="764"/>
      <c r="N182" s="334">
        <v>45139</v>
      </c>
      <c r="O182" s="766"/>
      <c r="P182" s="335">
        <v>7602.82</v>
      </c>
      <c r="Q182" s="336">
        <v>45139</v>
      </c>
      <c r="R182" s="337"/>
      <c r="S182" s="335"/>
      <c r="T182" s="335"/>
      <c r="U182" s="770"/>
      <c r="V182" s="780"/>
      <c r="W182" s="762"/>
      <c r="X182" s="2">
        <v>25</v>
      </c>
    </row>
    <row r="183" spans="1:24" x14ac:dyDescent="0.25">
      <c r="A183" s="778"/>
      <c r="B183" s="764"/>
      <c r="C183" s="764"/>
      <c r="D183" s="764"/>
      <c r="E183" s="764"/>
      <c r="F183" s="766"/>
      <c r="G183" s="768"/>
      <c r="H183" s="770"/>
      <c r="I183" s="772"/>
      <c r="J183" s="774"/>
      <c r="K183" s="776"/>
      <c r="L183" s="764"/>
      <c r="M183" s="764"/>
      <c r="N183" s="334">
        <v>45139</v>
      </c>
      <c r="O183" s="766"/>
      <c r="P183" s="335">
        <v>5647.72</v>
      </c>
      <c r="Q183" s="336">
        <v>45155</v>
      </c>
      <c r="R183" s="337"/>
      <c r="S183" s="335"/>
      <c r="T183" s="335"/>
      <c r="U183" s="770"/>
      <c r="V183" s="780"/>
      <c r="W183" s="762"/>
      <c r="X183" s="2">
        <v>25</v>
      </c>
    </row>
    <row r="184" spans="1:24" x14ac:dyDescent="0.25">
      <c r="A184" s="778"/>
      <c r="B184" s="764"/>
      <c r="C184" s="764"/>
      <c r="D184" s="764"/>
      <c r="E184" s="764"/>
      <c r="F184" s="766"/>
      <c r="G184" s="768"/>
      <c r="H184" s="770"/>
      <c r="I184" s="772"/>
      <c r="J184" s="774"/>
      <c r="K184" s="776"/>
      <c r="L184" s="764"/>
      <c r="M184" s="764"/>
      <c r="N184" s="334">
        <v>45169</v>
      </c>
      <c r="O184" s="766"/>
      <c r="P184" s="335">
        <v>7984.67</v>
      </c>
      <c r="Q184" s="336">
        <v>45183</v>
      </c>
      <c r="R184" s="337"/>
      <c r="S184" s="335"/>
      <c r="T184" s="335"/>
      <c r="U184" s="770"/>
      <c r="V184" s="780"/>
      <c r="W184" s="762"/>
      <c r="X184" s="2">
        <v>25</v>
      </c>
    </row>
    <row r="185" spans="1:24" x14ac:dyDescent="0.25">
      <c r="A185" s="778"/>
      <c r="B185" s="764"/>
      <c r="C185" s="764"/>
      <c r="D185" s="764"/>
      <c r="E185" s="764"/>
      <c r="F185" s="766"/>
      <c r="G185" s="768"/>
      <c r="H185" s="770"/>
      <c r="I185" s="772"/>
      <c r="J185" s="774"/>
      <c r="K185" s="776"/>
      <c r="L185" s="764"/>
      <c r="M185" s="764"/>
      <c r="N185" s="334">
        <v>45170</v>
      </c>
      <c r="O185" s="766"/>
      <c r="P185" s="335">
        <v>4235.78</v>
      </c>
      <c r="Q185" s="336">
        <v>45174</v>
      </c>
      <c r="R185" s="337"/>
      <c r="S185" s="335"/>
      <c r="T185" s="335"/>
      <c r="U185" s="770"/>
      <c r="V185" s="780"/>
      <c r="W185" s="762"/>
      <c r="X185" s="2">
        <v>25</v>
      </c>
    </row>
    <row r="186" spans="1:24" x14ac:dyDescent="0.25">
      <c r="A186" s="778"/>
      <c r="B186" s="764"/>
      <c r="C186" s="764"/>
      <c r="D186" s="764"/>
      <c r="E186" s="764"/>
      <c r="F186" s="766"/>
      <c r="G186" s="768"/>
      <c r="H186" s="770"/>
      <c r="I186" s="772"/>
      <c r="J186" s="774"/>
      <c r="K186" s="776"/>
      <c r="L186" s="764"/>
      <c r="M186" s="764"/>
      <c r="N186" s="334">
        <v>45170</v>
      </c>
      <c r="O186" s="766"/>
      <c r="P186" s="335">
        <v>9329.76</v>
      </c>
      <c r="Q186" s="336">
        <v>45183</v>
      </c>
      <c r="R186" s="337"/>
      <c r="S186" s="335"/>
      <c r="T186" s="335"/>
      <c r="U186" s="770"/>
      <c r="V186" s="780"/>
      <c r="W186" s="762"/>
      <c r="X186" s="2">
        <v>25</v>
      </c>
    </row>
    <row r="187" spans="1:24" x14ac:dyDescent="0.25">
      <c r="A187" s="778"/>
      <c r="B187" s="764"/>
      <c r="C187" s="764"/>
      <c r="D187" s="764"/>
      <c r="E187" s="764"/>
      <c r="F187" s="766"/>
      <c r="G187" s="768"/>
      <c r="H187" s="770"/>
      <c r="I187" s="772"/>
      <c r="J187" s="774"/>
      <c r="K187" s="776"/>
      <c r="L187" s="764"/>
      <c r="M187" s="764"/>
      <c r="N187" s="334">
        <v>45199</v>
      </c>
      <c r="O187" s="766"/>
      <c r="P187" s="335">
        <v>15729.64</v>
      </c>
      <c r="Q187" s="336">
        <v>45218</v>
      </c>
      <c r="R187" s="337"/>
      <c r="S187" s="335"/>
      <c r="T187" s="335"/>
      <c r="U187" s="770"/>
      <c r="V187" s="780"/>
      <c r="W187" s="762"/>
      <c r="X187" s="2">
        <v>25</v>
      </c>
    </row>
    <row r="188" spans="1:24" x14ac:dyDescent="0.25">
      <c r="A188" s="778"/>
      <c r="B188" s="764"/>
      <c r="C188" s="764"/>
      <c r="D188" s="764"/>
      <c r="E188" s="764"/>
      <c r="F188" s="766"/>
      <c r="G188" s="768"/>
      <c r="H188" s="770"/>
      <c r="I188" s="772"/>
      <c r="J188" s="774"/>
      <c r="K188" s="776"/>
      <c r="L188" s="764"/>
      <c r="M188" s="764"/>
      <c r="N188" s="334">
        <v>45200</v>
      </c>
      <c r="O188" s="766"/>
      <c r="P188" s="335">
        <v>6997.32</v>
      </c>
      <c r="Q188" s="336">
        <v>45201</v>
      </c>
      <c r="R188" s="337"/>
      <c r="S188" s="335"/>
      <c r="T188" s="335"/>
      <c r="U188" s="770"/>
      <c r="V188" s="780"/>
      <c r="W188" s="762"/>
      <c r="X188" s="2">
        <v>25</v>
      </c>
    </row>
    <row r="189" spans="1:24" x14ac:dyDescent="0.25">
      <c r="A189" s="778"/>
      <c r="B189" s="764"/>
      <c r="C189" s="764"/>
      <c r="D189" s="764"/>
      <c r="E189" s="764"/>
      <c r="F189" s="766"/>
      <c r="G189" s="768"/>
      <c r="H189" s="770"/>
      <c r="I189" s="772"/>
      <c r="J189" s="774"/>
      <c r="K189" s="776"/>
      <c r="L189" s="764"/>
      <c r="M189" s="764"/>
      <c r="N189" s="334">
        <v>45200</v>
      </c>
      <c r="O189" s="766"/>
      <c r="P189" s="335">
        <v>11718.07</v>
      </c>
      <c r="Q189" s="336">
        <v>45218</v>
      </c>
      <c r="R189" s="337"/>
      <c r="S189" s="335"/>
      <c r="T189" s="335"/>
      <c r="U189" s="770"/>
      <c r="V189" s="780"/>
      <c r="W189" s="762"/>
      <c r="X189" s="2">
        <v>25</v>
      </c>
    </row>
    <row r="190" spans="1:24" x14ac:dyDescent="0.25">
      <c r="A190" s="778"/>
      <c r="B190" s="764"/>
      <c r="C190" s="764"/>
      <c r="D190" s="764"/>
      <c r="E190" s="764"/>
      <c r="F190" s="766"/>
      <c r="G190" s="768"/>
      <c r="H190" s="770"/>
      <c r="I190" s="772"/>
      <c r="J190" s="774"/>
      <c r="K190" s="776"/>
      <c r="L190" s="764"/>
      <c r="M190" s="764"/>
      <c r="N190" s="334">
        <v>45230</v>
      </c>
      <c r="O190" s="766"/>
      <c r="P190" s="335"/>
      <c r="Q190" s="336"/>
      <c r="R190" s="337"/>
      <c r="S190" s="335"/>
      <c r="T190" s="335"/>
      <c r="U190" s="770"/>
      <c r="V190" s="780"/>
      <c r="W190" s="762"/>
      <c r="X190" s="2">
        <v>25</v>
      </c>
    </row>
    <row r="191" spans="1:24" x14ac:dyDescent="0.25">
      <c r="A191" s="778"/>
      <c r="B191" s="764"/>
      <c r="C191" s="764"/>
      <c r="D191" s="764"/>
      <c r="E191" s="764"/>
      <c r="F191" s="766"/>
      <c r="G191" s="768"/>
      <c r="H191" s="770"/>
      <c r="I191" s="772"/>
      <c r="J191" s="774"/>
      <c r="K191" s="776"/>
      <c r="L191" s="764"/>
      <c r="M191" s="764"/>
      <c r="N191" s="334">
        <v>45231</v>
      </c>
      <c r="O191" s="766"/>
      <c r="P191" s="335">
        <v>8788.5499999999993</v>
      </c>
      <c r="Q191" s="336"/>
      <c r="R191" s="337"/>
      <c r="S191" s="335"/>
      <c r="T191" s="335"/>
      <c r="U191" s="770"/>
      <c r="V191" s="780"/>
      <c r="W191" s="762"/>
      <c r="X191" s="2">
        <v>25</v>
      </c>
    </row>
    <row r="192" spans="1:24" x14ac:dyDescent="0.25">
      <c r="A192" s="778"/>
      <c r="B192" s="764"/>
      <c r="C192" s="764"/>
      <c r="D192" s="764"/>
      <c r="E192" s="764"/>
      <c r="F192" s="766"/>
      <c r="G192" s="768"/>
      <c r="H192" s="770"/>
      <c r="I192" s="772"/>
      <c r="J192" s="774"/>
      <c r="K192" s="776"/>
      <c r="L192" s="764"/>
      <c r="M192" s="764"/>
      <c r="N192" s="334">
        <v>45231</v>
      </c>
      <c r="O192" s="766"/>
      <c r="P192" s="335"/>
      <c r="Q192" s="336"/>
      <c r="R192" s="337"/>
      <c r="S192" s="335"/>
      <c r="T192" s="335"/>
      <c r="U192" s="770"/>
      <c r="V192" s="780"/>
      <c r="W192" s="762"/>
      <c r="X192" s="2">
        <v>25</v>
      </c>
    </row>
    <row r="193" spans="1:24" x14ac:dyDescent="0.25">
      <c r="A193" s="778"/>
      <c r="B193" s="764"/>
      <c r="C193" s="764"/>
      <c r="D193" s="764"/>
      <c r="E193" s="764"/>
      <c r="F193" s="766"/>
      <c r="G193" s="768"/>
      <c r="H193" s="770"/>
      <c r="I193" s="772"/>
      <c r="J193" s="774"/>
      <c r="K193" s="776"/>
      <c r="L193" s="764"/>
      <c r="M193" s="764"/>
      <c r="N193" s="334">
        <v>45260</v>
      </c>
      <c r="O193" s="766"/>
      <c r="P193" s="335">
        <v>31960.47</v>
      </c>
      <c r="Q193" s="336">
        <v>45274</v>
      </c>
      <c r="R193" s="337"/>
      <c r="S193" s="335"/>
      <c r="T193" s="335"/>
      <c r="U193" s="770"/>
      <c r="V193" s="780"/>
      <c r="W193" s="762"/>
      <c r="X193" s="2">
        <v>25</v>
      </c>
    </row>
    <row r="194" spans="1:24" x14ac:dyDescent="0.25">
      <c r="A194" s="778"/>
      <c r="B194" s="764"/>
      <c r="C194" s="764"/>
      <c r="D194" s="764"/>
      <c r="E194" s="764"/>
      <c r="F194" s="766"/>
      <c r="G194" s="768"/>
      <c r="H194" s="770"/>
      <c r="I194" s="772"/>
      <c r="J194" s="774"/>
      <c r="K194" s="776"/>
      <c r="L194" s="764"/>
      <c r="M194" s="764"/>
      <c r="N194" s="334">
        <v>45261</v>
      </c>
      <c r="O194" s="766"/>
      <c r="P194" s="335">
        <v>12905.33</v>
      </c>
      <c r="Q194" s="336">
        <v>45264</v>
      </c>
      <c r="R194" s="337"/>
      <c r="S194" s="335"/>
      <c r="T194" s="335"/>
      <c r="U194" s="770"/>
      <c r="V194" s="780"/>
      <c r="W194" s="762"/>
      <c r="X194" s="2">
        <v>25</v>
      </c>
    </row>
    <row r="195" spans="1:24" x14ac:dyDescent="0.25">
      <c r="A195" s="778"/>
      <c r="B195" s="764"/>
      <c r="C195" s="764"/>
      <c r="D195" s="764"/>
      <c r="E195" s="764"/>
      <c r="F195" s="766"/>
      <c r="G195" s="768"/>
      <c r="H195" s="770"/>
      <c r="I195" s="772"/>
      <c r="J195" s="774"/>
      <c r="K195" s="776"/>
      <c r="L195" s="764"/>
      <c r="M195" s="764"/>
      <c r="N195" s="334">
        <v>45261</v>
      </c>
      <c r="O195" s="766"/>
      <c r="P195" s="335">
        <v>25503.25</v>
      </c>
      <c r="Q195" s="336">
        <v>45278</v>
      </c>
      <c r="R195" s="337"/>
      <c r="S195" s="335"/>
      <c r="T195" s="335"/>
      <c r="U195" s="770"/>
      <c r="V195" s="780"/>
      <c r="W195" s="762"/>
      <c r="X195" s="2">
        <v>25</v>
      </c>
    </row>
    <row r="196" spans="1:24" ht="80.45" customHeight="1" x14ac:dyDescent="0.25">
      <c r="A196" s="778"/>
      <c r="B196" s="764"/>
      <c r="C196" s="764"/>
      <c r="D196" s="764"/>
      <c r="E196" s="764"/>
      <c r="F196" s="766"/>
      <c r="G196" s="768"/>
      <c r="H196" s="770"/>
      <c r="I196" s="772"/>
      <c r="J196" s="774"/>
      <c r="K196" s="776"/>
      <c r="L196" s="764"/>
      <c r="M196" s="764"/>
      <c r="N196" s="334">
        <v>45291</v>
      </c>
      <c r="O196" s="766"/>
      <c r="P196" s="335"/>
      <c r="Q196" s="336"/>
      <c r="R196" s="337"/>
      <c r="S196" s="335"/>
      <c r="T196" s="335"/>
      <c r="U196" s="770"/>
      <c r="V196" s="780"/>
      <c r="W196" s="762"/>
      <c r="X196" s="2">
        <v>25</v>
      </c>
    </row>
    <row r="197" spans="1:24" s="83" customFormat="1" ht="93.75" x14ac:dyDescent="0.25">
      <c r="A197" s="360">
        <v>24</v>
      </c>
      <c r="B197" s="314" t="s">
        <v>458</v>
      </c>
      <c r="C197" s="314" t="s">
        <v>147</v>
      </c>
      <c r="D197" s="314" t="s">
        <v>172</v>
      </c>
      <c r="E197" s="314" t="s">
        <v>177</v>
      </c>
      <c r="F197" s="318">
        <v>45124</v>
      </c>
      <c r="G197" s="316" t="s">
        <v>382</v>
      </c>
      <c r="H197" s="315">
        <v>203184.54</v>
      </c>
      <c r="I197" s="317">
        <f>IF(X197 = 26, H197 + SUM(S197:S197) - SUM(T197:T197) - SUM(P197:P197) - V197,0)</f>
        <v>0</v>
      </c>
      <c r="J197" s="312">
        <v>231107998282</v>
      </c>
      <c r="K197" s="313" t="s">
        <v>383</v>
      </c>
      <c r="L197" s="314" t="s">
        <v>147</v>
      </c>
      <c r="M197" s="314" t="s">
        <v>384</v>
      </c>
      <c r="N197" s="318">
        <v>45175</v>
      </c>
      <c r="O197" s="318" t="s">
        <v>385</v>
      </c>
      <c r="P197" s="315">
        <v>203184.54</v>
      </c>
      <c r="Q197" s="316">
        <v>45194</v>
      </c>
      <c r="R197" s="307"/>
      <c r="S197" s="308"/>
      <c r="T197" s="308"/>
      <c r="U197" s="308"/>
      <c r="V197" s="319"/>
      <c r="W197" s="311"/>
      <c r="X197" s="83">
        <v>26</v>
      </c>
    </row>
    <row r="198" spans="1:24" s="83" customFormat="1" ht="24" customHeight="1" x14ac:dyDescent="0.25">
      <c r="A198" s="755">
        <v>25</v>
      </c>
      <c r="B198" s="734" t="s">
        <v>56</v>
      </c>
      <c r="C198" s="734" t="s">
        <v>147</v>
      </c>
      <c r="D198" s="734" t="s">
        <v>172</v>
      </c>
      <c r="E198" s="734" t="s">
        <v>436</v>
      </c>
      <c r="F198" s="737">
        <v>45139</v>
      </c>
      <c r="G198" s="740" t="s">
        <v>157</v>
      </c>
      <c r="H198" s="743">
        <v>150000</v>
      </c>
      <c r="I198" s="746">
        <f>IF(X198 = 27, H198 + SUM(S198:S202) - SUM(T198:T202) - SUM(P198:P202) - V198,0)</f>
        <v>57845.75</v>
      </c>
      <c r="J198" s="749">
        <v>7743529527</v>
      </c>
      <c r="K198" s="752" t="s">
        <v>158</v>
      </c>
      <c r="L198" s="734" t="s">
        <v>147</v>
      </c>
      <c r="M198" s="734" t="s">
        <v>435</v>
      </c>
      <c r="N198" s="348">
        <v>45175</v>
      </c>
      <c r="O198" s="737" t="s">
        <v>434</v>
      </c>
      <c r="P198" s="349">
        <v>5054</v>
      </c>
      <c r="Q198" s="350">
        <v>45177</v>
      </c>
      <c r="R198" s="351"/>
      <c r="S198" s="349"/>
      <c r="T198" s="349"/>
      <c r="U198" s="743"/>
      <c r="V198" s="758"/>
      <c r="W198" s="781" t="s">
        <v>160</v>
      </c>
      <c r="X198" s="83">
        <v>27</v>
      </c>
    </row>
    <row r="199" spans="1:24" x14ac:dyDescent="0.25">
      <c r="A199" s="756"/>
      <c r="B199" s="735"/>
      <c r="C199" s="735"/>
      <c r="D199" s="735"/>
      <c r="E199" s="735"/>
      <c r="F199" s="738"/>
      <c r="G199" s="741"/>
      <c r="H199" s="744"/>
      <c r="I199" s="747"/>
      <c r="J199" s="750"/>
      <c r="K199" s="753"/>
      <c r="L199" s="735"/>
      <c r="M199" s="735"/>
      <c r="N199" s="356">
        <v>45208</v>
      </c>
      <c r="O199" s="738"/>
      <c r="P199" s="357">
        <v>27722.75</v>
      </c>
      <c r="Q199" s="358">
        <v>45211</v>
      </c>
      <c r="R199" s="359"/>
      <c r="S199" s="357"/>
      <c r="T199" s="357"/>
      <c r="U199" s="744"/>
      <c r="V199" s="759"/>
      <c r="W199" s="782"/>
      <c r="X199" s="2">
        <v>27</v>
      </c>
    </row>
    <row r="200" spans="1:24" x14ac:dyDescent="0.25">
      <c r="A200" s="756"/>
      <c r="B200" s="735"/>
      <c r="C200" s="735"/>
      <c r="D200" s="735"/>
      <c r="E200" s="735"/>
      <c r="F200" s="738"/>
      <c r="G200" s="741"/>
      <c r="H200" s="744"/>
      <c r="I200" s="747"/>
      <c r="J200" s="750"/>
      <c r="K200" s="753"/>
      <c r="L200" s="735"/>
      <c r="M200" s="735"/>
      <c r="N200" s="356">
        <v>45237</v>
      </c>
      <c r="O200" s="738"/>
      <c r="P200" s="357">
        <v>24360</v>
      </c>
      <c r="Q200" s="358"/>
      <c r="R200" s="359"/>
      <c r="S200" s="357"/>
      <c r="T200" s="357"/>
      <c r="U200" s="744"/>
      <c r="V200" s="759"/>
      <c r="W200" s="782"/>
      <c r="X200" s="2">
        <v>27</v>
      </c>
    </row>
    <row r="201" spans="1:24" x14ac:dyDescent="0.25">
      <c r="A201" s="756"/>
      <c r="B201" s="735"/>
      <c r="C201" s="735"/>
      <c r="D201" s="735"/>
      <c r="E201" s="735"/>
      <c r="F201" s="738"/>
      <c r="G201" s="741"/>
      <c r="H201" s="744"/>
      <c r="I201" s="747"/>
      <c r="J201" s="750"/>
      <c r="K201" s="753"/>
      <c r="L201" s="735"/>
      <c r="M201" s="735"/>
      <c r="N201" s="356">
        <v>45265</v>
      </c>
      <c r="O201" s="738"/>
      <c r="P201" s="357">
        <v>35017.5</v>
      </c>
      <c r="Q201" s="358">
        <v>45265</v>
      </c>
      <c r="R201" s="359"/>
      <c r="S201" s="357"/>
      <c r="T201" s="357"/>
      <c r="U201" s="744"/>
      <c r="V201" s="759"/>
      <c r="W201" s="782"/>
      <c r="X201" s="2">
        <v>27</v>
      </c>
    </row>
    <row r="202" spans="1:24" x14ac:dyDescent="0.25">
      <c r="A202" s="757"/>
      <c r="B202" s="736"/>
      <c r="C202" s="736"/>
      <c r="D202" s="736"/>
      <c r="E202" s="736"/>
      <c r="F202" s="739"/>
      <c r="G202" s="742"/>
      <c r="H202" s="745"/>
      <c r="I202" s="748"/>
      <c r="J202" s="751"/>
      <c r="K202" s="754"/>
      <c r="L202" s="736"/>
      <c r="M202" s="736"/>
      <c r="N202" s="352"/>
      <c r="O202" s="739"/>
      <c r="P202" s="353"/>
      <c r="Q202" s="354"/>
      <c r="R202" s="355"/>
      <c r="S202" s="353"/>
      <c r="T202" s="353"/>
      <c r="U202" s="745"/>
      <c r="V202" s="760"/>
      <c r="W202" s="783"/>
      <c r="X202" s="2">
        <v>27</v>
      </c>
    </row>
    <row r="203" spans="1:24" s="83" customFormat="1" ht="18" customHeight="1" x14ac:dyDescent="0.25">
      <c r="A203" s="730">
        <v>26</v>
      </c>
      <c r="B203" s="716" t="s">
        <v>56</v>
      </c>
      <c r="C203" s="716" t="s">
        <v>147</v>
      </c>
      <c r="D203" s="716" t="s">
        <v>172</v>
      </c>
      <c r="E203" s="716" t="s">
        <v>116</v>
      </c>
      <c r="F203" s="718">
        <v>45169</v>
      </c>
      <c r="G203" s="720" t="s">
        <v>217</v>
      </c>
      <c r="H203" s="722">
        <v>5283.52</v>
      </c>
      <c r="I203" s="724">
        <f>IF(X203 = 28, H203 + SUM(S203:S205) - SUM(T203:T205) - SUM(P203:P205) - V203,0)</f>
        <v>6.5369931689929217E-13</v>
      </c>
      <c r="J203" s="726">
        <v>2353023951</v>
      </c>
      <c r="K203" s="728" t="s">
        <v>218</v>
      </c>
      <c r="L203" s="716" t="s">
        <v>147</v>
      </c>
      <c r="M203" s="716" t="s">
        <v>456</v>
      </c>
      <c r="N203" s="377">
        <v>45175</v>
      </c>
      <c r="O203" s="718" t="s">
        <v>219</v>
      </c>
      <c r="P203" s="378">
        <v>1703.24</v>
      </c>
      <c r="Q203" s="379">
        <v>45183</v>
      </c>
      <c r="R203" s="429"/>
      <c r="S203" s="430"/>
      <c r="T203" s="430"/>
      <c r="U203" s="722"/>
      <c r="V203" s="732">
        <v>104.28</v>
      </c>
      <c r="W203" s="714"/>
      <c r="X203" s="83">
        <v>28</v>
      </c>
    </row>
    <row r="204" spans="1:24" x14ac:dyDescent="0.25">
      <c r="A204" s="731"/>
      <c r="B204" s="717"/>
      <c r="C204" s="717"/>
      <c r="D204" s="717"/>
      <c r="E204" s="717"/>
      <c r="F204" s="719"/>
      <c r="G204" s="721"/>
      <c r="H204" s="723"/>
      <c r="I204" s="725"/>
      <c r="J204" s="727"/>
      <c r="K204" s="729"/>
      <c r="L204" s="717"/>
      <c r="M204" s="717"/>
      <c r="N204" s="380">
        <v>45199</v>
      </c>
      <c r="O204" s="719"/>
      <c r="P204" s="381">
        <v>1564.2</v>
      </c>
      <c r="Q204" s="382">
        <v>45209</v>
      </c>
      <c r="R204" s="431"/>
      <c r="S204" s="432"/>
      <c r="T204" s="432"/>
      <c r="U204" s="723"/>
      <c r="V204" s="733"/>
      <c r="W204" s="715"/>
      <c r="X204" s="2">
        <v>28</v>
      </c>
    </row>
    <row r="205" spans="1:24" x14ac:dyDescent="0.25">
      <c r="A205" s="731"/>
      <c r="B205" s="717"/>
      <c r="C205" s="717"/>
      <c r="D205" s="717"/>
      <c r="E205" s="717"/>
      <c r="F205" s="719"/>
      <c r="G205" s="721"/>
      <c r="H205" s="723"/>
      <c r="I205" s="725"/>
      <c r="J205" s="727"/>
      <c r="K205" s="729"/>
      <c r="L205" s="717"/>
      <c r="M205" s="717"/>
      <c r="N205" s="380">
        <v>45229</v>
      </c>
      <c r="O205" s="719"/>
      <c r="P205" s="381">
        <v>1911.8</v>
      </c>
      <c r="Q205" s="382"/>
      <c r="R205" s="431"/>
      <c r="S205" s="432"/>
      <c r="T205" s="432"/>
      <c r="U205" s="723"/>
      <c r="V205" s="733"/>
      <c r="W205" s="715"/>
      <c r="X205" s="2">
        <v>28</v>
      </c>
    </row>
    <row r="206" spans="1:24" s="83" customFormat="1" ht="36" customHeight="1" x14ac:dyDescent="0.25">
      <c r="A206" s="694">
        <v>27</v>
      </c>
      <c r="B206" s="700" t="s">
        <v>56</v>
      </c>
      <c r="C206" s="700" t="s">
        <v>147</v>
      </c>
      <c r="D206" s="700" t="s">
        <v>172</v>
      </c>
      <c r="E206" s="700" t="s">
        <v>116</v>
      </c>
      <c r="F206" s="696">
        <v>45239</v>
      </c>
      <c r="G206" s="712" t="s">
        <v>217</v>
      </c>
      <c r="H206" s="708">
        <v>3476</v>
      </c>
      <c r="I206" s="710">
        <f>IF(X206 = 29, H206 + SUM(S206:S207) - SUM(T206:T207) - SUM(P206:P207) - V206,0)</f>
        <v>0</v>
      </c>
      <c r="J206" s="1182">
        <v>2353023951</v>
      </c>
      <c r="K206" s="1184" t="s">
        <v>218</v>
      </c>
      <c r="L206" s="700" t="s">
        <v>147</v>
      </c>
      <c r="M206" s="700" t="s">
        <v>518</v>
      </c>
      <c r="N206" s="515">
        <v>45260</v>
      </c>
      <c r="O206" s="696" t="s">
        <v>219</v>
      </c>
      <c r="P206" s="516">
        <v>1251.3599999999999</v>
      </c>
      <c r="Q206" s="517">
        <v>45268</v>
      </c>
      <c r="R206" s="544"/>
      <c r="S206" s="538"/>
      <c r="T206" s="538"/>
      <c r="U206" s="708" t="s">
        <v>576</v>
      </c>
      <c r="V206" s="1180">
        <v>1807.52</v>
      </c>
      <c r="W206" s="704"/>
      <c r="X206" s="83">
        <v>29</v>
      </c>
    </row>
    <row r="207" spans="1:24" s="495" customFormat="1" x14ac:dyDescent="0.25">
      <c r="A207" s="695"/>
      <c r="B207" s="701"/>
      <c r="C207" s="701"/>
      <c r="D207" s="701"/>
      <c r="E207" s="701"/>
      <c r="F207" s="697"/>
      <c r="G207" s="713"/>
      <c r="H207" s="709"/>
      <c r="I207" s="711"/>
      <c r="J207" s="1183"/>
      <c r="K207" s="1185"/>
      <c r="L207" s="701"/>
      <c r="M207" s="701"/>
      <c r="N207" s="519">
        <v>45280</v>
      </c>
      <c r="O207" s="697"/>
      <c r="P207" s="520">
        <v>417.12</v>
      </c>
      <c r="Q207" s="521">
        <v>45281</v>
      </c>
      <c r="R207" s="545"/>
      <c r="S207" s="539"/>
      <c r="T207" s="539"/>
      <c r="U207" s="709"/>
      <c r="V207" s="1181"/>
      <c r="W207" s="705"/>
      <c r="X207" s="495">
        <v>29</v>
      </c>
    </row>
    <row r="208" spans="1:24" s="83" customFormat="1" ht="70.900000000000006" customHeight="1" x14ac:dyDescent="0.25">
      <c r="A208" s="1186">
        <v>28</v>
      </c>
      <c r="B208" s="700" t="s">
        <v>56</v>
      </c>
      <c r="C208" s="700" t="s">
        <v>147</v>
      </c>
      <c r="D208" s="700"/>
      <c r="E208" s="700" t="s">
        <v>519</v>
      </c>
      <c r="F208" s="696">
        <v>45239</v>
      </c>
      <c r="G208" s="712" t="s">
        <v>520</v>
      </c>
      <c r="H208" s="708">
        <v>38992</v>
      </c>
      <c r="I208" s="710">
        <f>IF(X208 = 30, H208 + SUM(S208:S209) - SUM(T208:T209) - SUM(P208:P209) - V208,0)</f>
        <v>38992</v>
      </c>
      <c r="J208" s="1182">
        <v>235300582900</v>
      </c>
      <c r="K208" s="1184" t="s">
        <v>199</v>
      </c>
      <c r="L208" s="700" t="s">
        <v>147</v>
      </c>
      <c r="M208" s="700" t="s">
        <v>522</v>
      </c>
      <c r="N208" s="515"/>
      <c r="O208" s="696" t="s">
        <v>521</v>
      </c>
      <c r="P208" s="516"/>
      <c r="Q208" s="517"/>
      <c r="R208" s="518"/>
      <c r="S208" s="516"/>
      <c r="T208" s="516"/>
      <c r="U208" s="708"/>
      <c r="V208" s="1180"/>
      <c r="W208" s="704"/>
      <c r="X208" s="83">
        <v>30</v>
      </c>
    </row>
    <row r="209" spans="1:24" s="495" customFormat="1" ht="54" customHeight="1" x14ac:dyDescent="0.25">
      <c r="A209" s="1187"/>
      <c r="B209" s="701"/>
      <c r="C209" s="701"/>
      <c r="D209" s="701"/>
      <c r="E209" s="701"/>
      <c r="F209" s="697"/>
      <c r="G209" s="713"/>
      <c r="H209" s="709"/>
      <c r="I209" s="711"/>
      <c r="J209" s="1183"/>
      <c r="K209" s="1185"/>
      <c r="L209" s="701"/>
      <c r="M209" s="701"/>
      <c r="N209" s="519"/>
      <c r="O209" s="697"/>
      <c r="P209" s="520"/>
      <c r="Q209" s="521"/>
      <c r="R209" s="522"/>
      <c r="S209" s="520"/>
      <c r="T209" s="520"/>
      <c r="U209" s="709"/>
      <c r="V209" s="1181"/>
      <c r="W209" s="705"/>
      <c r="X209" s="495">
        <v>30</v>
      </c>
    </row>
    <row r="210" spans="1:24" s="83" customFormat="1" ht="56.25" x14ac:dyDescent="0.25">
      <c r="A210" s="481">
        <v>29</v>
      </c>
      <c r="B210" s="473" t="s">
        <v>56</v>
      </c>
      <c r="C210" s="473" t="s">
        <v>147</v>
      </c>
      <c r="D210" s="473"/>
      <c r="E210" s="473" t="s">
        <v>129</v>
      </c>
      <c r="F210" s="487">
        <v>45261</v>
      </c>
      <c r="G210" s="476" t="s">
        <v>543</v>
      </c>
      <c r="H210" s="477">
        <v>166908</v>
      </c>
      <c r="I210" s="478">
        <f>IF(X210 = 31, H210 + SUM(S210:S210) - SUM(T210:T210) - SUM(P210:P210) - V210,0)</f>
        <v>166908</v>
      </c>
      <c r="J210" s="479">
        <v>235300582900</v>
      </c>
      <c r="K210" s="480" t="s">
        <v>199</v>
      </c>
      <c r="L210" s="473" t="s">
        <v>147</v>
      </c>
      <c r="M210" s="473" t="s">
        <v>544</v>
      </c>
      <c r="N210" s="487"/>
      <c r="O210" s="487" t="s">
        <v>354</v>
      </c>
      <c r="P210" s="477"/>
      <c r="Q210" s="476"/>
      <c r="R210" s="473"/>
      <c r="S210" s="477"/>
      <c r="T210" s="477"/>
      <c r="U210" s="477"/>
      <c r="V210" s="474"/>
      <c r="W210" s="475"/>
      <c r="X210" s="83">
        <v>31</v>
      </c>
    </row>
    <row r="211" spans="1:24" s="83" customFormat="1" ht="56.25" x14ac:dyDescent="0.25">
      <c r="A211" s="554">
        <v>30</v>
      </c>
      <c r="B211" s="483" t="s">
        <v>56</v>
      </c>
      <c r="C211" s="525" t="s">
        <v>147</v>
      </c>
      <c r="D211" s="525" t="s">
        <v>172</v>
      </c>
      <c r="E211" s="525" t="s">
        <v>177</v>
      </c>
      <c r="F211" s="530">
        <v>45282</v>
      </c>
      <c r="G211" s="529" t="s">
        <v>567</v>
      </c>
      <c r="H211" s="527">
        <v>189000</v>
      </c>
      <c r="I211" s="528">
        <f>IF(X211 = 32, H211 + SUM(S211:S211) - SUM(T211:T211) - SUM(P211:P211) - V211,0)</f>
        <v>0</v>
      </c>
      <c r="J211" s="535">
        <v>235300203781</v>
      </c>
      <c r="K211" s="536" t="s">
        <v>568</v>
      </c>
      <c r="L211" s="525" t="s">
        <v>147</v>
      </c>
      <c r="M211" s="525" t="s">
        <v>561</v>
      </c>
      <c r="N211" s="530">
        <v>45285</v>
      </c>
      <c r="O211" s="530" t="s">
        <v>566</v>
      </c>
      <c r="P211" s="527">
        <v>189000</v>
      </c>
      <c r="Q211" s="529">
        <v>45286</v>
      </c>
      <c r="R211" s="532"/>
      <c r="S211" s="533"/>
      <c r="T211" s="533"/>
      <c r="U211" s="533"/>
      <c r="V211" s="537"/>
      <c r="W211" s="523"/>
      <c r="X211" s="83">
        <v>32</v>
      </c>
    </row>
    <row r="212" spans="1:24" x14ac:dyDescent="0.25">
      <c r="X212" s="2">
        <v>33</v>
      </c>
    </row>
  </sheetData>
  <sheetProtection algorithmName="SHA-512" hashValue="d5oSIUOIzheZrYDSW661YZXUqqONk4kuJEO8DVx1RFHPUtJnyNnHGWWhz480EB272ntxQaixPLA38lgKTdMteA==" saltValue="x7Qt70P+8TuHP8GFkwu5IQ==" spinCount="100000" sheet="1" objects="1" scenarios="1" formatCells="0" formatColumns="0" formatRows="0"/>
  <mergeCells count="428">
    <mergeCell ref="A208:A209"/>
    <mergeCell ref="O208:O209"/>
    <mergeCell ref="U208:U209"/>
    <mergeCell ref="B208:B209"/>
    <mergeCell ref="V208:V209"/>
    <mergeCell ref="C208:C209"/>
    <mergeCell ref="W208:W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A206:A207"/>
    <mergeCell ref="O206:O207"/>
    <mergeCell ref="U206:U207"/>
    <mergeCell ref="B206:B207"/>
    <mergeCell ref="V206:V207"/>
    <mergeCell ref="C206:C207"/>
    <mergeCell ref="W206:W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L206:L207"/>
    <mergeCell ref="M206:M207"/>
    <mergeCell ref="B9:B21"/>
    <mergeCell ref="V9:V21"/>
    <mergeCell ref="C9:C21"/>
    <mergeCell ref="W9:W21"/>
    <mergeCell ref="D9:D21"/>
    <mergeCell ref="E9:E21"/>
    <mergeCell ref="F9:F21"/>
    <mergeCell ref="G9:G21"/>
    <mergeCell ref="H9:H21"/>
    <mergeCell ref="I9:I21"/>
    <mergeCell ref="J9:J21"/>
    <mergeCell ref="K9:K21"/>
    <mergeCell ref="L9:L21"/>
    <mergeCell ref="M9:M21"/>
    <mergeCell ref="U71:U102"/>
    <mergeCell ref="B71:B102"/>
    <mergeCell ref="V71:V102"/>
    <mergeCell ref="C71:C102"/>
    <mergeCell ref="W71:W102"/>
    <mergeCell ref="D71:D102"/>
    <mergeCell ref="E71:E102"/>
    <mergeCell ref="F71:F102"/>
    <mergeCell ref="G71:G102"/>
    <mergeCell ref="H71:H102"/>
    <mergeCell ref="I71:I102"/>
    <mergeCell ref="J71:J102"/>
    <mergeCell ref="K71:K102"/>
    <mergeCell ref="L71:L102"/>
    <mergeCell ref="M71:M102"/>
    <mergeCell ref="A169:A172"/>
    <mergeCell ref="O169:O172"/>
    <mergeCell ref="U169:U172"/>
    <mergeCell ref="B169:B172"/>
    <mergeCell ref="V169:V172"/>
    <mergeCell ref="C169:C172"/>
    <mergeCell ref="W169:W172"/>
    <mergeCell ref="D169:D172"/>
    <mergeCell ref="E169:E172"/>
    <mergeCell ref="F169:F172"/>
    <mergeCell ref="G169:G172"/>
    <mergeCell ref="H169:H172"/>
    <mergeCell ref="I169:I172"/>
    <mergeCell ref="J169:J172"/>
    <mergeCell ref="K169:K172"/>
    <mergeCell ref="L169:L172"/>
    <mergeCell ref="M169:M172"/>
    <mergeCell ref="A175:A176"/>
    <mergeCell ref="O175:O176"/>
    <mergeCell ref="U175:U176"/>
    <mergeCell ref="B175:B176"/>
    <mergeCell ref="V175:V176"/>
    <mergeCell ref="C175:C176"/>
    <mergeCell ref="W175:W176"/>
    <mergeCell ref="D175:D176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A173:A174"/>
    <mergeCell ref="O173:O174"/>
    <mergeCell ref="U173:U174"/>
    <mergeCell ref="B173:B174"/>
    <mergeCell ref="V173:V174"/>
    <mergeCell ref="C173:C174"/>
    <mergeCell ref="W173:W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L173:L174"/>
    <mergeCell ref="M173:M174"/>
    <mergeCell ref="A165:A168"/>
    <mergeCell ref="O165:O168"/>
    <mergeCell ref="U165:U168"/>
    <mergeCell ref="B165:B168"/>
    <mergeCell ref="V165:V168"/>
    <mergeCell ref="C165:C168"/>
    <mergeCell ref="W165:W168"/>
    <mergeCell ref="D165:D168"/>
    <mergeCell ref="E165:E168"/>
    <mergeCell ref="F165:F168"/>
    <mergeCell ref="G165:G168"/>
    <mergeCell ref="H165:H168"/>
    <mergeCell ref="I165:I168"/>
    <mergeCell ref="J165:J168"/>
    <mergeCell ref="K165:K168"/>
    <mergeCell ref="L165:L168"/>
    <mergeCell ref="M165:M168"/>
    <mergeCell ref="A163:A164"/>
    <mergeCell ref="O163:O164"/>
    <mergeCell ref="U163:U164"/>
    <mergeCell ref="B163:B164"/>
    <mergeCell ref="V163:V164"/>
    <mergeCell ref="C163:C164"/>
    <mergeCell ref="W163:W164"/>
    <mergeCell ref="D163:D164"/>
    <mergeCell ref="E163:E164"/>
    <mergeCell ref="F163:F164"/>
    <mergeCell ref="G163:G164"/>
    <mergeCell ref="H163:H164"/>
    <mergeCell ref="I163:I164"/>
    <mergeCell ref="J163:J164"/>
    <mergeCell ref="K163:K164"/>
    <mergeCell ref="L163:L164"/>
    <mergeCell ref="M163:M164"/>
    <mergeCell ref="A161:A162"/>
    <mergeCell ref="O161:O162"/>
    <mergeCell ref="U161:U162"/>
    <mergeCell ref="B161:B162"/>
    <mergeCell ref="V161:V162"/>
    <mergeCell ref="C161:C162"/>
    <mergeCell ref="W161:W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M161:M162"/>
    <mergeCell ref="A64:A70"/>
    <mergeCell ref="O64:O70"/>
    <mergeCell ref="U64:U70"/>
    <mergeCell ref="B64:B70"/>
    <mergeCell ref="V64:V70"/>
    <mergeCell ref="C64:C70"/>
    <mergeCell ref="A103:A114"/>
    <mergeCell ref="O103:O114"/>
    <mergeCell ref="U103:U114"/>
    <mergeCell ref="B103:B114"/>
    <mergeCell ref="V103:V114"/>
    <mergeCell ref="C103:C114"/>
    <mergeCell ref="M64:M70"/>
    <mergeCell ref="D64:D70"/>
    <mergeCell ref="E64:E70"/>
    <mergeCell ref="F64:F70"/>
    <mergeCell ref="G64:G70"/>
    <mergeCell ref="H64:H70"/>
    <mergeCell ref="I64:I70"/>
    <mergeCell ref="J64:J70"/>
    <mergeCell ref="K64:K70"/>
    <mergeCell ref="L64:L70"/>
    <mergeCell ref="A71:A102"/>
    <mergeCell ref="O71:O102"/>
    <mergeCell ref="W103:W114"/>
    <mergeCell ref="D103:D114"/>
    <mergeCell ref="E103:E114"/>
    <mergeCell ref="F103:F114"/>
    <mergeCell ref="G103:G114"/>
    <mergeCell ref="H103:H114"/>
    <mergeCell ref="I103:I114"/>
    <mergeCell ref="J103:J114"/>
    <mergeCell ref="K103:K114"/>
    <mergeCell ref="L103:L114"/>
    <mergeCell ref="M103:M114"/>
    <mergeCell ref="W64:W70"/>
    <mergeCell ref="W35:W38"/>
    <mergeCell ref="D35:D38"/>
    <mergeCell ref="E35:E38"/>
    <mergeCell ref="F35:F38"/>
    <mergeCell ref="G35:G38"/>
    <mergeCell ref="H35:H38"/>
    <mergeCell ref="I35:I38"/>
    <mergeCell ref="J35:J38"/>
    <mergeCell ref="K35:K38"/>
    <mergeCell ref="L35:L38"/>
    <mergeCell ref="M35:M38"/>
    <mergeCell ref="V35:V38"/>
    <mergeCell ref="V39:V50"/>
    <mergeCell ref="W39:W50"/>
    <mergeCell ref="G39:G50"/>
    <mergeCell ref="H39:H50"/>
    <mergeCell ref="I39:I50"/>
    <mergeCell ref="J39:J50"/>
    <mergeCell ref="K39:K50"/>
    <mergeCell ref="L39:L50"/>
    <mergeCell ref="M39:M50"/>
    <mergeCell ref="O51:O62"/>
    <mergeCell ref="U51:U62"/>
    <mergeCell ref="W29:W34"/>
    <mergeCell ref="D29:D34"/>
    <mergeCell ref="E29:E34"/>
    <mergeCell ref="F29:F34"/>
    <mergeCell ref="G29:G34"/>
    <mergeCell ref="H29:H34"/>
    <mergeCell ref="I29:I34"/>
    <mergeCell ref="J29:J34"/>
    <mergeCell ref="K29:K34"/>
    <mergeCell ref="L29:L34"/>
    <mergeCell ref="M29:M34"/>
    <mergeCell ref="O29:O34"/>
    <mergeCell ref="V29:V34"/>
    <mergeCell ref="U29:U34"/>
    <mergeCell ref="V22:V28"/>
    <mergeCell ref="W22:W28"/>
    <mergeCell ref="D22:D28"/>
    <mergeCell ref="A22:A28"/>
    <mergeCell ref="B22:B28"/>
    <mergeCell ref="C22:C28"/>
    <mergeCell ref="E22:E28"/>
    <mergeCell ref="F22:F28"/>
    <mergeCell ref="G22:G28"/>
    <mergeCell ref="H22:H28"/>
    <mergeCell ref="I22:I28"/>
    <mergeCell ref="J22:J28"/>
    <mergeCell ref="K22:K28"/>
    <mergeCell ref="L22:L28"/>
    <mergeCell ref="M22:M28"/>
    <mergeCell ref="A39:A50"/>
    <mergeCell ref="B39:B50"/>
    <mergeCell ref="C39:C50"/>
    <mergeCell ref="E39:E50"/>
    <mergeCell ref="F39:F50"/>
    <mergeCell ref="S2:U2"/>
    <mergeCell ref="F2:G2"/>
    <mergeCell ref="N2:O2"/>
    <mergeCell ref="A29:A34"/>
    <mergeCell ref="O22:O28"/>
    <mergeCell ref="U22:U28"/>
    <mergeCell ref="B29:B34"/>
    <mergeCell ref="O39:O50"/>
    <mergeCell ref="U39:U50"/>
    <mergeCell ref="C29:C34"/>
    <mergeCell ref="A35:A38"/>
    <mergeCell ref="O35:O38"/>
    <mergeCell ref="U35:U38"/>
    <mergeCell ref="B35:B38"/>
    <mergeCell ref="C35:C38"/>
    <mergeCell ref="D39:D50"/>
    <mergeCell ref="A9:A21"/>
    <mergeCell ref="O9:O21"/>
    <mergeCell ref="U9:U21"/>
    <mergeCell ref="V51:V62"/>
    <mergeCell ref="W51:W62"/>
    <mergeCell ref="D51:D62"/>
    <mergeCell ref="A51:A62"/>
    <mergeCell ref="B51:B62"/>
    <mergeCell ref="C51:C62"/>
    <mergeCell ref="E51:E62"/>
    <mergeCell ref="F51:F62"/>
    <mergeCell ref="G51:G62"/>
    <mergeCell ref="H51:H62"/>
    <mergeCell ref="I51:I62"/>
    <mergeCell ref="J51:J62"/>
    <mergeCell ref="K51:K62"/>
    <mergeCell ref="L51:L62"/>
    <mergeCell ref="M51:M62"/>
    <mergeCell ref="A115:A126"/>
    <mergeCell ref="O115:O126"/>
    <mergeCell ref="U115:U126"/>
    <mergeCell ref="B115:B126"/>
    <mergeCell ref="V115:V126"/>
    <mergeCell ref="C115:C126"/>
    <mergeCell ref="W115:W126"/>
    <mergeCell ref="D115:D126"/>
    <mergeCell ref="E115:E126"/>
    <mergeCell ref="F115:F126"/>
    <mergeCell ref="G115:G126"/>
    <mergeCell ref="H115:H126"/>
    <mergeCell ref="I115:I126"/>
    <mergeCell ref="J115:J126"/>
    <mergeCell ref="K115:K126"/>
    <mergeCell ref="L115:L126"/>
    <mergeCell ref="M115:M126"/>
    <mergeCell ref="W139:W143"/>
    <mergeCell ref="J139:J143"/>
    <mergeCell ref="K139:K143"/>
    <mergeCell ref="L139:L143"/>
    <mergeCell ref="M139:M143"/>
    <mergeCell ref="A156:A160"/>
    <mergeCell ref="A127:A138"/>
    <mergeCell ref="O156:O160"/>
    <mergeCell ref="U156:U160"/>
    <mergeCell ref="B156:B160"/>
    <mergeCell ref="V156:V160"/>
    <mergeCell ref="C156:C160"/>
    <mergeCell ref="W156:W160"/>
    <mergeCell ref="A144:A155"/>
    <mergeCell ref="O144:O155"/>
    <mergeCell ref="U144:U155"/>
    <mergeCell ref="B144:B155"/>
    <mergeCell ref="V144:V155"/>
    <mergeCell ref="C144:C155"/>
    <mergeCell ref="W144:W155"/>
    <mergeCell ref="D144:D155"/>
    <mergeCell ref="E144:E155"/>
    <mergeCell ref="F144:F155"/>
    <mergeCell ref="G144:G155"/>
    <mergeCell ref="W127:W138"/>
    <mergeCell ref="D127:D138"/>
    <mergeCell ref="E127:E138"/>
    <mergeCell ref="F127:F138"/>
    <mergeCell ref="G127:G138"/>
    <mergeCell ref="H127:H138"/>
    <mergeCell ref="I127:I138"/>
    <mergeCell ref="J127:J138"/>
    <mergeCell ref="K127:K138"/>
    <mergeCell ref="L127:L138"/>
    <mergeCell ref="M127:M138"/>
    <mergeCell ref="G139:G143"/>
    <mergeCell ref="H139:H143"/>
    <mergeCell ref="I139:I143"/>
    <mergeCell ref="D156:D160"/>
    <mergeCell ref="E156:E160"/>
    <mergeCell ref="F156:F160"/>
    <mergeCell ref="G156:G160"/>
    <mergeCell ref="A139:A143"/>
    <mergeCell ref="O139:O143"/>
    <mergeCell ref="H144:H155"/>
    <mergeCell ref="H156:H160"/>
    <mergeCell ref="I156:I160"/>
    <mergeCell ref="J156:J160"/>
    <mergeCell ref="K156:K160"/>
    <mergeCell ref="L156:L160"/>
    <mergeCell ref="M156:M160"/>
    <mergeCell ref="A178:A196"/>
    <mergeCell ref="O178:O196"/>
    <mergeCell ref="U178:U196"/>
    <mergeCell ref="B178:B196"/>
    <mergeCell ref="V178:V196"/>
    <mergeCell ref="C178:C196"/>
    <mergeCell ref="W198:W202"/>
    <mergeCell ref="O127:O138"/>
    <mergeCell ref="U127:U138"/>
    <mergeCell ref="B127:B138"/>
    <mergeCell ref="V127:V138"/>
    <mergeCell ref="C127:C138"/>
    <mergeCell ref="I144:I155"/>
    <mergeCell ref="J144:J155"/>
    <mergeCell ref="K144:K155"/>
    <mergeCell ref="L144:L155"/>
    <mergeCell ref="M144:M155"/>
    <mergeCell ref="U139:U143"/>
    <mergeCell ref="B139:B143"/>
    <mergeCell ref="V139:V143"/>
    <mergeCell ref="C139:C143"/>
    <mergeCell ref="D139:D143"/>
    <mergeCell ref="E139:E143"/>
    <mergeCell ref="F139:F143"/>
    <mergeCell ref="W178:W196"/>
    <mergeCell ref="D178:D196"/>
    <mergeCell ref="E178:E196"/>
    <mergeCell ref="F178:F196"/>
    <mergeCell ref="G178:G196"/>
    <mergeCell ref="H178:H196"/>
    <mergeCell ref="I178:I196"/>
    <mergeCell ref="J178:J196"/>
    <mergeCell ref="K178:K196"/>
    <mergeCell ref="L178:L196"/>
    <mergeCell ref="M178:M196"/>
    <mergeCell ref="A203:A205"/>
    <mergeCell ref="O203:O205"/>
    <mergeCell ref="U203:U205"/>
    <mergeCell ref="B203:B205"/>
    <mergeCell ref="V203:V205"/>
    <mergeCell ref="C203:C205"/>
    <mergeCell ref="M198:M202"/>
    <mergeCell ref="D198:D202"/>
    <mergeCell ref="E198:E202"/>
    <mergeCell ref="F198:F202"/>
    <mergeCell ref="G198:G202"/>
    <mergeCell ref="H198:H202"/>
    <mergeCell ref="I198:I202"/>
    <mergeCell ref="J198:J202"/>
    <mergeCell ref="K198:K202"/>
    <mergeCell ref="L198:L202"/>
    <mergeCell ref="A198:A202"/>
    <mergeCell ref="O198:O202"/>
    <mergeCell ref="U198:U202"/>
    <mergeCell ref="B198:B202"/>
    <mergeCell ref="V198:V202"/>
    <mergeCell ref="C198:C202"/>
    <mergeCell ref="W203:W205"/>
    <mergeCell ref="D203:D205"/>
    <mergeCell ref="E203:E205"/>
    <mergeCell ref="F203:F205"/>
    <mergeCell ref="G203:G205"/>
    <mergeCell ref="H203:H205"/>
    <mergeCell ref="I203:I205"/>
    <mergeCell ref="J203:J205"/>
    <mergeCell ref="K203:K205"/>
    <mergeCell ref="L203:L205"/>
    <mergeCell ref="M203:M20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2"/>
  <sheetViews>
    <sheetView showGridLines="0" zoomScale="50" zoomScaleNormal="50" workbookViewId="0">
      <pane ySplit="8" topLeftCell="A9" activePane="bottomLeft" state="frozen"/>
      <selection pane="bottomLeft" activeCell="G9" sqref="G9:G11"/>
    </sheetView>
  </sheetViews>
  <sheetFormatPr defaultColWidth="0" defaultRowHeight="18.75" x14ac:dyDescent="0.25"/>
  <cols>
    <col min="1" max="1" width="8.28515625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7"/>
      <c r="C2" s="67"/>
      <c r="D2" s="67"/>
      <c r="E2" s="923" t="s">
        <v>24</v>
      </c>
      <c r="F2" s="924"/>
      <c r="G2" s="78">
        <f>SUM(G9:G9999)</f>
        <v>473139.15</v>
      </c>
      <c r="L2" s="1206" t="s">
        <v>137</v>
      </c>
      <c r="M2" s="1207"/>
      <c r="N2" s="68">
        <f>SUM(N9:N9999)</f>
        <v>473139.15</v>
      </c>
      <c r="P2" s="67"/>
      <c r="Q2" s="620" t="s">
        <v>45</v>
      </c>
      <c r="R2" s="621"/>
      <c r="S2" s="622"/>
      <c r="T2" s="69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0" t="s">
        <v>46</v>
      </c>
      <c r="J6" s="70" t="s">
        <v>5</v>
      </c>
      <c r="K6" s="23" t="s">
        <v>39</v>
      </c>
      <c r="L6" s="22" t="s">
        <v>37</v>
      </c>
      <c r="M6" s="23" t="s">
        <v>6</v>
      </c>
      <c r="N6" s="70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0" t="s">
        <v>43</v>
      </c>
      <c r="U6" s="13" t="s">
        <v>42</v>
      </c>
    </row>
    <row r="7" spans="1:22" s="95" customFormat="1" x14ac:dyDescent="0.25">
      <c r="A7" s="94" t="s">
        <v>36</v>
      </c>
      <c r="B7" s="94" t="s">
        <v>110</v>
      </c>
      <c r="C7" s="94" t="s">
        <v>111</v>
      </c>
      <c r="D7" s="94" t="s">
        <v>112</v>
      </c>
      <c r="E7" s="94" t="s">
        <v>113</v>
      </c>
      <c r="F7" s="94" t="s">
        <v>114</v>
      </c>
      <c r="G7" s="94" t="s">
        <v>115</v>
      </c>
      <c r="H7" s="94" t="s">
        <v>116</v>
      </c>
      <c r="I7" s="94" t="s">
        <v>117</v>
      </c>
      <c r="J7" s="94" t="s">
        <v>118</v>
      </c>
      <c r="K7" s="94" t="s">
        <v>119</v>
      </c>
      <c r="L7" s="94" t="s">
        <v>120</v>
      </c>
      <c r="M7" s="94" t="s">
        <v>121</v>
      </c>
      <c r="N7" s="94" t="s">
        <v>122</v>
      </c>
      <c r="O7" s="94" t="s">
        <v>123</v>
      </c>
      <c r="P7" s="94" t="s">
        <v>124</v>
      </c>
      <c r="Q7" s="94" t="s">
        <v>125</v>
      </c>
      <c r="R7" s="94" t="s">
        <v>126</v>
      </c>
      <c r="S7" s="94" t="s">
        <v>127</v>
      </c>
      <c r="T7" s="94" t="s">
        <v>128</v>
      </c>
      <c r="U7" s="94" t="s">
        <v>129</v>
      </c>
    </row>
    <row r="8" spans="1:22" s="14" customFormat="1" ht="131.25" hidden="1" x14ac:dyDescent="0.25">
      <c r="A8" s="71" t="s">
        <v>36</v>
      </c>
      <c r="B8" s="71" t="s">
        <v>67</v>
      </c>
      <c r="C8" s="71" t="s">
        <v>66</v>
      </c>
      <c r="D8" s="71" t="s">
        <v>48</v>
      </c>
      <c r="E8" s="75">
        <v>43823</v>
      </c>
      <c r="F8" s="72" t="s">
        <v>65</v>
      </c>
      <c r="G8" s="73">
        <v>100000</v>
      </c>
      <c r="H8" s="73">
        <v>90000</v>
      </c>
      <c r="I8" s="76">
        <v>2308091759</v>
      </c>
      <c r="J8" s="71" t="s">
        <v>68</v>
      </c>
      <c r="K8" s="71" t="s">
        <v>69</v>
      </c>
      <c r="L8" s="72">
        <v>43801</v>
      </c>
      <c r="M8" s="71" t="s">
        <v>70</v>
      </c>
      <c r="N8" s="73">
        <v>10000</v>
      </c>
      <c r="O8" s="72">
        <v>43489</v>
      </c>
      <c r="P8" s="72"/>
      <c r="Q8" s="72"/>
      <c r="R8" s="72"/>
      <c r="S8" s="72"/>
      <c r="T8" s="73"/>
      <c r="U8" s="74" t="s">
        <v>64</v>
      </c>
    </row>
    <row r="9" spans="1:22" s="83" customFormat="1" ht="22.5" customHeight="1" x14ac:dyDescent="0.25">
      <c r="A9" s="1188">
        <v>1</v>
      </c>
      <c r="B9" s="1191" t="s">
        <v>343</v>
      </c>
      <c r="C9" s="1191" t="s">
        <v>172</v>
      </c>
      <c r="D9" s="1191" t="s">
        <v>339</v>
      </c>
      <c r="E9" s="1194">
        <v>45092</v>
      </c>
      <c r="F9" s="1197" t="s">
        <v>260</v>
      </c>
      <c r="G9" s="1208">
        <v>473139.15</v>
      </c>
      <c r="H9" s="1211">
        <f>IF(V9 = 1, G9 + SUM(Q9:Q11) - SUM(R9:R11) - SUM(N9:N11) - T9,0)</f>
        <v>0</v>
      </c>
      <c r="I9" s="1214">
        <v>7715995942</v>
      </c>
      <c r="J9" s="1191" t="s">
        <v>340</v>
      </c>
      <c r="K9" s="1191" t="s">
        <v>341</v>
      </c>
      <c r="L9" s="293">
        <v>45135</v>
      </c>
      <c r="M9" s="1191" t="s">
        <v>264</v>
      </c>
      <c r="N9" s="289">
        <v>172582.3</v>
      </c>
      <c r="O9" s="293">
        <v>45141</v>
      </c>
      <c r="P9" s="290"/>
      <c r="Q9" s="291"/>
      <c r="R9" s="291"/>
      <c r="S9" s="1217"/>
      <c r="T9" s="1200"/>
      <c r="U9" s="1203" t="s">
        <v>160</v>
      </c>
      <c r="V9" s="83">
        <v>1</v>
      </c>
    </row>
    <row r="10" spans="1:22" x14ac:dyDescent="0.25">
      <c r="A10" s="1189"/>
      <c r="B10" s="1192"/>
      <c r="C10" s="1192"/>
      <c r="D10" s="1192"/>
      <c r="E10" s="1195"/>
      <c r="F10" s="1198"/>
      <c r="G10" s="1209"/>
      <c r="H10" s="1212"/>
      <c r="I10" s="1215"/>
      <c r="J10" s="1192"/>
      <c r="K10" s="1192"/>
      <c r="L10" s="297">
        <v>45152</v>
      </c>
      <c r="M10" s="1192"/>
      <c r="N10" s="298">
        <v>203668.85</v>
      </c>
      <c r="O10" s="297">
        <v>45155</v>
      </c>
      <c r="P10" s="299"/>
      <c r="Q10" s="300"/>
      <c r="R10" s="300"/>
      <c r="S10" s="1218"/>
      <c r="T10" s="1201"/>
      <c r="U10" s="1204"/>
      <c r="V10" s="2">
        <v>1</v>
      </c>
    </row>
    <row r="11" spans="1:22" x14ac:dyDescent="0.25">
      <c r="A11" s="1190"/>
      <c r="B11" s="1193"/>
      <c r="C11" s="1193"/>
      <c r="D11" s="1193"/>
      <c r="E11" s="1196"/>
      <c r="F11" s="1199"/>
      <c r="G11" s="1210"/>
      <c r="H11" s="1213"/>
      <c r="I11" s="1216"/>
      <c r="J11" s="1193"/>
      <c r="K11" s="1193"/>
      <c r="L11" s="294">
        <v>45159</v>
      </c>
      <c r="M11" s="1193"/>
      <c r="N11" s="292">
        <v>96888</v>
      </c>
      <c r="O11" s="294">
        <v>45159</v>
      </c>
      <c r="P11" s="295"/>
      <c r="Q11" s="296"/>
      <c r="R11" s="296"/>
      <c r="S11" s="1219"/>
      <c r="T11" s="1202"/>
      <c r="U11" s="1205"/>
      <c r="V11" s="2">
        <v>1</v>
      </c>
    </row>
    <row r="12" spans="1:22" x14ac:dyDescent="0.25">
      <c r="V12" s="2">
        <v>2</v>
      </c>
    </row>
  </sheetData>
  <sheetProtection algorithmName="SHA-512" hashValue="zvRPC2Uu+gWIni82d3lxKzqDm3C/V+vwTJpd7KJ4wcWSdgboGCiqRib8O3oXaP6ze7Gf4PanC5bUq1vScJ4ABA==" saltValue="oiRKNcNLaybP4KB88FmcBw==" spinCount="100000" sheet="1" objects="1" scenarios="1" formatCells="0" formatColumns="0" formatRows="0"/>
  <mergeCells count="18">
    <mergeCell ref="T9:T11"/>
    <mergeCell ref="C9:C11"/>
    <mergeCell ref="U9:U11"/>
    <mergeCell ref="Q2:S2"/>
    <mergeCell ref="E2:F2"/>
    <mergeCell ref="L2:M2"/>
    <mergeCell ref="G9:G11"/>
    <mergeCell ref="H9:H11"/>
    <mergeCell ref="I9:I11"/>
    <mergeCell ref="J9:J11"/>
    <mergeCell ref="K9:K11"/>
    <mergeCell ref="M9:M11"/>
    <mergeCell ref="S9:S11"/>
    <mergeCell ref="A9:A11"/>
    <mergeCell ref="B9:B11"/>
    <mergeCell ref="D9:D11"/>
    <mergeCell ref="E9:E11"/>
    <mergeCell ref="F9:F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9"/>
  <sheetViews>
    <sheetView showGridLines="0" zoomScale="50" zoomScaleNormal="50" workbookViewId="0">
      <pane ySplit="8" topLeftCell="A9" activePane="bottomLeft" state="frozen"/>
      <selection pane="bottomLeft" activeCell="E9" sqref="E9:E18"/>
    </sheetView>
  </sheetViews>
  <sheetFormatPr defaultColWidth="0" defaultRowHeight="18.75" x14ac:dyDescent="0.25"/>
  <cols>
    <col min="1" max="1" width="9.140625" style="96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923" t="s">
        <v>139</v>
      </c>
      <c r="F2" s="924"/>
      <c r="G2" s="80">
        <f>SUM(G9:G9999)</f>
        <v>742848</v>
      </c>
      <c r="O2" s="923" t="s">
        <v>24</v>
      </c>
      <c r="P2" s="924"/>
      <c r="Q2" s="78">
        <f>SUM(Q9:Q9999)</f>
        <v>683420.16000000003</v>
      </c>
      <c r="T2" s="620" t="s">
        <v>137</v>
      </c>
      <c r="U2" s="622"/>
      <c r="V2" s="68">
        <f>SUM(V9:V9999)</f>
        <v>683420.16000000003</v>
      </c>
      <c r="X2" s="67"/>
      <c r="Y2" s="620" t="s">
        <v>45</v>
      </c>
      <c r="Z2" s="621"/>
      <c r="AA2" s="622"/>
      <c r="AB2" s="69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95" customFormat="1" ht="150" x14ac:dyDescent="0.25">
      <c r="A6" s="97" t="s">
        <v>8</v>
      </c>
      <c r="B6" s="97" t="s">
        <v>47</v>
      </c>
      <c r="C6" s="97" t="s">
        <v>33</v>
      </c>
      <c r="D6" s="97" t="s">
        <v>10</v>
      </c>
      <c r="E6" s="97" t="s">
        <v>11</v>
      </c>
      <c r="F6" s="97" t="s">
        <v>12</v>
      </c>
      <c r="G6" s="103" t="s">
        <v>13</v>
      </c>
      <c r="H6" s="103" t="s">
        <v>34</v>
      </c>
      <c r="I6" s="106" t="s">
        <v>16</v>
      </c>
      <c r="J6" s="106" t="s">
        <v>17</v>
      </c>
      <c r="K6" s="97" t="s">
        <v>14</v>
      </c>
      <c r="L6" s="97" t="s">
        <v>32</v>
      </c>
      <c r="M6" s="97" t="s">
        <v>15</v>
      </c>
      <c r="N6" s="99" t="s">
        <v>0</v>
      </c>
      <c r="O6" s="97" t="s">
        <v>46</v>
      </c>
      <c r="P6" s="97" t="s">
        <v>5</v>
      </c>
      <c r="Q6" s="103" t="s">
        <v>18</v>
      </c>
      <c r="R6" s="103" t="s">
        <v>22</v>
      </c>
      <c r="S6" s="97" t="s">
        <v>19</v>
      </c>
      <c r="T6" s="99" t="s">
        <v>37</v>
      </c>
      <c r="U6" s="99" t="s">
        <v>20</v>
      </c>
      <c r="V6" s="103" t="s">
        <v>23</v>
      </c>
      <c r="W6" s="99" t="s">
        <v>9</v>
      </c>
      <c r="X6" s="101" t="s">
        <v>40</v>
      </c>
      <c r="Y6" s="101" t="s">
        <v>103</v>
      </c>
      <c r="Z6" s="101" t="s">
        <v>104</v>
      </c>
      <c r="AA6" s="102" t="s">
        <v>41</v>
      </c>
      <c r="AB6" s="103" t="s">
        <v>43</v>
      </c>
      <c r="AC6" s="97" t="s">
        <v>42</v>
      </c>
    </row>
    <row r="7" spans="1:30" s="95" customFormat="1" x14ac:dyDescent="0.25">
      <c r="A7" s="94" t="s">
        <v>36</v>
      </c>
      <c r="B7" s="94" t="s">
        <v>110</v>
      </c>
      <c r="C7" s="94" t="s">
        <v>111</v>
      </c>
      <c r="D7" s="94" t="s">
        <v>112</v>
      </c>
      <c r="E7" s="94" t="s">
        <v>113</v>
      </c>
      <c r="F7" s="94" t="s">
        <v>114</v>
      </c>
      <c r="G7" s="94" t="s">
        <v>115</v>
      </c>
      <c r="H7" s="94" t="s">
        <v>116</v>
      </c>
      <c r="I7" s="94" t="s">
        <v>117</v>
      </c>
      <c r="J7" s="94" t="s">
        <v>118</v>
      </c>
      <c r="K7" s="94" t="s">
        <v>119</v>
      </c>
      <c r="L7" s="94" t="s">
        <v>120</v>
      </c>
      <c r="M7" s="94" t="s">
        <v>121</v>
      </c>
      <c r="N7" s="94" t="s">
        <v>122</v>
      </c>
      <c r="O7" s="94" t="s">
        <v>123</v>
      </c>
      <c r="P7" s="94" t="s">
        <v>124</v>
      </c>
      <c r="Q7" s="94" t="s">
        <v>125</v>
      </c>
      <c r="R7" s="94" t="s">
        <v>126</v>
      </c>
      <c r="S7" s="94" t="s">
        <v>127</v>
      </c>
      <c r="T7" s="94" t="s">
        <v>128</v>
      </c>
      <c r="U7" s="94" t="s">
        <v>129</v>
      </c>
      <c r="V7" s="94" t="s">
        <v>130</v>
      </c>
      <c r="W7" s="94" t="s">
        <v>131</v>
      </c>
      <c r="X7" s="94" t="s">
        <v>132</v>
      </c>
      <c r="Y7" s="94" t="s">
        <v>133</v>
      </c>
      <c r="Z7" s="94" t="s">
        <v>134</v>
      </c>
      <c r="AA7" s="94" t="s">
        <v>135</v>
      </c>
      <c r="AB7" s="94" t="s">
        <v>136</v>
      </c>
      <c r="AC7" s="94" t="s">
        <v>138</v>
      </c>
    </row>
    <row r="8" spans="1:30" ht="168.75" hidden="1" x14ac:dyDescent="0.25">
      <c r="A8" s="98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3" customFormat="1" ht="22.5" customHeight="1" x14ac:dyDescent="0.25">
      <c r="A9" s="925">
        <v>1</v>
      </c>
      <c r="B9" s="932" t="s">
        <v>56</v>
      </c>
      <c r="C9" s="932" t="s">
        <v>163</v>
      </c>
      <c r="D9" s="932" t="s">
        <v>172</v>
      </c>
      <c r="E9" s="932" t="s">
        <v>168</v>
      </c>
      <c r="F9" s="932" t="s">
        <v>162</v>
      </c>
      <c r="G9" s="962">
        <v>742848</v>
      </c>
      <c r="H9" s="964">
        <f>IF(AD9 = 1, G9 - Q9,0)</f>
        <v>59427.839999999967</v>
      </c>
      <c r="I9" s="962">
        <v>2</v>
      </c>
      <c r="J9" s="962">
        <v>0</v>
      </c>
      <c r="K9" s="932" t="s">
        <v>169</v>
      </c>
      <c r="L9" s="932" t="s">
        <v>171</v>
      </c>
      <c r="M9" s="932" t="s">
        <v>164</v>
      </c>
      <c r="N9" s="928">
        <v>44915</v>
      </c>
      <c r="O9" s="932" t="s">
        <v>165</v>
      </c>
      <c r="P9" s="932" t="s">
        <v>166</v>
      </c>
      <c r="Q9" s="962">
        <v>683420.16000000003</v>
      </c>
      <c r="R9" s="964">
        <f>IF(AD9 = 1, Q9 + SUM(Y9:Y18) - SUM(Z9:Z18) - SUM(V9:V18) - AB9,0)</f>
        <v>0</v>
      </c>
      <c r="S9" s="932" t="s">
        <v>167</v>
      </c>
      <c r="T9" s="84">
        <v>44959</v>
      </c>
      <c r="U9" s="960" t="s">
        <v>170</v>
      </c>
      <c r="V9" s="85">
        <v>72554.880000000005</v>
      </c>
      <c r="W9" s="84">
        <v>44965</v>
      </c>
      <c r="X9" s="286"/>
      <c r="Y9" s="270"/>
      <c r="Z9" s="270"/>
      <c r="AA9" s="1220"/>
      <c r="AB9" s="930"/>
      <c r="AC9" s="1224"/>
      <c r="AD9" s="83">
        <v>1</v>
      </c>
    </row>
    <row r="10" spans="1:30" x14ac:dyDescent="0.25">
      <c r="A10" s="926"/>
      <c r="B10" s="933"/>
      <c r="C10" s="933"/>
      <c r="D10" s="933"/>
      <c r="E10" s="933"/>
      <c r="F10" s="933"/>
      <c r="G10" s="963"/>
      <c r="H10" s="965"/>
      <c r="I10" s="963"/>
      <c r="J10" s="963"/>
      <c r="K10" s="933"/>
      <c r="L10" s="933"/>
      <c r="M10" s="933"/>
      <c r="N10" s="929"/>
      <c r="O10" s="933"/>
      <c r="P10" s="933"/>
      <c r="Q10" s="963"/>
      <c r="R10" s="965"/>
      <c r="S10" s="933"/>
      <c r="T10" s="91">
        <v>44991</v>
      </c>
      <c r="U10" s="961"/>
      <c r="V10" s="92">
        <v>65533.440000000002</v>
      </c>
      <c r="W10" s="91">
        <v>44994</v>
      </c>
      <c r="X10" s="271"/>
      <c r="Y10" s="269"/>
      <c r="Z10" s="269"/>
      <c r="AA10" s="1221"/>
      <c r="AB10" s="931"/>
      <c r="AC10" s="1225"/>
      <c r="AD10" s="2">
        <v>1</v>
      </c>
    </row>
    <row r="11" spans="1:30" x14ac:dyDescent="0.25">
      <c r="A11" s="926"/>
      <c r="B11" s="933"/>
      <c r="C11" s="933"/>
      <c r="D11" s="933"/>
      <c r="E11" s="933"/>
      <c r="F11" s="933"/>
      <c r="G11" s="963"/>
      <c r="H11" s="965"/>
      <c r="I11" s="963"/>
      <c r="J11" s="963"/>
      <c r="K11" s="933"/>
      <c r="L11" s="933"/>
      <c r="M11" s="933"/>
      <c r="N11" s="929"/>
      <c r="O11" s="933"/>
      <c r="P11" s="933"/>
      <c r="Q11" s="963"/>
      <c r="R11" s="965"/>
      <c r="S11" s="933"/>
      <c r="T11" s="91">
        <v>45023</v>
      </c>
      <c r="U11" s="961"/>
      <c r="V11" s="92">
        <v>72554.880000000005</v>
      </c>
      <c r="W11" s="91">
        <v>45027</v>
      </c>
      <c r="X11" s="271"/>
      <c r="Y11" s="269"/>
      <c r="Z11" s="269"/>
      <c r="AA11" s="1221"/>
      <c r="AB11" s="931"/>
      <c r="AC11" s="1225"/>
      <c r="AD11" s="2">
        <v>1</v>
      </c>
    </row>
    <row r="12" spans="1:30" x14ac:dyDescent="0.25">
      <c r="A12" s="926"/>
      <c r="B12" s="933"/>
      <c r="C12" s="933"/>
      <c r="D12" s="933"/>
      <c r="E12" s="933"/>
      <c r="F12" s="933"/>
      <c r="G12" s="963"/>
      <c r="H12" s="965"/>
      <c r="I12" s="963"/>
      <c r="J12" s="963"/>
      <c r="K12" s="933"/>
      <c r="L12" s="933"/>
      <c r="M12" s="933"/>
      <c r="N12" s="929"/>
      <c r="O12" s="933"/>
      <c r="P12" s="933"/>
      <c r="Q12" s="963"/>
      <c r="R12" s="965"/>
      <c r="S12" s="933"/>
      <c r="T12" s="91">
        <v>45050</v>
      </c>
      <c r="U12" s="961"/>
      <c r="V12" s="92">
        <v>70214.399999999994</v>
      </c>
      <c r="W12" s="91">
        <v>45051</v>
      </c>
      <c r="X12" s="271"/>
      <c r="Y12" s="269"/>
      <c r="Z12" s="269"/>
      <c r="AA12" s="1221"/>
      <c r="AB12" s="931"/>
      <c r="AC12" s="1225"/>
      <c r="AD12" s="2">
        <v>1</v>
      </c>
    </row>
    <row r="13" spans="1:30" x14ac:dyDescent="0.25">
      <c r="A13" s="926"/>
      <c r="B13" s="933"/>
      <c r="C13" s="933"/>
      <c r="D13" s="933"/>
      <c r="E13" s="933"/>
      <c r="F13" s="933"/>
      <c r="G13" s="963"/>
      <c r="H13" s="965"/>
      <c r="I13" s="963"/>
      <c r="J13" s="963"/>
      <c r="K13" s="933"/>
      <c r="L13" s="933"/>
      <c r="M13" s="933"/>
      <c r="N13" s="929"/>
      <c r="O13" s="933"/>
      <c r="P13" s="933"/>
      <c r="Q13" s="963"/>
      <c r="R13" s="965"/>
      <c r="S13" s="933"/>
      <c r="T13" s="91">
        <v>45083</v>
      </c>
      <c r="U13" s="961"/>
      <c r="V13" s="92">
        <v>72554.880000000005</v>
      </c>
      <c r="W13" s="91">
        <v>45086</v>
      </c>
      <c r="X13" s="271"/>
      <c r="Y13" s="269"/>
      <c r="Z13" s="269"/>
      <c r="AA13" s="1221"/>
      <c r="AB13" s="931"/>
      <c r="AC13" s="1225"/>
      <c r="AD13" s="2">
        <v>1</v>
      </c>
    </row>
    <row r="14" spans="1:30" x14ac:dyDescent="0.25">
      <c r="A14" s="926"/>
      <c r="B14" s="933"/>
      <c r="C14" s="933"/>
      <c r="D14" s="933"/>
      <c r="E14" s="933"/>
      <c r="F14" s="933"/>
      <c r="G14" s="963"/>
      <c r="H14" s="965"/>
      <c r="I14" s="963"/>
      <c r="J14" s="963"/>
      <c r="K14" s="933"/>
      <c r="L14" s="933"/>
      <c r="M14" s="933"/>
      <c r="N14" s="929"/>
      <c r="O14" s="933"/>
      <c r="P14" s="933"/>
      <c r="Q14" s="963"/>
      <c r="R14" s="965"/>
      <c r="S14" s="933"/>
      <c r="T14" s="91">
        <v>45112</v>
      </c>
      <c r="U14" s="961"/>
      <c r="V14" s="92">
        <v>70214.399999999994</v>
      </c>
      <c r="W14" s="91">
        <v>45113</v>
      </c>
      <c r="X14" s="271"/>
      <c r="Y14" s="269"/>
      <c r="Z14" s="269"/>
      <c r="AA14" s="1221"/>
      <c r="AB14" s="931"/>
      <c r="AC14" s="1225"/>
      <c r="AD14" s="2">
        <v>1</v>
      </c>
    </row>
    <row r="15" spans="1:30" x14ac:dyDescent="0.25">
      <c r="A15" s="926"/>
      <c r="B15" s="933"/>
      <c r="C15" s="933"/>
      <c r="D15" s="933"/>
      <c r="E15" s="933"/>
      <c r="F15" s="933"/>
      <c r="G15" s="963"/>
      <c r="H15" s="965"/>
      <c r="I15" s="963"/>
      <c r="J15" s="963"/>
      <c r="K15" s="933"/>
      <c r="L15" s="933"/>
      <c r="M15" s="933"/>
      <c r="N15" s="929"/>
      <c r="O15" s="933"/>
      <c r="P15" s="933"/>
      <c r="Q15" s="963"/>
      <c r="R15" s="965"/>
      <c r="S15" s="933"/>
      <c r="T15" s="91">
        <v>45142</v>
      </c>
      <c r="U15" s="961"/>
      <c r="V15" s="371">
        <v>72554.880000000005</v>
      </c>
      <c r="W15" s="91">
        <v>45147</v>
      </c>
      <c r="X15" s="271"/>
      <c r="Y15" s="269"/>
      <c r="Z15" s="269"/>
      <c r="AA15" s="1221"/>
      <c r="AB15" s="931"/>
      <c r="AC15" s="1225"/>
      <c r="AD15" s="2">
        <v>1</v>
      </c>
    </row>
    <row r="16" spans="1:30" x14ac:dyDescent="0.25">
      <c r="A16" s="926"/>
      <c r="B16" s="933"/>
      <c r="C16" s="933"/>
      <c r="D16" s="933"/>
      <c r="E16" s="933"/>
      <c r="F16" s="933"/>
      <c r="G16" s="963"/>
      <c r="H16" s="965"/>
      <c r="I16" s="963"/>
      <c r="J16" s="963"/>
      <c r="K16" s="933"/>
      <c r="L16" s="933"/>
      <c r="M16" s="933"/>
      <c r="N16" s="929"/>
      <c r="O16" s="933"/>
      <c r="P16" s="933"/>
      <c r="Q16" s="963"/>
      <c r="R16" s="965"/>
      <c r="S16" s="933"/>
      <c r="T16" s="91">
        <v>45175</v>
      </c>
      <c r="U16" s="961"/>
      <c r="V16" s="92">
        <v>72554.880000000005</v>
      </c>
      <c r="W16" s="91">
        <v>45177</v>
      </c>
      <c r="X16" s="271"/>
      <c r="Y16" s="269"/>
      <c r="Z16" s="269"/>
      <c r="AA16" s="1221"/>
      <c r="AB16" s="931"/>
      <c r="AC16" s="1225"/>
      <c r="AD16" s="2">
        <v>1</v>
      </c>
    </row>
    <row r="17" spans="1:30" x14ac:dyDescent="0.25">
      <c r="A17" s="926"/>
      <c r="B17" s="933"/>
      <c r="C17" s="933"/>
      <c r="D17" s="933"/>
      <c r="E17" s="933"/>
      <c r="F17" s="933"/>
      <c r="G17" s="963"/>
      <c r="H17" s="965"/>
      <c r="I17" s="963"/>
      <c r="J17" s="963"/>
      <c r="K17" s="933"/>
      <c r="L17" s="933"/>
      <c r="M17" s="933"/>
      <c r="N17" s="929"/>
      <c r="O17" s="933"/>
      <c r="P17" s="933"/>
      <c r="Q17" s="963"/>
      <c r="R17" s="965"/>
      <c r="S17" s="933"/>
      <c r="T17" s="91">
        <v>45208</v>
      </c>
      <c r="U17" s="961"/>
      <c r="V17" s="371">
        <v>70214.399999999994</v>
      </c>
      <c r="W17" s="91">
        <v>45209</v>
      </c>
      <c r="X17" s="271"/>
      <c r="Y17" s="269"/>
      <c r="Z17" s="269"/>
      <c r="AA17" s="1221"/>
      <c r="AB17" s="931"/>
      <c r="AC17" s="1225"/>
      <c r="AD17" s="2">
        <v>1</v>
      </c>
    </row>
    <row r="18" spans="1:30" x14ac:dyDescent="0.25">
      <c r="A18" s="927"/>
      <c r="B18" s="934"/>
      <c r="C18" s="934"/>
      <c r="D18" s="934"/>
      <c r="E18" s="934"/>
      <c r="F18" s="934"/>
      <c r="G18" s="975"/>
      <c r="H18" s="976"/>
      <c r="I18" s="975"/>
      <c r="J18" s="975"/>
      <c r="K18" s="934"/>
      <c r="L18" s="934"/>
      <c r="M18" s="934"/>
      <c r="N18" s="973"/>
      <c r="O18" s="934"/>
      <c r="P18" s="934"/>
      <c r="Q18" s="975"/>
      <c r="R18" s="976"/>
      <c r="S18" s="934"/>
      <c r="T18" s="88">
        <v>45222</v>
      </c>
      <c r="U18" s="974"/>
      <c r="V18" s="372">
        <v>44469.120000000003</v>
      </c>
      <c r="W18" s="88">
        <v>45223</v>
      </c>
      <c r="X18" s="287"/>
      <c r="Y18" s="288"/>
      <c r="Z18" s="288"/>
      <c r="AA18" s="1222"/>
      <c r="AB18" s="1223"/>
      <c r="AC18" s="1226"/>
      <c r="AD18" s="2">
        <v>1</v>
      </c>
    </row>
    <row r="19" spans="1:30" x14ac:dyDescent="0.25">
      <c r="AD19" s="2">
        <v>2</v>
      </c>
    </row>
  </sheetData>
  <sheetProtection algorithmName="SHA-512" hashValue="kU7sOL65a/FmUtvXwVC+ZYvxWQDl2FjCdpvhoyLCQsoMVooatMjKzz3AsF/B/bWXBH+072SrR9RLxMNuul35pQ==" saltValue="fVYFRJ99nREaF+5oAyRaRw==" spinCount="100000" sheet="1" objects="1" scenarios="1" formatCells="0" formatColumns="0" formatRows="0"/>
  <mergeCells count="27">
    <mergeCell ref="AB9:AB18"/>
    <mergeCell ref="C9:C18"/>
    <mergeCell ref="S9:S18"/>
    <mergeCell ref="AC9:AC18"/>
    <mergeCell ref="D9:D18"/>
    <mergeCell ref="E9:E18"/>
    <mergeCell ref="F9:F18"/>
    <mergeCell ref="G9:G18"/>
    <mergeCell ref="H9:H18"/>
    <mergeCell ref="I9:I18"/>
    <mergeCell ref="J9:J18"/>
    <mergeCell ref="K9:K18"/>
    <mergeCell ref="L9:L18"/>
    <mergeCell ref="M9:M18"/>
    <mergeCell ref="N9:N18"/>
    <mergeCell ref="O9:O18"/>
    <mergeCell ref="E2:F2"/>
    <mergeCell ref="O2:P2"/>
    <mergeCell ref="Y2:AA2"/>
    <mergeCell ref="T2:U2"/>
    <mergeCell ref="A9:A18"/>
    <mergeCell ref="U9:U18"/>
    <mergeCell ref="AA9:AA18"/>
    <mergeCell ref="B9:B18"/>
    <mergeCell ref="P9:P18"/>
    <mergeCell ref="Q9:Q18"/>
    <mergeCell ref="R9:R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923" t="s">
        <v>139</v>
      </c>
      <c r="F2" s="924"/>
      <c r="G2" s="80">
        <f>SUM(G9:G9999)</f>
        <v>0</v>
      </c>
      <c r="H2" s="10"/>
      <c r="O2" s="923" t="s">
        <v>24</v>
      </c>
      <c r="P2" s="924"/>
      <c r="Q2" s="78">
        <f>SUM(Q9:Q9999)</f>
        <v>0</v>
      </c>
      <c r="T2" s="620" t="s">
        <v>137</v>
      </c>
      <c r="U2" s="622"/>
      <c r="V2" s="68">
        <f>SUM(V9:V9999)</f>
        <v>0</v>
      </c>
      <c r="X2" s="67"/>
      <c r="Y2" s="620" t="s">
        <v>45</v>
      </c>
      <c r="Z2" s="621"/>
      <c r="AA2" s="622"/>
      <c r="AB2" s="69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9" t="s">
        <v>36</v>
      </c>
      <c r="B7" s="59" t="s">
        <v>110</v>
      </c>
      <c r="C7" s="59" t="s">
        <v>111</v>
      </c>
      <c r="D7" s="59" t="s">
        <v>112</v>
      </c>
      <c r="E7" s="59" t="s">
        <v>113</v>
      </c>
      <c r="F7" s="59" t="s">
        <v>114</v>
      </c>
      <c r="G7" s="59" t="s">
        <v>115</v>
      </c>
      <c r="H7" s="59" t="s">
        <v>116</v>
      </c>
      <c r="I7" s="59" t="s">
        <v>117</v>
      </c>
      <c r="J7" s="59" t="s">
        <v>118</v>
      </c>
      <c r="K7" s="59" t="s">
        <v>119</v>
      </c>
      <c r="L7" s="59" t="s">
        <v>120</v>
      </c>
      <c r="M7" s="59" t="s">
        <v>121</v>
      </c>
      <c r="N7" s="59" t="s">
        <v>122</v>
      </c>
      <c r="O7" s="59" t="s">
        <v>123</v>
      </c>
      <c r="P7" s="59" t="s">
        <v>124</v>
      </c>
      <c r="Q7" s="59" t="s">
        <v>125</v>
      </c>
      <c r="R7" s="59" t="s">
        <v>126</v>
      </c>
      <c r="S7" s="59" t="s">
        <v>127</v>
      </c>
      <c r="T7" s="59" t="s">
        <v>128</v>
      </c>
      <c r="U7" s="59" t="s">
        <v>129</v>
      </c>
      <c r="V7" s="59" t="s">
        <v>130</v>
      </c>
      <c r="W7" s="59" t="s">
        <v>131</v>
      </c>
      <c r="X7" s="59" t="s">
        <v>132</v>
      </c>
      <c r="Y7" s="59" t="s">
        <v>133</v>
      </c>
      <c r="Z7" s="59" t="s">
        <v>134</v>
      </c>
      <c r="AA7" s="59" t="s">
        <v>135</v>
      </c>
      <c r="AB7" s="59" t="s">
        <v>136</v>
      </c>
      <c r="AC7" s="59" t="s">
        <v>138</v>
      </c>
    </row>
    <row r="8" spans="1:30" ht="168.75" x14ac:dyDescent="0.25">
      <c r="A8" s="53" t="s">
        <v>36</v>
      </c>
      <c r="B8" s="53"/>
      <c r="C8" s="53" t="s">
        <v>73</v>
      </c>
      <c r="D8" s="53" t="s">
        <v>74</v>
      </c>
      <c r="E8" s="53" t="s">
        <v>71</v>
      </c>
      <c r="F8" s="53" t="s">
        <v>72</v>
      </c>
      <c r="G8" s="55">
        <v>15500.01</v>
      </c>
      <c r="H8" s="55">
        <f t="shared" ref="H8" si="0">G8-Q8</f>
        <v>6725</v>
      </c>
      <c r="I8" s="77">
        <v>6</v>
      </c>
      <c r="J8" s="77">
        <v>0</v>
      </c>
      <c r="K8" s="53" t="s">
        <v>75</v>
      </c>
      <c r="L8" s="53" t="s">
        <v>76</v>
      </c>
      <c r="M8" s="53" t="s">
        <v>77</v>
      </c>
      <c r="N8" s="54">
        <v>43655</v>
      </c>
      <c r="O8" s="53" t="s">
        <v>79</v>
      </c>
      <c r="P8" s="53" t="s">
        <v>78</v>
      </c>
      <c r="Q8" s="55">
        <v>8775.01</v>
      </c>
      <c r="R8" s="55">
        <f>Q8-V8</f>
        <v>0</v>
      </c>
      <c r="S8" s="53" t="s">
        <v>80</v>
      </c>
      <c r="T8" s="54">
        <v>43677</v>
      </c>
      <c r="U8" s="53" t="s">
        <v>81</v>
      </c>
      <c r="V8" s="55">
        <v>8775.01</v>
      </c>
      <c r="W8" s="54">
        <v>43696</v>
      </c>
      <c r="X8" s="53"/>
      <c r="Y8" s="53"/>
      <c r="Z8" s="53"/>
      <c r="AA8" s="53"/>
      <c r="AB8" s="55"/>
      <c r="AC8" s="56" t="s">
        <v>64</v>
      </c>
    </row>
    <row r="9" spans="1:30" x14ac:dyDescent="0.25">
      <c r="AD9" s="2">
        <v>2</v>
      </c>
    </row>
  </sheetData>
  <sheetProtection algorithmName="SHA-512" hashValue="CFbG6l0z8vZkLwuBjb79XcnKGdbvp+T7ZMxlUb8nX4uI9ctKXE1WvHUUtUz+wwe7trrJ4lZksUglNM2NrtOTYQ==" saltValue="UrrqG/2ZtwXJa2XvA36FT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26"/>
  <sheetViews>
    <sheetView showGridLines="0" topLeftCell="J1" zoomScale="50" zoomScaleNormal="50" workbookViewId="0">
      <pane ySplit="8" topLeftCell="A9" activePane="bottomLeft" state="frozen"/>
      <selection pane="bottomLeft" activeCell="V16" sqref="V16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923" t="s">
        <v>139</v>
      </c>
      <c r="F2" s="924"/>
      <c r="G2" s="80">
        <f>SUM(G9:G9999)</f>
        <v>523025.86</v>
      </c>
      <c r="H2" s="10"/>
      <c r="O2" s="923" t="s">
        <v>24</v>
      </c>
      <c r="P2" s="924"/>
      <c r="Q2" s="78">
        <f>SUM(Q9:Q9999)</f>
        <v>523025.86</v>
      </c>
      <c r="T2" s="620" t="s">
        <v>137</v>
      </c>
      <c r="U2" s="622"/>
      <c r="V2" s="68">
        <f>SUM(V9:V9999)</f>
        <v>336707.84000000003</v>
      </c>
      <c r="X2" s="67"/>
      <c r="Y2" s="620" t="s">
        <v>45</v>
      </c>
      <c r="Z2" s="621"/>
      <c r="AA2" s="622"/>
      <c r="AB2" s="69">
        <f>SUM(AB9:AB9999)</f>
        <v>0</v>
      </c>
    </row>
    <row r="4" spans="1:30" ht="39.950000000000003" customHeight="1" x14ac:dyDescent="0.25">
      <c r="P4" s="619"/>
      <c r="Q4" s="619"/>
      <c r="R4" s="619"/>
      <c r="T4" s="67"/>
      <c r="U4" s="67"/>
    </row>
    <row r="6" spans="1:30" s="95" customFormat="1" ht="150" x14ac:dyDescent="0.25">
      <c r="A6" s="104" t="s">
        <v>8</v>
      </c>
      <c r="B6" s="104" t="s">
        <v>47</v>
      </c>
      <c r="C6" s="104" t="s">
        <v>33</v>
      </c>
      <c r="D6" s="104" t="s">
        <v>10</v>
      </c>
      <c r="E6" s="104" t="s">
        <v>11</v>
      </c>
      <c r="F6" s="104" t="s">
        <v>12</v>
      </c>
      <c r="G6" s="104" t="s">
        <v>13</v>
      </c>
      <c r="H6" s="104" t="s">
        <v>34</v>
      </c>
      <c r="I6" s="104" t="s">
        <v>16</v>
      </c>
      <c r="J6" s="104" t="s">
        <v>17</v>
      </c>
      <c r="K6" s="104" t="s">
        <v>14</v>
      </c>
      <c r="L6" s="104" t="s">
        <v>32</v>
      </c>
      <c r="M6" s="104" t="s">
        <v>15</v>
      </c>
      <c r="N6" s="104" t="s">
        <v>0</v>
      </c>
      <c r="O6" s="104" t="s">
        <v>46</v>
      </c>
      <c r="P6" s="104" t="s">
        <v>5</v>
      </c>
      <c r="Q6" s="104" t="s">
        <v>18</v>
      </c>
      <c r="R6" s="104" t="s">
        <v>22</v>
      </c>
      <c r="S6" s="104" t="s">
        <v>19</v>
      </c>
      <c r="T6" s="104" t="s">
        <v>37</v>
      </c>
      <c r="U6" s="104" t="s">
        <v>20</v>
      </c>
      <c r="V6" s="104" t="s">
        <v>23</v>
      </c>
      <c r="W6" s="104" t="s">
        <v>9</v>
      </c>
      <c r="X6" s="370" t="s">
        <v>40</v>
      </c>
      <c r="Y6" s="370" t="s">
        <v>103</v>
      </c>
      <c r="Z6" s="370" t="s">
        <v>104</v>
      </c>
      <c r="AA6" s="370" t="s">
        <v>41</v>
      </c>
      <c r="AB6" s="104" t="s">
        <v>43</v>
      </c>
      <c r="AC6" s="104" t="s">
        <v>42</v>
      </c>
    </row>
    <row r="7" spans="1:30" s="95" customFormat="1" x14ac:dyDescent="0.25">
      <c r="A7" s="369">
        <v>1</v>
      </c>
      <c r="B7" s="369">
        <v>2</v>
      </c>
      <c r="C7" s="369">
        <v>3</v>
      </c>
      <c r="D7" s="369">
        <v>4</v>
      </c>
      <c r="E7" s="369">
        <v>5</v>
      </c>
      <c r="F7" s="369">
        <v>6</v>
      </c>
      <c r="G7" s="369">
        <v>7</v>
      </c>
      <c r="H7" s="369">
        <v>8</v>
      </c>
      <c r="I7" s="369">
        <v>9</v>
      </c>
      <c r="J7" s="369">
        <v>10</v>
      </c>
      <c r="K7" s="369">
        <v>11</v>
      </c>
      <c r="L7" s="369">
        <v>12</v>
      </c>
      <c r="M7" s="369">
        <v>13</v>
      </c>
      <c r="N7" s="369">
        <v>14</v>
      </c>
      <c r="O7" s="369">
        <v>15</v>
      </c>
      <c r="P7" s="369">
        <v>16</v>
      </c>
      <c r="Q7" s="369">
        <v>17</v>
      </c>
      <c r="R7" s="369">
        <v>18</v>
      </c>
      <c r="S7" s="369">
        <v>19</v>
      </c>
      <c r="T7" s="369">
        <v>20</v>
      </c>
      <c r="U7" s="369">
        <v>21</v>
      </c>
      <c r="V7" s="369">
        <v>22</v>
      </c>
      <c r="W7" s="369">
        <v>23</v>
      </c>
      <c r="X7" s="369">
        <v>24</v>
      </c>
      <c r="Y7" s="369">
        <v>25</v>
      </c>
      <c r="Z7" s="369">
        <v>26</v>
      </c>
      <c r="AA7" s="369">
        <v>27</v>
      </c>
      <c r="AB7" s="369">
        <v>28</v>
      </c>
      <c r="AC7" s="369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s="83" customFormat="1" ht="24" customHeight="1" x14ac:dyDescent="0.25">
      <c r="A9" s="1242">
        <v>1</v>
      </c>
      <c r="B9" s="1230" t="s">
        <v>56</v>
      </c>
      <c r="C9" s="1230" t="s">
        <v>444</v>
      </c>
      <c r="D9" s="1230" t="s">
        <v>172</v>
      </c>
      <c r="E9" s="1230" t="s">
        <v>445</v>
      </c>
      <c r="F9" s="1230" t="s">
        <v>446</v>
      </c>
      <c r="G9" s="1233">
        <v>523025.86</v>
      </c>
      <c r="H9" s="1236">
        <f>IF(AD9 = 1, G9 - Q9,0)</f>
        <v>0</v>
      </c>
      <c r="I9" s="1233">
        <v>1</v>
      </c>
      <c r="J9" s="1233">
        <v>0</v>
      </c>
      <c r="K9" s="1230" t="s">
        <v>447</v>
      </c>
      <c r="L9" s="1230" t="s">
        <v>448</v>
      </c>
      <c r="M9" s="1230" t="s">
        <v>449</v>
      </c>
      <c r="N9" s="1239">
        <v>45168</v>
      </c>
      <c r="O9" s="1230" t="s">
        <v>451</v>
      </c>
      <c r="P9" s="1230" t="s">
        <v>450</v>
      </c>
      <c r="Q9" s="1233">
        <v>523025.86</v>
      </c>
      <c r="R9" s="1236">
        <f>IF(AD9 = 1, Q9 + SUM(Y9:Y17) - SUM(Z9:Z17) - SUM(V9:V17) - AB9,0)</f>
        <v>186318.01999999996</v>
      </c>
      <c r="S9" s="1230" t="s">
        <v>452</v>
      </c>
      <c r="T9" s="439">
        <v>45194</v>
      </c>
      <c r="U9" s="1230" t="s">
        <v>453</v>
      </c>
      <c r="V9" s="433">
        <v>75966.03</v>
      </c>
      <c r="W9" s="439">
        <v>45196</v>
      </c>
      <c r="X9" s="434"/>
      <c r="Y9" s="433"/>
      <c r="Z9" s="433"/>
      <c r="AA9" s="1230"/>
      <c r="AB9" s="1233"/>
      <c r="AC9" s="1227"/>
      <c r="AD9" s="83">
        <v>1</v>
      </c>
    </row>
    <row r="10" spans="1:30" x14ac:dyDescent="0.25">
      <c r="A10" s="1243"/>
      <c r="B10" s="1231"/>
      <c r="C10" s="1231"/>
      <c r="D10" s="1231"/>
      <c r="E10" s="1231"/>
      <c r="F10" s="1231"/>
      <c r="G10" s="1234"/>
      <c r="H10" s="1237"/>
      <c r="I10" s="1234"/>
      <c r="J10" s="1234"/>
      <c r="K10" s="1231"/>
      <c r="L10" s="1231"/>
      <c r="M10" s="1231"/>
      <c r="N10" s="1240"/>
      <c r="O10" s="1231"/>
      <c r="P10" s="1231"/>
      <c r="Q10" s="1234"/>
      <c r="R10" s="1237"/>
      <c r="S10" s="1231"/>
      <c r="T10" s="440">
        <v>45208</v>
      </c>
      <c r="U10" s="1231"/>
      <c r="V10" s="435">
        <v>61252.38</v>
      </c>
      <c r="W10" s="440">
        <v>45217</v>
      </c>
      <c r="X10" s="436"/>
      <c r="Y10" s="435"/>
      <c r="Z10" s="435"/>
      <c r="AA10" s="1231"/>
      <c r="AB10" s="1234"/>
      <c r="AC10" s="1228"/>
      <c r="AD10" s="2">
        <v>1</v>
      </c>
    </row>
    <row r="11" spans="1:30" x14ac:dyDescent="0.25">
      <c r="A11" s="1243"/>
      <c r="B11" s="1231"/>
      <c r="C11" s="1231"/>
      <c r="D11" s="1231"/>
      <c r="E11" s="1231"/>
      <c r="F11" s="1231"/>
      <c r="G11" s="1234"/>
      <c r="H11" s="1237"/>
      <c r="I11" s="1234"/>
      <c r="J11" s="1234"/>
      <c r="K11" s="1231"/>
      <c r="L11" s="1231"/>
      <c r="M11" s="1231"/>
      <c r="N11" s="1240"/>
      <c r="O11" s="1231"/>
      <c r="P11" s="1231"/>
      <c r="Q11" s="1234"/>
      <c r="R11" s="1237"/>
      <c r="S11" s="1231"/>
      <c r="T11" s="440">
        <v>45222</v>
      </c>
      <c r="U11" s="1231"/>
      <c r="V11" s="435">
        <v>7804.16</v>
      </c>
      <c r="W11" s="440">
        <v>45224</v>
      </c>
      <c r="X11" s="436"/>
      <c r="Y11" s="435"/>
      <c r="Z11" s="435"/>
      <c r="AA11" s="1231"/>
      <c r="AB11" s="1234"/>
      <c r="AC11" s="1228"/>
      <c r="AD11" s="2">
        <v>1</v>
      </c>
    </row>
    <row r="12" spans="1:30" x14ac:dyDescent="0.25">
      <c r="A12" s="1243"/>
      <c r="B12" s="1231"/>
      <c r="C12" s="1231"/>
      <c r="D12" s="1231"/>
      <c r="E12" s="1231"/>
      <c r="F12" s="1231"/>
      <c r="G12" s="1234"/>
      <c r="H12" s="1237"/>
      <c r="I12" s="1234"/>
      <c r="J12" s="1234"/>
      <c r="K12" s="1231"/>
      <c r="L12" s="1231"/>
      <c r="M12" s="1231"/>
      <c r="N12" s="1240"/>
      <c r="O12" s="1231"/>
      <c r="P12" s="1231"/>
      <c r="Q12" s="1234"/>
      <c r="R12" s="1237"/>
      <c r="S12" s="1231"/>
      <c r="T12" s="440">
        <v>45223</v>
      </c>
      <c r="U12" s="1231"/>
      <c r="V12" s="435">
        <v>63868.14</v>
      </c>
      <c r="W12" s="440">
        <v>45224</v>
      </c>
      <c r="X12" s="436"/>
      <c r="Y12" s="435"/>
      <c r="Z12" s="435"/>
      <c r="AA12" s="1231"/>
      <c r="AB12" s="1234"/>
      <c r="AC12" s="1228"/>
      <c r="AD12" s="2">
        <v>1</v>
      </c>
    </row>
    <row r="13" spans="1:30" x14ac:dyDescent="0.25">
      <c r="A13" s="1243"/>
      <c r="B13" s="1231"/>
      <c r="C13" s="1231"/>
      <c r="D13" s="1231"/>
      <c r="E13" s="1231"/>
      <c r="F13" s="1231"/>
      <c r="G13" s="1234"/>
      <c r="H13" s="1237"/>
      <c r="I13" s="1234"/>
      <c r="J13" s="1234"/>
      <c r="K13" s="1231"/>
      <c r="L13" s="1231"/>
      <c r="M13" s="1231"/>
      <c r="N13" s="1240"/>
      <c r="O13" s="1231"/>
      <c r="P13" s="1231"/>
      <c r="Q13" s="1234"/>
      <c r="R13" s="1237"/>
      <c r="S13" s="1231"/>
      <c r="T13" s="440">
        <v>45231</v>
      </c>
      <c r="U13" s="1231"/>
      <c r="V13" s="435">
        <v>8037.12</v>
      </c>
      <c r="W13" s="440">
        <v>45238</v>
      </c>
      <c r="X13" s="436"/>
      <c r="Y13" s="435"/>
      <c r="Z13" s="435"/>
      <c r="AA13" s="1231"/>
      <c r="AB13" s="1234"/>
      <c r="AC13" s="1228"/>
      <c r="AD13" s="2">
        <v>1</v>
      </c>
    </row>
    <row r="14" spans="1:30" x14ac:dyDescent="0.25">
      <c r="A14" s="1243"/>
      <c r="B14" s="1231"/>
      <c r="C14" s="1231"/>
      <c r="D14" s="1231"/>
      <c r="E14" s="1231"/>
      <c r="F14" s="1231"/>
      <c r="G14" s="1234"/>
      <c r="H14" s="1237"/>
      <c r="I14" s="1234"/>
      <c r="J14" s="1234"/>
      <c r="K14" s="1231"/>
      <c r="L14" s="1231"/>
      <c r="M14" s="1231"/>
      <c r="N14" s="1240"/>
      <c r="O14" s="1231"/>
      <c r="P14" s="1231"/>
      <c r="Q14" s="1234"/>
      <c r="R14" s="1237"/>
      <c r="S14" s="1231"/>
      <c r="T14" s="440">
        <v>45231</v>
      </c>
      <c r="U14" s="1231"/>
      <c r="V14" s="435">
        <v>63214.2</v>
      </c>
      <c r="W14" s="440">
        <v>45232</v>
      </c>
      <c r="X14" s="436"/>
      <c r="Y14" s="435"/>
      <c r="Z14" s="435"/>
      <c r="AA14" s="1231"/>
      <c r="AB14" s="1234"/>
      <c r="AC14" s="1228"/>
      <c r="AD14" s="2">
        <v>1</v>
      </c>
    </row>
    <row r="15" spans="1:30" x14ac:dyDescent="0.25">
      <c r="A15" s="1243"/>
      <c r="B15" s="1231"/>
      <c r="C15" s="1231"/>
      <c r="D15" s="1231"/>
      <c r="E15" s="1231"/>
      <c r="F15" s="1231"/>
      <c r="G15" s="1234"/>
      <c r="H15" s="1237"/>
      <c r="I15" s="1234"/>
      <c r="J15" s="1234"/>
      <c r="K15" s="1231"/>
      <c r="L15" s="1231"/>
      <c r="M15" s="1231"/>
      <c r="N15" s="1240"/>
      <c r="O15" s="1231"/>
      <c r="P15" s="1231"/>
      <c r="Q15" s="1234"/>
      <c r="R15" s="1237"/>
      <c r="S15" s="1231"/>
      <c r="T15" s="440"/>
      <c r="U15" s="1231"/>
      <c r="V15" s="435"/>
      <c r="W15" s="440">
        <v>45239</v>
      </c>
      <c r="X15" s="436"/>
      <c r="Y15" s="435"/>
      <c r="Z15" s="435"/>
      <c r="AA15" s="1231"/>
      <c r="AB15" s="1234"/>
      <c r="AC15" s="1228"/>
      <c r="AD15" s="2">
        <v>1</v>
      </c>
    </row>
    <row r="16" spans="1:30" x14ac:dyDescent="0.25">
      <c r="A16" s="1243"/>
      <c r="B16" s="1231"/>
      <c r="C16" s="1231"/>
      <c r="D16" s="1231"/>
      <c r="E16" s="1231"/>
      <c r="F16" s="1231"/>
      <c r="G16" s="1234"/>
      <c r="H16" s="1237"/>
      <c r="I16" s="1234"/>
      <c r="J16" s="1234"/>
      <c r="K16" s="1231"/>
      <c r="L16" s="1231"/>
      <c r="M16" s="1231"/>
      <c r="N16" s="1240"/>
      <c r="O16" s="1231"/>
      <c r="P16" s="1231"/>
      <c r="Q16" s="1234"/>
      <c r="R16" s="1237"/>
      <c r="S16" s="1231"/>
      <c r="T16" s="440">
        <v>45250</v>
      </c>
      <c r="U16" s="1231"/>
      <c r="V16" s="435">
        <v>56565.81</v>
      </c>
      <c r="W16" s="440">
        <v>45260</v>
      </c>
      <c r="X16" s="436"/>
      <c r="Y16" s="435"/>
      <c r="Z16" s="435"/>
      <c r="AA16" s="1231"/>
      <c r="AB16" s="1234"/>
      <c r="AC16" s="1228"/>
      <c r="AD16" s="2">
        <v>1</v>
      </c>
    </row>
    <row r="17" spans="1:30" x14ac:dyDescent="0.25">
      <c r="A17" s="1244"/>
      <c r="B17" s="1232"/>
      <c r="C17" s="1232"/>
      <c r="D17" s="1232"/>
      <c r="E17" s="1232"/>
      <c r="F17" s="1232"/>
      <c r="G17" s="1235"/>
      <c r="H17" s="1238"/>
      <c r="I17" s="1235"/>
      <c r="J17" s="1235"/>
      <c r="K17" s="1232"/>
      <c r="L17" s="1232"/>
      <c r="M17" s="1232"/>
      <c r="N17" s="1241"/>
      <c r="O17" s="1232"/>
      <c r="P17" s="1232"/>
      <c r="Q17" s="1235"/>
      <c r="R17" s="1238"/>
      <c r="S17" s="1232"/>
      <c r="T17" s="441"/>
      <c r="U17" s="1232"/>
      <c r="V17" s="437"/>
      <c r="W17" s="441"/>
      <c r="X17" s="438"/>
      <c r="Y17" s="437"/>
      <c r="Z17" s="437"/>
      <c r="AA17" s="1232"/>
      <c r="AB17" s="1235"/>
      <c r="AC17" s="1229"/>
      <c r="AD17" s="2">
        <v>1</v>
      </c>
    </row>
    <row r="18" spans="1:30" hidden="1" x14ac:dyDescent="0.25">
      <c r="M18" s="3"/>
      <c r="AD18" s="2">
        <v>2</v>
      </c>
    </row>
    <row r="19" spans="1:30" hidden="1" x14ac:dyDescent="0.25">
      <c r="M19" s="3"/>
    </row>
    <row r="20" spans="1:30" hidden="1" x14ac:dyDescent="0.25">
      <c r="M20" s="3"/>
    </row>
    <row r="21" spans="1:30" hidden="1" x14ac:dyDescent="0.25">
      <c r="M21" s="3"/>
    </row>
    <row r="22" spans="1:30" hidden="1" x14ac:dyDescent="0.25">
      <c r="M22" s="3"/>
    </row>
    <row r="23" spans="1:30" hidden="1" x14ac:dyDescent="0.25">
      <c r="M23" s="3"/>
    </row>
    <row r="24" spans="1:30" hidden="1" x14ac:dyDescent="0.25">
      <c r="M24" s="3"/>
    </row>
    <row r="25" spans="1:30" hidden="1" x14ac:dyDescent="0.25">
      <c r="M25" s="3"/>
    </row>
    <row r="26" spans="1:30" hidden="1" x14ac:dyDescent="0.25">
      <c r="M26" s="3"/>
    </row>
  </sheetData>
  <sheetProtection algorithmName="SHA-512" hashValue="1r+WaE7QOzidPPoacaKWHnki6hZzvwjoLbXf3CoFSizCj2fbgX0U0xVZQo08TaV9g7t4e1ugMJriU25I/SeAtA==" saltValue="4y2glsUWbPG1GYLb4ViPXA==" spinCount="100000" sheet="1" objects="1" scenarios="1" formatCells="0" formatColumns="0" formatRows="0"/>
  <mergeCells count="28"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83</v>
      </c>
      <c r="B1" s="46">
        <v>69</v>
      </c>
      <c r="C1" s="46">
        <v>9</v>
      </c>
      <c r="D1" s="1247" t="s">
        <v>50</v>
      </c>
      <c r="E1" s="31"/>
      <c r="F1" s="61" t="s">
        <v>108</v>
      </c>
      <c r="G1" s="65" t="s">
        <v>108</v>
      </c>
      <c r="H1" s="64" t="s">
        <v>108</v>
      </c>
      <c r="I1" s="63" t="s">
        <v>108</v>
      </c>
      <c r="J1" s="62" t="s">
        <v>108</v>
      </c>
      <c r="K1" s="66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248"/>
      <c r="E2" s="31"/>
      <c r="F2" s="61">
        <v>71</v>
      </c>
      <c r="G2" s="65">
        <v>32</v>
      </c>
      <c r="H2" s="64">
        <v>1</v>
      </c>
      <c r="I2" s="63">
        <v>1</v>
      </c>
      <c r="J2" s="62">
        <v>0</v>
      </c>
      <c r="K2" s="66">
        <v>1</v>
      </c>
    </row>
    <row r="3" spans="1:11" x14ac:dyDescent="0.25">
      <c r="A3" s="33"/>
      <c r="B3" s="31"/>
      <c r="C3" s="31"/>
      <c r="D3" s="31"/>
      <c r="E3" s="31"/>
      <c r="F3" s="61" t="s">
        <v>109</v>
      </c>
      <c r="G3" s="65" t="s">
        <v>109</v>
      </c>
      <c r="H3" s="64" t="s">
        <v>109</v>
      </c>
      <c r="I3" s="63" t="s">
        <v>109</v>
      </c>
      <c r="J3" s="62" t="s">
        <v>109</v>
      </c>
      <c r="K3" s="66" t="s">
        <v>109</v>
      </c>
    </row>
    <row r="4" spans="1:11" x14ac:dyDescent="0.25">
      <c r="A4" s="42">
        <v>211</v>
      </c>
      <c r="B4" s="43">
        <v>30</v>
      </c>
      <c r="C4" s="43">
        <v>9</v>
      </c>
      <c r="D4" s="1249" t="s">
        <v>102</v>
      </c>
      <c r="E4" s="31"/>
      <c r="F4" s="61">
        <v>72</v>
      </c>
      <c r="G4" s="65">
        <v>33</v>
      </c>
      <c r="H4" s="64">
        <v>2</v>
      </c>
      <c r="I4" s="63">
        <v>2</v>
      </c>
      <c r="J4" s="62">
        <v>0</v>
      </c>
      <c r="K4" s="66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250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11</v>
      </c>
      <c r="B7" s="45">
        <v>1</v>
      </c>
      <c r="C7" s="45">
        <v>9</v>
      </c>
      <c r="D7" s="1251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252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18</v>
      </c>
      <c r="B10" s="41">
        <v>1</v>
      </c>
      <c r="C10" s="41">
        <v>9</v>
      </c>
      <c r="D10" s="1253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254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8</v>
      </c>
      <c r="B13" s="39">
        <v>0</v>
      </c>
      <c r="C13" s="39">
        <v>9</v>
      </c>
      <c r="D13" s="1255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256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17</v>
      </c>
      <c r="B16" s="37">
        <v>1</v>
      </c>
      <c r="C16" s="37">
        <v>9</v>
      </c>
      <c r="D16" s="1245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246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2019-09-24T06:31:40Z</cp:lastPrinted>
  <dcterms:created xsi:type="dcterms:W3CDTF">2017-01-25T04:28:39Z</dcterms:created>
  <dcterms:modified xsi:type="dcterms:W3CDTF">2024-01-22T19:04:43Z</dcterms:modified>
</cp:coreProperties>
</file>