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workbookProtection workbookPassword="EB34" lockStructure="1"/>
  <bookViews>
    <workbookView xWindow="-120" yWindow="-120" windowWidth="20730" windowHeight="11160" tabRatio="603" firstSheet="2" activeTab="5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/>
</workbook>
</file>

<file path=xl/calcChain.xml><?xml version="1.0" encoding="utf-8"?>
<calcChain xmlns="http://schemas.openxmlformats.org/spreadsheetml/2006/main">
  <c r="G2" i="22" l="1"/>
  <c r="Q2" i="22"/>
  <c r="V2" i="22"/>
  <c r="AB2" i="22"/>
  <c r="G2" i="17"/>
  <c r="Q2" i="17"/>
  <c r="V2" i="17"/>
  <c r="AB2" i="17"/>
  <c r="G2" i="19"/>
  <c r="N2" i="19"/>
  <c r="T2" i="19"/>
  <c r="H2" i="31"/>
  <c r="P2" i="31"/>
  <c r="V2" i="31"/>
  <c r="H2" i="27"/>
  <c r="P2" i="27"/>
  <c r="V2" i="27"/>
  <c r="I136" i="31" l="1"/>
  <c r="I135" i="31" l="1"/>
  <c r="I84" i="31" l="1"/>
  <c r="I81" i="31" l="1"/>
  <c r="I128" i="31" l="1"/>
  <c r="I73" i="31" l="1"/>
  <c r="I60" i="31" l="1"/>
  <c r="I51" i="31"/>
  <c r="I42" i="31"/>
  <c r="I94" i="31"/>
  <c r="I44" i="27" l="1"/>
  <c r="I43" i="27" l="1"/>
  <c r="I42" i="27" l="1"/>
  <c r="I41" i="27" l="1"/>
  <c r="I17" i="31" l="1"/>
  <c r="I37" i="27" l="1"/>
  <c r="G2" i="20" l="1"/>
  <c r="Q2" i="20"/>
  <c r="V2" i="20"/>
  <c r="AB2" i="20"/>
  <c r="I40" i="27"/>
  <c r="H15" i="17"/>
  <c r="R15" i="17"/>
  <c r="I39" i="27" l="1"/>
  <c r="I134" i="31" l="1"/>
  <c r="I133" i="31"/>
  <c r="I69" i="31" l="1"/>
  <c r="I36" i="27" l="1"/>
  <c r="I35" i="27" l="1"/>
  <c r="I34" i="27" l="1"/>
  <c r="I132" i="31" l="1"/>
  <c r="I33" i="27" l="1"/>
  <c r="I32" i="27" l="1"/>
  <c r="I31" i="27"/>
  <c r="I131" i="31" l="1"/>
  <c r="I30" i="27" l="1"/>
  <c r="I29" i="27" l="1"/>
  <c r="I28" i="27" l="1"/>
  <c r="I102" i="31" l="1"/>
  <c r="I27" i="27" l="1"/>
  <c r="I26" i="27" l="1"/>
  <c r="I13" i="27" l="1"/>
  <c r="H18" i="17" l="1"/>
  <c r="R18" i="17"/>
  <c r="H9" i="19"/>
  <c r="H9" i="17"/>
  <c r="R9" i="17"/>
  <c r="I36" i="31" l="1"/>
  <c r="I25" i="27" l="1"/>
  <c r="I24" i="27" l="1"/>
  <c r="I127" i="31" l="1"/>
  <c r="I126" i="31" l="1"/>
  <c r="I117" i="31" l="1"/>
  <c r="I119" i="31"/>
  <c r="I125" i="31"/>
  <c r="I115" i="31"/>
  <c r="I9" i="31" l="1"/>
  <c r="I23" i="27" l="1"/>
  <c r="I22" i="27" l="1"/>
  <c r="I21" i="27"/>
  <c r="I20" i="27"/>
  <c r="I19" i="27" l="1"/>
  <c r="I18" i="27"/>
  <c r="I17" i="27" l="1"/>
  <c r="I12" i="27" l="1"/>
  <c r="I11" i="27" l="1"/>
  <c r="H9" i="22" l="1"/>
  <c r="R9" i="22"/>
  <c r="I109" i="31" l="1"/>
  <c r="I112" i="31"/>
  <c r="I106" i="31"/>
  <c r="I9" i="27" l="1"/>
  <c r="I114" i="31" l="1"/>
  <c r="I105" i="31" l="1"/>
  <c r="I104" i="31"/>
  <c r="I93" i="31" l="1"/>
  <c r="I72" i="31" l="1"/>
  <c r="I45" i="27" l="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<sst xmlns="http://schemas.openxmlformats.org/spreadsheetml/2006/main" count="1074" uniqueCount="408">
  <si>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</si>
  <si>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</si>
  <si>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</si>
  <si>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</si>
  <si>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</si>
  <si>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</si>
  <si>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</si>
  <si>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</si>
  <si>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</si>
  <si>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</si>
  <si>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</si>
  <si>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</si>
  <si>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</si>
  <si>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</si>
  <si>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</si>
  <si>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</si>
  <si>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</si>
  <si>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</si>
  <si>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</si>
  <si>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</si>
  <si>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</si>
  <si>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</si>
  <si>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</si>
  <si>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</si>
  <si>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</si>
  <si>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</si>
  <si>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</si>
  <si>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</si>
  <si>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</si>
  <si>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</si>
  <si>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</si>
  <si>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</si>
  <si>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</si>
  <si>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</si>
  <si>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</si>
  <si>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</si>
  <si>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</si>
  <si>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</si>
  <si>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</si>
  <si>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</si>
  <si>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</si>
  <si>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</si>
  <si>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</si>
  <si>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</si>
  <si>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</si>
  <si>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</si>
  <si>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</si>
  <si>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</si>
  <si>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</si>
  <si>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</si>
  <si>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</si>
  <si>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</si>
  <si>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</si>
  <si>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</si>
  <si>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</si>
  <si>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</si>
  <si>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</si>
  <si>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</si>
  <si>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</si>
  <si>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</si>
  <si>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</si>
  <si>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</si>
  <si>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</si>
  <si>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</si>
  <si>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</si>
  <si>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</si>
  <si>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</si>
  <si>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</si>
  <si>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</si>
  <si>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</si>
  <si>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</si>
  <si>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</si>
  <si>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</si>
  <si>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</si>
  <si>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</si>
  <si>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</si>
  <si>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</si>
  <si>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</si>
  <si>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</si>
  <si>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</si>
  <si>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</si>
  <si>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</si>
  <si>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</si>
  <si>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</si>
  <si>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</si>
  <si>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</si>
  <si>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</si>
  <si>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</si>
  <si>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</si>
  <si>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</si>
  <si>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</si>
  <si>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</si>
  <si>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</si>
  <si>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</si>
  <si>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</si>
  <si>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</si>
  <si>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</si>
  <si>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</si>
  <si>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</si>
  <si>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</si>
  <si>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</si>
  <si>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</si>
  <si>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</si>
  <si>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</si>
  <si>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</si>
  <si>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</si>
  <si>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</si>
  <si>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</si>
  <si>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</si>
  <si>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</si>
  <si>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</si>
  <si>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</si>
  <si>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</si>
  <si>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</si>
  <si>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</si>
  <si>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</si>
  <si>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</si>
  <si>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</si>
  <si>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</si>
  <si>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</si>
  <si>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</si>
  <si>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</si>
  <si>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</si>
  <si>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</si>
  <si>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</si>
  <si>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</si>
  <si>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</si>
  <si>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</si>
  <si>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</si>
  <si>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</si>
  <si>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</si>
  <si>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</si>
  <si>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</si>
  <si>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</si>
  <si>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</si>
  <si>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</si>
  <si>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</si>
  <si>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</si>
  <si>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</si>
  <si>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</si>
  <si>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</si>
  <si>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</si>
  <si>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</si>
  <si>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</si>
  <si>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</si>
  <si>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Муниципальное бюджетное общеобразовательное учреждение основная общеобразовательная школа № 21 имени Коломийца Василия Терентьевича муниципального образования Тимашевский район</t>
  </si>
  <si>
    <t>Всего:</t>
  </si>
  <si>
    <t>нет</t>
  </si>
  <si>
    <t>Поставка газа</t>
  </si>
  <si>
    <t xml:space="preserve">ООО "Газпром межрегионгаз Краснодар" </t>
  </si>
  <si>
    <t>23070500320</t>
  </si>
  <si>
    <t>Оказание услуги по передаче электрической энергии</t>
  </si>
  <si>
    <t xml:space="preserve">ПАО "ТНС энерго Кубань" </t>
  </si>
  <si>
    <t>30% стоимости электрической энергии в подлежащем оплате объеме покупки в месяце, за который осуществляется оплата, вносится до 10-го числа этого месяца; 40% стоимости электрической энергии в подлежащем оплате объеме покупки в месяце, за который осуществляется оплата, вносится до 25-го числа этого месяца; стоимость объема покупки электрической энергии в месяце, за который осуществляется оплата, за вычетом средств, внесенных в качестве оплаты в течение этого месяца, оплачивается до 18-го числа месяца, следующего за месяцем, за который осуществляется оплата</t>
  </si>
  <si>
    <t>Оказание охранных услуг</t>
  </si>
  <si>
    <t xml:space="preserve">2304067057 </t>
  </si>
  <si>
    <t xml:space="preserve">ООО ЧОО "ЛЕГИОН" </t>
  </si>
  <si>
    <t>в течение не более чем 7 рабочих дней с даты подписания Заказчиком документа о приемке</t>
  </si>
  <si>
    <t>925 0000 0000000000 244</t>
  </si>
  <si>
    <t>30% плановой общей стоимости планового объема потребления природного газа в месяце, за который осуществляется оплата, вносится в срок до 18-го числа этого месяца; фактически потребленный в истекшем месяце природный газ с учетом средств, ранее внесенных, оплачивается в срок до 10-го числа месяца, следующего за месяцем, за который осуществляется оплата</t>
  </si>
  <si>
    <t>925 0000 0000000000 247</t>
  </si>
  <si>
    <t>233235301533323530100100100018010244</t>
  </si>
  <si>
    <t xml:space="preserve">0818300019923000374 </t>
  </si>
  <si>
    <t>3235301533324000002</t>
  </si>
  <si>
    <t>0818300019923000374-21</t>
  </si>
  <si>
    <t>с 01 января 2024 г. по 26 июня 2024 г. до 24 ч.00 мин  (включительно)</t>
  </si>
  <si>
    <t>233235301533323530100100110015629244</t>
  </si>
  <si>
    <t>0818300019923000373</t>
  </si>
  <si>
    <t>0818300019923000373-01</t>
  </si>
  <si>
    <t>3235301533324000001 </t>
  </si>
  <si>
    <t>235300582900</t>
  </si>
  <si>
    <t>ИП Эжбаев Ю.Н.</t>
  </si>
  <si>
    <t>с 09.01.2024 по 22.03.2024г</t>
  </si>
  <si>
    <t>В течение 7 рабочих дней после подписания документа о приемке</t>
  </si>
  <si>
    <t>Услуги по организации питания</t>
  </si>
  <si>
    <t>с 01.01.2024 по 31.12.2024</t>
  </si>
  <si>
    <t>20517/ТМ</t>
  </si>
  <si>
    <t>Услуги по обращению с твердыми коммунальными отходами</t>
  </si>
  <si>
    <t>АО "Мусороуборочная компания"</t>
  </si>
  <si>
    <t xml:space="preserve">до 10-го числа месяца, следующего за месяцем, в котором была оказана услуга
</t>
  </si>
  <si>
    <t>А-178</t>
  </si>
  <si>
    <t>Техническое обслуживание автоматических установок пожарной сигнализации</t>
  </si>
  <si>
    <t>ООО "Сигнал"</t>
  </si>
  <si>
    <t>в течение 10 рабочих дней с даты подписания акта сдачи-приемки выполненных работ</t>
  </si>
  <si>
    <t>А-179</t>
  </si>
  <si>
    <t>Работы по  техническому обслуживанию установки системы пожарного мониторинга "Стрелец-мониторинг"</t>
  </si>
  <si>
    <t>34000959</t>
  </si>
  <si>
    <t>Централизованная охрана объекта, оборудованного комплексом технических средств охраны с выводом на пульт централизованного наблюдения</t>
  </si>
  <si>
    <t xml:space="preserve">ФГКУ "УВО ВНГ России по Краснодарскому краю" </t>
  </si>
  <si>
    <t>в срок не превышающий 10 рабочих дней с даты подписания документов о приемке оказанных услуг</t>
  </si>
  <si>
    <t>34550723/046326</t>
  </si>
  <si>
    <t>ООО "РН-Карт"</t>
  </si>
  <si>
    <t>с 01.01.2024 по 29.04.2024</t>
  </si>
  <si>
    <t>7743529527</t>
  </si>
  <si>
    <t>Да</t>
  </si>
  <si>
    <t>25-11-02524/24</t>
  </si>
  <si>
    <t>б/н</t>
  </si>
  <si>
    <t>Базирование транспортных средств</t>
  </si>
  <si>
    <t>Не более 10 рабочих дней со дня подписания акта оказанных услуг</t>
  </si>
  <si>
    <t>Холодное водоснабжение</t>
  </si>
  <si>
    <t>ИП Лукоянов Ю.В.</t>
  </si>
  <si>
    <t>ООО "Водоснабжение"</t>
  </si>
  <si>
    <t>с 01.01.2024 по 24.07.2024</t>
  </si>
  <si>
    <t>в течение 10 рабочих дней с даты подписания акта оказанных услуг</t>
  </si>
  <si>
    <t>Услуги по выполнению предрейсового и послерейсового медицинского осмотра водитителей и предрейсового и послерейсового  технического осмотра транспортного средства</t>
  </si>
  <si>
    <t>Тимашевская РО КРО ОО "ВОА"</t>
  </si>
  <si>
    <t>Услуги по тех. сопровождению программного обеспечения спутниковой навигации</t>
  </si>
  <si>
    <t>ООО "КАНкорт"</t>
  </si>
  <si>
    <t>Услуги связи</t>
  </si>
  <si>
    <t>ПАО "Ростелеком"</t>
  </si>
  <si>
    <t xml:space="preserve">нет </t>
  </si>
  <si>
    <t>172</t>
  </si>
  <si>
    <t>172-Б2</t>
  </si>
  <si>
    <t>Услуги связи (межгород)</t>
  </si>
  <si>
    <t>в срок не превышающий 10 рабочих дней с даты подписания отчетных документов</t>
  </si>
  <si>
    <t>Бензин</t>
  </si>
  <si>
    <t>с 01.02.2024 по 31.12.2024</t>
  </si>
  <si>
    <t>21/24</t>
  </si>
  <si>
    <t>Систематическая дератизация</t>
  </si>
  <si>
    <t>ООО "Дезинфекция"</t>
  </si>
  <si>
    <t>Услуги по обучению охране труда</t>
  </si>
  <si>
    <t>Услуги по обучению ответственных за пожарную безопасность</t>
  </si>
  <si>
    <t>ЧОУ ДПО "Сигнал"</t>
  </si>
  <si>
    <t>с 29.01.2024 по 02.02.2024</t>
  </si>
  <si>
    <t>с 29.01.2024 по 30.01.2024</t>
  </si>
  <si>
    <t>21-ОШ</t>
  </si>
  <si>
    <t>21-ОВЗ</t>
  </si>
  <si>
    <t>Услуги по организации горячего питания обучающихся  с ОВЗ</t>
  </si>
  <si>
    <t>с 09.01.2024 по 22.03.2024</t>
  </si>
  <si>
    <t xml:space="preserve">Услуги по организации горячего питания обучающихся </t>
  </si>
  <si>
    <t>ИП Эжьбаев Ю.Н.</t>
  </si>
  <si>
    <t>с 09.01.2024 по 22.03.2025</t>
  </si>
  <si>
    <t>21-СВО</t>
  </si>
  <si>
    <t xml:space="preserve">Услуги по организации горячего питания обучающихся  из семей граждан, призванных на военную службу по мобилизации </t>
  </si>
  <si>
    <t>21-СВО/1</t>
  </si>
  <si>
    <t>с 01.03.2024 по 22.03.2024</t>
  </si>
  <si>
    <t>ООО "РООС"</t>
  </si>
  <si>
    <t>2369007754</t>
  </si>
  <si>
    <t>Откачка и вывоз ЖБО</t>
  </si>
  <si>
    <t>с 01.04.2024 по 31.12.2024</t>
  </si>
  <si>
    <t>в срок не превышающий 10 рабочих дней с даты подписания акта оказанных услуг</t>
  </si>
  <si>
    <t>2310132554</t>
  </si>
  <si>
    <t>ООО "Краснодарский учколлектор"</t>
  </si>
  <si>
    <t>до 12.08.2024г</t>
  </si>
  <si>
    <t>Услуги по организации горячего питания обучающихся 1- 4 классов</t>
  </si>
  <si>
    <t>с 01.04.2024 по 24.05.2024г.</t>
  </si>
  <si>
    <t>21-ош/1</t>
  </si>
  <si>
    <t>21/1</t>
  </si>
  <si>
    <t xml:space="preserve">Услуги по организации горячего питания обучающихся  с ОВЗ, инвалидов, обучающихся  из семей граждан, призванных на военную службу по мобилизации </t>
  </si>
  <si>
    <t>34550724/010040</t>
  </si>
  <si>
    <t>с 01.03.2024 по 30.06.2024</t>
  </si>
  <si>
    <t>Оказание услуг по подготовке журналов движения отходов на 2024 год</t>
  </si>
  <si>
    <t>2353023292</t>
  </si>
  <si>
    <t>ООО "Экопроект"</t>
  </si>
  <si>
    <t>Проверка работы и очистка вентиляции  пищеблока на объекте</t>
  </si>
  <si>
    <t>2353002302</t>
  </si>
  <si>
    <t>с момента заключения контракта по 31.12.2024г.</t>
  </si>
  <si>
    <t>с 17.04.2024г по 26.04.2024г.</t>
  </si>
  <si>
    <t>Неисключительное право использования программы для ЭВМ</t>
  </si>
  <si>
    <t>234602203000</t>
  </si>
  <si>
    <t>ИП Архангельский А.А.</t>
  </si>
  <si>
    <t>18.04.2024</t>
  </si>
  <si>
    <t>б/н от 04.04.2024</t>
  </si>
  <si>
    <t>б/н от 01.04.2024</t>
  </si>
  <si>
    <t>235304188742</t>
  </si>
  <si>
    <t>ИП Кушнаренко Л.В.</t>
  </si>
  <si>
    <t>В течение 10 рабочих дней со дня заключения договора</t>
  </si>
  <si>
    <t>Баннер</t>
  </si>
  <si>
    <t>В течение 7 дней с момента подписания документа о приемке оказанных услуг</t>
  </si>
  <si>
    <t>Учебно-педагогическая документация</t>
  </si>
  <si>
    <t>АТ00-022374</t>
  </si>
  <si>
    <t>ЭП ФИС "ФРС о документах об обучении"</t>
  </si>
  <si>
    <t>2311187588</t>
  </si>
  <si>
    <t>ООО "АйТи Мониторинг"</t>
  </si>
  <si>
    <t>В течение 12 месяцев с момента передачи сертификата</t>
  </si>
  <si>
    <t>А0099331</t>
  </si>
  <si>
    <t>Учебная литература</t>
  </si>
  <si>
    <t>АО Издательство "Просвещение"</t>
  </si>
  <si>
    <t>До 30.07.2024</t>
  </si>
  <si>
    <t>В течение 10 рабочих  дней со дня подписания акта о приемке товара</t>
  </si>
  <si>
    <t xml:space="preserve"> 3235301533324000003 </t>
  </si>
  <si>
    <t>б/н от 15.04.2024</t>
  </si>
  <si>
    <t>23-11474</t>
  </si>
  <si>
    <t>7706526550</t>
  </si>
  <si>
    <t>ООО "СпецБланк-Москва"</t>
  </si>
  <si>
    <t>В течение 40 календарных дней после получения Поставщиком подписанного еонтракта от Заказчика</t>
  </si>
  <si>
    <t>21-24-К</t>
  </si>
  <si>
    <t>Профилактическая дезинсекция открытой территории школы апртив клешей и блох</t>
  </si>
  <si>
    <t>2353018870</t>
  </si>
  <si>
    <t>ООО "Дезинсекция"</t>
  </si>
  <si>
    <t>24.05.2024</t>
  </si>
  <si>
    <t>830</t>
  </si>
  <si>
    <t>Флагшток, флаг, герб</t>
  </si>
  <si>
    <t>ИП Бабенко А.С</t>
  </si>
  <si>
    <t>В течение 60 рабочих дней со дня подписания контракта</t>
  </si>
  <si>
    <t>в течение 10 рабочих дней с даты подписания акта приемки</t>
  </si>
  <si>
    <t>Газонокосилка</t>
  </si>
  <si>
    <t>ИП Герасимова Е.Ю.</t>
  </si>
  <si>
    <t>В течение 10 календарных дней со дня подписания контракта</t>
  </si>
  <si>
    <t>Образовательная услуга (переподготовка водителей)</t>
  </si>
  <si>
    <t>2353017179</t>
  </si>
  <si>
    <t>РО КРО "ВОА"</t>
  </si>
  <si>
    <t xml:space="preserve">В течение 10 рабочих дней  с момента подписания документа о приемке </t>
  </si>
  <si>
    <t xml:space="preserve">В течение 10 рабочих дней  с момента подписания документа о приемке  </t>
  </si>
  <si>
    <t>21-1</t>
  </si>
  <si>
    <t>Организация питания детей в период летнего лагеря дневного пребывания</t>
  </si>
  <si>
    <t>с 27.05.2024 по 16.06.2024г</t>
  </si>
  <si>
    <t>в течение 10 рабочих дней с даты подписания акта приемки оказанных услуг</t>
  </si>
  <si>
    <t>ООО "РН-карт"</t>
  </si>
  <si>
    <t>с 01.07.2024г.по 30.09.2024г.</t>
  </si>
  <si>
    <t>243235301395323530100100090018010244</t>
  </si>
  <si>
    <t>0818300019924000189</t>
  </si>
  <si>
    <t>3235301533324000005</t>
  </si>
  <si>
    <t>08183000199240001890001</t>
  </si>
  <si>
    <t>2304067057</t>
  </si>
  <si>
    <t>24323530139532353010010010005629244</t>
  </si>
  <si>
    <t>0818300019924000194</t>
  </si>
  <si>
    <t>3235301533324000006</t>
  </si>
  <si>
    <t>08183000199240001940001</t>
  </si>
  <si>
    <t>с 27 июня 2024г по 25 сентября 2024г</t>
  </si>
  <si>
    <t>б/н от 04.06.2024</t>
  </si>
  <si>
    <t>б/н от  04.06.2024</t>
  </si>
  <si>
    <t>б/н от 09.04.2024</t>
  </si>
  <si>
    <t>да</t>
  </si>
  <si>
    <t>с 01.07.2024 по 31.12.2024г</t>
  </si>
  <si>
    <t xml:space="preserve">до 10-го числа месяца, следующего за месяцем, в котором была оказана услуга
</t>
  </si>
  <si>
    <t>27-24</t>
  </si>
  <si>
    <t>Работы по электролабораторным испытаниям и электрическим измерениям электроустановок</t>
  </si>
  <si>
    <t>2353018101</t>
  </si>
  <si>
    <t>Услуги по проведению предварительных и периодических медицинских осмотров работников</t>
  </si>
  <si>
    <t>2353006498</t>
  </si>
  <si>
    <t>ГБУЗ  "Тимашевская ЦРБ" МЗ КК</t>
  </si>
  <si>
    <t>Полтграфическая продукция</t>
  </si>
  <si>
    <t>ООО "Агропромэнерго"</t>
  </si>
  <si>
    <t>09.07.2024</t>
  </si>
  <si>
    <t xml:space="preserve">б/н от </t>
  </si>
  <si>
    <t>06..07.2024</t>
  </si>
  <si>
    <t>Экскурсионные услуги с целью духовно-нравственного воспитания учащихся</t>
  </si>
  <si>
    <t>2353016418</t>
  </si>
  <si>
    <t>Местная религиозная организация православный Приход храма Вознесения Господня г. Тимашевска Краснодарского края Ейской Епархии Русской Православной Церкви (Московский Патриархат"</t>
  </si>
  <si>
    <t>06.07.2024</t>
  </si>
  <si>
    <t>Строительные материалы</t>
  </si>
  <si>
    <t>235309678500</t>
  </si>
  <si>
    <t>ИП Озеров В.В.</t>
  </si>
  <si>
    <t>В течение 10 дней с момента заключения договора</t>
  </si>
  <si>
    <t>Краска,АБС, шпатлевка, уайт спирит</t>
  </si>
  <si>
    <t>235303016116</t>
  </si>
  <si>
    <t>ИП Демченко В.В.</t>
  </si>
  <si>
    <t>Плинтус, соединение, линолеум, клей</t>
  </si>
  <si>
    <t>ИП Карлов И.В.</t>
  </si>
  <si>
    <t>В течение 10 календарных дней со дня подписания договора</t>
  </si>
  <si>
    <t xml:space="preserve">в течение 10 рабочих дней с даты подписания акта оказанных услуг </t>
  </si>
  <si>
    <t>1/2024/21</t>
  </si>
  <si>
    <t>Услуги по публичному показу музейных предметов,имузейных коллекций</t>
  </si>
  <si>
    <t>2310052884</t>
  </si>
  <si>
    <t>В течение 10 рабочих дней  с момента подписания документа о приемке оказанной услуги</t>
  </si>
  <si>
    <t>с момента заключения контракта по 30.09.2024г.</t>
  </si>
  <si>
    <t>В течение 10 рабочих дней  с момента подписания документа о приемке поставленного товара</t>
  </si>
  <si>
    <t>ГБУК КК "Краснодарский государственный  историко-археологический музей-заповедник им. Е.Д. Фелицина"</t>
  </si>
  <si>
    <t>23.07.2024</t>
  </si>
  <si>
    <t>106-24</t>
  </si>
  <si>
    <t>106-1/24</t>
  </si>
  <si>
    <t>В течение 7 рабочих дней  с момента подписания документа о приемке оказанной услуги</t>
  </si>
  <si>
    <t>114</t>
  </si>
  <si>
    <t>Видеокамеры</t>
  </si>
  <si>
    <t>Шкаф многосекционный</t>
  </si>
  <si>
    <t>31.07.204</t>
  </si>
  <si>
    <t>К210644/24</t>
  </si>
  <si>
    <t>Услуги по сопровождению программы для  ЭВМ "Контур Экстерн)</t>
  </si>
  <si>
    <t>6663003127</t>
  </si>
  <si>
    <t>АО "ПФ "СКБ Контур"</t>
  </si>
  <si>
    <t>В течение 5 рабочих дней после заключения договора</t>
  </si>
  <si>
    <t>Настройка программного обеспечения</t>
  </si>
  <si>
    <t>235309088540</t>
  </si>
  <si>
    <t>ИП Железняк И.И.</t>
  </si>
  <si>
    <t>16.07.2024</t>
  </si>
  <si>
    <t>лабораторные исследования воды, освещенности, санитарно-гигиеническая оценка результатов</t>
  </si>
  <si>
    <t>2308105200</t>
  </si>
  <si>
    <t>ФБУЗ "Центр гигиены и эпидемиологии в Краснодарском крае"</t>
  </si>
  <si>
    <t>19.07.2024</t>
  </si>
  <si>
    <t>ООО "ТИТ-МЕБЕЛЬ"</t>
  </si>
  <si>
    <t>487</t>
  </si>
  <si>
    <t>Бок СКЗИ, активация и настройка тахографа</t>
  </si>
  <si>
    <t>ООО"КАНкорт"</t>
  </si>
  <si>
    <t>В течение 5 рабочих дней со дня заключения договора</t>
  </si>
  <si>
    <t>В течение 10 рабочих дней  с момента подписания документа о приемке поставленного товара, оказанной услуги</t>
  </si>
  <si>
    <t xml:space="preserve">Услуги по идентификации АСН в ГАИС "ЭРА-ГЛОНАСС" и обеспечению передачи в Ространснадзор информации, поступающей от АСН в ГАИС "ЭРА-ГЛОНАСС" </t>
  </si>
  <si>
    <t>7703383783</t>
  </si>
  <si>
    <t>АО "Глонасс"</t>
  </si>
  <si>
    <t>с 08.07.2024 по 31.12.2024</t>
  </si>
  <si>
    <t>Шпатлевка, клей, профиль, цемент</t>
  </si>
  <si>
    <t>Краска, эмаль</t>
  </si>
  <si>
    <t>с 02 сентября 2024г. по 29 ноября 2024г.</t>
  </si>
  <si>
    <t>16/2024</t>
  </si>
  <si>
    <t>15/2024</t>
  </si>
  <si>
    <t>49/Т</t>
  </si>
  <si>
    <t>Услуга по промывке и опрессовке системы отопления объекта</t>
  </si>
  <si>
    <t>2312314060</t>
  </si>
  <si>
    <t>ООО "ТеплоСервис"</t>
  </si>
  <si>
    <t>Обязательное страхование гражданской ответственности владельцев транспортных средств</t>
  </si>
  <si>
    <t>7707067683</t>
  </si>
  <si>
    <t>ПАО СК "Росгосстрах"</t>
  </si>
  <si>
    <t>ДГ 24/43</t>
  </si>
  <si>
    <t>Не позднее 10 числа месяца, следующего за отчетным периодом</t>
  </si>
  <si>
    <t>В течение 10 рабочих дней  с момента подписания документа о приемке  оказанной услуги</t>
  </si>
  <si>
    <t>103</t>
  </si>
  <si>
    <t>ООО ЧОО "Легион"</t>
  </si>
  <si>
    <t>с 26.09.2024 по 04.10.2024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</si>
</sst>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2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FFF8F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/>
  </cellStyleXfs>
  <cellXfs count="128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0" fillId="7" borderId="1" xfId="4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8" borderId="1" xfId="4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0" fillId="9" borderId="1" xfId="4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10" fillId="10" borderId="1" xfId="1" applyFont="1" applyFill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0" fillId="7" borderId="14" xfId="1" applyFont="1" applyFill="1" applyBorder="1" applyAlignment="1">
      <alignment horizontal="center" vertical="center" wrapText="1"/>
    </xf>
    <xf numFmtId="0" fontId="10" fillId="9" borderId="14" xfId="1" applyFont="1" applyFill="1" applyBorder="1" applyAlignment="1">
      <alignment horizontal="center" vertical="center" wrapText="1"/>
    </xf>
    <xf numFmtId="0" fontId="10" fillId="8" borderId="14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7" fontId="15" fillId="2" borderId="1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165" fontId="15" fillId="2" borderId="1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Border="1" applyAlignment="1" applyProtection="1">
      <alignment horizontal="center" vertical="center" wrapText="1"/>
      <protection locked="0"/>
    </xf>
    <xf numFmtId="7" fontId="1" fillId="0" borderId="21" xfId="0" applyNumberFormat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49" fontId="15" fillId="18" borderId="22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5" fillId="18" borderId="23" xfId="0" applyNumberFormat="1" applyFont="1" applyFill="1" applyBorder="1" applyAlignment="1">
      <alignment horizontal="center" vertical="center" wrapText="1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4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165" fontId="1" fillId="3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4" fontId="1" fillId="19" borderId="2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5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9" fontId="15" fillId="18" borderId="40" xfId="0" applyNumberFormat="1" applyFont="1" applyFill="1" applyBorder="1" applyAlignment="1">
      <alignment horizontal="center" vertical="center" wrapText="1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9" fontId="15" fillId="18" borderId="40" xfId="0" applyNumberFormat="1" applyFont="1" applyFill="1" applyBorder="1" applyAlignment="1">
      <alignment horizontal="center" vertical="center" wrapText="1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5" fillId="18" borderId="41" xfId="0" applyNumberFormat="1" applyFont="1" applyFill="1" applyBorder="1" applyAlignment="1">
      <alignment horizontal="center" vertical="center" wrapText="1"/>
    </xf>
    <xf numFmtId="4" fontId="1" fillId="19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6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>
      <alignment horizontal="center" vertical="center" wrapText="1"/>
    </xf>
    <xf numFmtId="16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4" fontId="1" fillId="19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>
      <alignment horizontal="center" vertical="center" wrapText="1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7" xfId="0" applyNumberFormat="1" applyFont="1" applyFill="1" applyBorder="1" applyAlignment="1">
      <alignment horizontal="center" vertical="center" wrapText="1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>
      <alignment horizontal="center" vertical="center" wrapText="1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7" xfId="0" applyNumberFormat="1" applyFont="1" applyFill="1" applyBorder="1" applyAlignment="1">
      <alignment horizontal="center" vertical="center" wrapText="1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8" xfId="0" applyNumberFormat="1" applyFont="1" applyFill="1" applyBorder="1" applyAlignment="1">
      <alignment horizontal="center" vertical="center" wrapText="1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>
      <alignment horizontal="center" vertical="center" wrapText="1"/>
    </xf>
    <xf numFmtId="1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8" xfId="0" applyNumberFormat="1" applyFont="1" applyFill="1" applyBorder="1" applyAlignment="1">
      <alignment horizontal="center" vertical="center" wrapText="1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>
      <alignment horizontal="center" vertical="center" wrapText="1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62" xfId="0" applyNumberFormat="1" applyFont="1" applyFill="1" applyBorder="1" applyAlignment="1">
      <alignment horizontal="center" vertical="center" wrapText="1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>
      <alignment horizontal="center" vertical="center" wrapText="1"/>
    </xf>
    <xf numFmtId="4" fontId="1" fillId="19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0" xfId="0" applyNumberFormat="1" applyFont="1" applyFill="1" applyBorder="1" applyAlignment="1" applyProtection="1">
      <alignment horizontal="center" vertical="center" wrapText="1"/>
      <protection locked="0"/>
    </xf>
    <xf numFmtId="49" fontId="17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>
      <alignment horizontal="center" vertical="center" wrapText="1"/>
    </xf>
    <xf numFmtId="49" fontId="15" fillId="18" borderId="74" xfId="0" applyNumberFormat="1" applyFont="1" applyFill="1" applyBorder="1" applyAlignment="1">
      <alignment horizontal="center" vertical="center" wrapText="1"/>
    </xf>
    <xf numFmtId="49" fontId="15" fillId="18" borderId="74" xfId="0" applyNumberFormat="1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>
      <alignment horizontal="center" vertical="center" wrapText="1"/>
    </xf>
    <xf numFmtId="1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7" xfId="0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>
      <alignment horizontal="center" vertical="center" wrapText="1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7" xfId="0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>
      <alignment horizontal="center" vertical="center" wrapText="1"/>
    </xf>
    <xf numFmtId="49" fontId="15" fillId="18" borderId="77" xfId="0" applyNumberFormat="1" applyFont="1" applyFill="1" applyBorder="1" applyAlignment="1">
      <alignment horizontal="center" vertical="center" wrapText="1"/>
    </xf>
    <xf numFmtId="1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7" xfId="0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>
      <alignment horizontal="center" vertical="center" wrapText="1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7" xfId="0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>
      <alignment horizontal="center" vertical="center" wrapText="1"/>
    </xf>
    <xf numFmtId="16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8" xfId="0" applyNumberFormat="1" applyFont="1" applyFill="1" applyBorder="1" applyAlignment="1">
      <alignment horizontal="center" vertical="center" wrapText="1"/>
    </xf>
    <xf numFmtId="4" fontId="1" fillId="18" borderId="78" xfId="0" applyNumberFormat="1" applyFont="1" applyFill="1" applyBorder="1" applyAlignment="1">
      <alignment horizontal="center" vertical="center" wrapText="1"/>
    </xf>
    <xf numFmtId="16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8" xfId="0" applyFont="1" applyFill="1" applyBorder="1" applyAlignment="1" applyProtection="1">
      <alignment horizontal="center" vertical="center" wrapText="1"/>
      <protection locked="0"/>
    </xf>
    <xf numFmtId="1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9" xfId="0" applyNumberFormat="1" applyFont="1" applyFill="1" applyBorder="1" applyAlignment="1">
      <alignment horizontal="center" vertical="center" wrapText="1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49" fontId="15" fillId="18" borderId="79" xfId="0" applyNumberFormat="1" applyFont="1" applyFill="1" applyBorder="1" applyAlignment="1">
      <alignment horizontal="center" vertical="center" wrapText="1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9" xfId="0" applyNumberFormat="1" applyFont="1" applyFill="1" applyBorder="1" applyAlignment="1">
      <alignment horizontal="center" vertical="center" wrapText="1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2" xfId="0" applyNumberFormat="1" applyFont="1" applyFill="1" applyBorder="1" applyAlignment="1">
      <alignment horizontal="center" vertical="center" wrapText="1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>
      <alignment horizontal="center" vertical="center" wrapText="1"/>
    </xf>
    <xf numFmtId="167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2" xfId="0" applyFont="1" applyFill="1" applyBorder="1" applyAlignment="1" applyProtection="1">
      <alignment horizontal="center" vertical="center" wrapText="1"/>
      <protection locked="0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3" xfId="0" applyNumberFormat="1" applyFont="1" applyFill="1" applyBorder="1" applyAlignment="1">
      <alignment horizontal="center" vertical="center" wrapText="1"/>
    </xf>
    <xf numFmtId="1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3" xfId="0" applyFont="1" applyFill="1" applyBorder="1" applyAlignment="1" applyProtection="1">
      <alignment horizontal="center" vertical="center" wrapText="1"/>
      <protection locked="0"/>
    </xf>
    <xf numFmtId="165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>
      <alignment horizontal="center" vertical="center" wrapText="1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4" xfId="0" applyNumberFormat="1" applyFont="1" applyFill="1" applyBorder="1" applyAlignment="1">
      <alignment horizontal="center" vertical="center" wrapText="1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>
      <alignment horizontal="center" vertical="center" wrapText="1"/>
    </xf>
    <xf numFmtId="4" fontId="1" fillId="19" borderId="8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4" xfId="0" applyFont="1" applyFill="1" applyBorder="1" applyAlignment="1" applyProtection="1">
      <alignment horizontal="center" vertical="center" wrapText="1"/>
      <protection locked="0"/>
    </xf>
    <xf numFmtId="4" fontId="1" fillId="19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>
      <alignment horizontal="center" vertical="center" wrapText="1"/>
    </xf>
    <xf numFmtId="4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2" xfId="0" applyFont="1" applyFill="1" applyBorder="1" applyAlignment="1" applyProtection="1">
      <alignment horizontal="center" vertical="center" wrapText="1"/>
      <protection locked="0"/>
    </xf>
    <xf numFmtId="1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2" xfId="0" applyNumberFormat="1" applyFont="1" applyFill="1" applyBorder="1" applyAlignment="1">
      <alignment horizontal="center" vertical="center" wrapText="1"/>
    </xf>
    <xf numFmtId="1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2" xfId="0" applyFont="1" applyFill="1" applyBorder="1" applyAlignment="1" applyProtection="1">
      <alignment horizontal="center" vertical="center" wrapText="1"/>
      <protection locked="0"/>
    </xf>
    <xf numFmtId="165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>
      <alignment horizontal="center" vertical="center" wrapText="1"/>
    </xf>
    <xf numFmtId="4" fontId="1" fillId="19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2" xfId="0" applyFont="1" applyFill="1" applyBorder="1" applyAlignment="1" applyProtection="1">
      <alignment horizontal="center" vertical="center" wrapText="1"/>
      <protection locked="0"/>
    </xf>
    <xf numFmtId="165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>
      <alignment horizontal="center" vertical="center" wrapText="1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2" xfId="0" applyFont="1" applyFill="1" applyBorder="1" applyAlignment="1" applyProtection="1">
      <alignment horizontal="center" vertical="center" wrapText="1"/>
      <protection locked="0"/>
    </xf>
    <xf numFmtId="165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>
      <alignment horizontal="center" vertical="center" wrapText="1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07" xfId="0" applyNumberFormat="1" applyFont="1" applyFill="1" applyBorder="1" applyAlignment="1">
      <alignment horizontal="center" vertical="center" wrapText="1"/>
    </xf>
    <xf numFmtId="49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7" xfId="0" applyNumberFormat="1" applyFont="1" applyFill="1" applyBorder="1" applyAlignment="1">
      <alignment horizontal="center" vertical="center" wrapText="1"/>
    </xf>
    <xf numFmtId="167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7" xfId="0" applyFont="1" applyFill="1" applyBorder="1" applyAlignment="1" applyProtection="1">
      <alignment horizontal="center" vertical="center" wrapText="1"/>
      <protection locked="0"/>
    </xf>
    <xf numFmtId="14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07" xfId="0" applyNumberFormat="1" applyFont="1" applyFill="1" applyBorder="1" applyAlignment="1">
      <alignment horizontal="center" vertical="center" wrapText="1"/>
    </xf>
    <xf numFmtId="4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7" xfId="0" applyFont="1" applyFill="1" applyBorder="1" applyAlignment="1" applyProtection="1">
      <alignment horizontal="center" vertical="center" wrapText="1"/>
      <protection locked="0"/>
    </xf>
    <xf numFmtId="165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7" xfId="0" applyNumberFormat="1" applyFont="1" applyFill="1" applyBorder="1" applyAlignment="1">
      <alignment horizontal="center" vertical="center" wrapText="1"/>
    </xf>
    <xf numFmtId="167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6" fillId="17" borderId="3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13" fillId="17" borderId="3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center"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168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>
      <alignment horizontal="center" vertical="center" wrapText="1"/>
    </xf>
    <xf numFmtId="4" fontId="1" fillId="18" borderId="73" xfId="0" applyNumberFormat="1" applyFont="1" applyFill="1" applyBorder="1" applyAlignment="1">
      <alignment horizontal="center" vertical="center" wrapText="1"/>
    </xf>
    <xf numFmtId="4" fontId="1" fillId="18" borderId="74" xfId="0" applyNumberFormat="1" applyFont="1" applyFill="1" applyBorder="1" applyAlignment="1">
      <alignment horizontal="center" vertical="center" wrapText="1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8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26" xfId="0" applyFont="1" applyFill="1" applyBorder="1" applyAlignment="1" applyProtection="1">
      <alignment horizontal="center" vertical="center" wrapText="1"/>
      <protection locked="0"/>
    </xf>
    <xf numFmtId="0" fontId="1" fillId="4" borderId="27" xfId="0" applyFont="1" applyFill="1" applyBorder="1" applyAlignment="1" applyProtection="1">
      <alignment horizontal="center" vertical="center" wrapText="1"/>
      <protection locked="0"/>
    </xf>
    <xf numFmtId="165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>
      <alignment horizontal="center" vertical="center" wrapText="1"/>
    </xf>
    <xf numFmtId="4" fontId="1" fillId="4" borderId="2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5" fillId="4" borderId="26" xfId="0" applyNumberFormat="1" applyFont="1" applyFill="1" applyBorder="1" applyAlignment="1">
      <alignment horizontal="center" vertical="center" wrapText="1"/>
    </xf>
    <xf numFmtId="49" fontId="15" fillId="4" borderId="27" xfId="0" applyNumberFormat="1" applyFont="1" applyFill="1" applyBorder="1" applyAlignment="1">
      <alignment horizontal="center" vertical="center" wrapText="1"/>
    </xf>
    <xf numFmtId="49" fontId="15" fillId="18" borderId="72" xfId="0" applyNumberFormat="1" applyFont="1" applyFill="1" applyBorder="1" applyAlignment="1">
      <alignment horizontal="center" vertical="center" wrapText="1"/>
    </xf>
    <xf numFmtId="49" fontId="15" fillId="18" borderId="73" xfId="0" applyNumberFormat="1" applyFont="1" applyFill="1" applyBorder="1" applyAlignment="1">
      <alignment horizontal="center" vertical="center" wrapText="1"/>
    </xf>
    <xf numFmtId="49" fontId="15" fillId="18" borderId="74" xfId="0" applyNumberFormat="1" applyFont="1" applyFill="1" applyBorder="1" applyAlignment="1">
      <alignment horizontal="center" vertical="center" wrapText="1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8" xfId="0" applyNumberFormat="1" applyFont="1" applyFill="1" applyBorder="1" applyAlignment="1">
      <alignment horizontal="center" vertical="center" wrapText="1"/>
    </xf>
    <xf numFmtId="49" fontId="15" fillId="18" borderId="89" xfId="0" applyNumberFormat="1" applyFont="1" applyFill="1" applyBorder="1" applyAlignment="1">
      <alignment horizontal="center" vertical="center" wrapText="1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8" xfId="0" applyFont="1" applyFill="1" applyBorder="1" applyAlignment="1" applyProtection="1">
      <alignment horizontal="center" vertical="center" wrapText="1"/>
      <protection locked="0"/>
    </xf>
    <xf numFmtId="0" fontId="1" fillId="18" borderId="89" xfId="0" applyFont="1" applyFill="1" applyBorder="1" applyAlignment="1" applyProtection="1">
      <alignment horizontal="center" vertical="center" wrapText="1"/>
      <protection locked="0"/>
    </xf>
    <xf numFmtId="1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>
      <alignment horizontal="center" vertical="center" wrapText="1"/>
    </xf>
    <xf numFmtId="4" fontId="1" fillId="18" borderId="89" xfId="0" applyNumberFormat="1" applyFont="1" applyFill="1" applyBorder="1" applyAlignment="1">
      <alignment horizontal="center" vertical="center" wrapText="1"/>
    </xf>
    <xf numFmtId="49" fontId="15" fillId="18" borderId="105" xfId="0" applyNumberFormat="1" applyFont="1" applyFill="1" applyBorder="1" applyAlignment="1">
      <alignment horizontal="center" vertical="center" wrapText="1"/>
    </xf>
    <xf numFmtId="49" fontId="15" fillId="18" borderId="106" xfId="0" applyNumberFormat="1" applyFont="1" applyFill="1" applyBorder="1" applyAlignment="1">
      <alignment horizontal="center" vertical="center" wrapText="1"/>
    </xf>
    <xf numFmtId="49" fontId="15" fillId="18" borderId="107" xfId="0" applyNumberFormat="1" applyFont="1" applyFill="1" applyBorder="1" applyAlignment="1">
      <alignment horizontal="center" vertical="center" wrapText="1"/>
    </xf>
    <xf numFmtId="14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5" xfId="0" applyFont="1" applyFill="1" applyBorder="1" applyAlignment="1" applyProtection="1">
      <alignment horizontal="center" vertical="center" wrapText="1"/>
      <protection locked="0"/>
    </xf>
    <xf numFmtId="0" fontId="1" fillId="18" borderId="106" xfId="0" applyFont="1" applyFill="1" applyBorder="1" applyAlignment="1" applyProtection="1">
      <alignment horizontal="center" vertical="center" wrapText="1"/>
      <protection locked="0"/>
    </xf>
    <xf numFmtId="0" fontId="1" fillId="18" borderId="107" xfId="0" applyFont="1" applyFill="1" applyBorder="1" applyAlignment="1" applyProtection="1">
      <alignment horizontal="center" vertical="center" wrapText="1"/>
      <protection locked="0"/>
    </xf>
    <xf numFmtId="165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5" xfId="0" applyNumberFormat="1" applyFont="1" applyFill="1" applyBorder="1" applyAlignment="1">
      <alignment horizontal="center" vertical="center" wrapText="1"/>
    </xf>
    <xf numFmtId="4" fontId="1" fillId="18" borderId="106" xfId="0" applyNumberFormat="1" applyFont="1" applyFill="1" applyBorder="1" applyAlignment="1">
      <alignment horizontal="center" vertical="center" wrapText="1"/>
    </xf>
    <xf numFmtId="4" fontId="1" fillId="18" borderId="107" xfId="0" applyNumberFormat="1" applyFont="1" applyFill="1" applyBorder="1" applyAlignment="1">
      <alignment horizontal="center" vertical="center" wrapText="1"/>
    </xf>
    <xf numFmtId="167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3" xfId="0" applyNumberFormat="1" applyFont="1" applyFill="1" applyBorder="1" applyAlignment="1">
      <alignment horizontal="center" vertical="center" wrapText="1"/>
    </xf>
    <xf numFmtId="49" fontId="15" fillId="18" borderId="94" xfId="0" applyNumberFormat="1" applyFont="1" applyFill="1" applyBorder="1" applyAlignment="1">
      <alignment horizontal="center" vertical="center" wrapText="1"/>
    </xf>
    <xf numFmtId="49" fontId="15" fillId="18" borderId="95" xfId="0" applyNumberFormat="1" applyFont="1" applyFill="1" applyBorder="1" applyAlignment="1">
      <alignment horizontal="center" vertical="center" wrapText="1"/>
    </xf>
    <xf numFmtId="1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3" xfId="0" applyFont="1" applyFill="1" applyBorder="1" applyAlignment="1" applyProtection="1">
      <alignment horizontal="center" vertical="center" wrapText="1"/>
      <protection locked="0"/>
    </xf>
    <xf numFmtId="0" fontId="1" fillId="18" borderId="94" xfId="0" applyFont="1" applyFill="1" applyBorder="1" applyAlignment="1" applyProtection="1">
      <alignment horizontal="center" vertical="center" wrapText="1"/>
      <protection locked="0"/>
    </xf>
    <xf numFmtId="0" fontId="1" fillId="18" borderId="95" xfId="0" applyFont="1" applyFill="1" applyBorder="1" applyAlignment="1" applyProtection="1">
      <alignment horizontal="center" vertical="center" wrapText="1"/>
      <protection locked="0"/>
    </xf>
    <xf numFmtId="165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3" xfId="0" applyNumberFormat="1" applyFont="1" applyFill="1" applyBorder="1" applyAlignment="1">
      <alignment horizontal="center" vertical="center" wrapText="1"/>
    </xf>
    <xf numFmtId="4" fontId="1" fillId="18" borderId="94" xfId="0" applyNumberFormat="1" applyFont="1" applyFill="1" applyBorder="1" applyAlignment="1">
      <alignment horizontal="center" vertical="center" wrapText="1"/>
    </xf>
    <xf numFmtId="4" fontId="1" fillId="18" borderId="95" xfId="0" applyNumberFormat="1" applyFont="1" applyFill="1" applyBorder="1" applyAlignment="1">
      <alignment horizontal="center" vertical="center" wrapText="1"/>
    </xf>
    <xf numFmtId="167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2" xfId="0" applyNumberFormat="1" applyFont="1" applyFill="1" applyBorder="1" applyAlignment="1">
      <alignment horizontal="center" vertical="center" wrapText="1"/>
    </xf>
    <xf numFmtId="4" fontId="1" fillId="18" borderId="103" xfId="0" applyNumberFormat="1" applyFont="1" applyFill="1" applyBorder="1" applyAlignment="1">
      <alignment horizontal="center" vertical="center" wrapText="1"/>
    </xf>
    <xf numFmtId="4" fontId="1" fillId="18" borderId="104" xfId="0" applyNumberFormat="1" applyFont="1" applyFill="1" applyBorder="1" applyAlignment="1">
      <alignment horizontal="center" vertical="center" wrapText="1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90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9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0" xfId="0" applyFont="1" applyFill="1" applyBorder="1" applyAlignment="1" applyProtection="1">
      <alignment horizontal="center" vertical="center" wrapText="1"/>
      <protection locked="0"/>
    </xf>
    <xf numFmtId="0" fontId="1" fillId="18" borderId="91" xfId="0" applyFont="1" applyFill="1" applyBorder="1" applyAlignment="1" applyProtection="1">
      <alignment horizontal="center" vertical="center" wrapText="1"/>
      <protection locked="0"/>
    </xf>
    <xf numFmtId="0" fontId="1" fillId="18" borderId="92" xfId="0" applyFont="1" applyFill="1" applyBorder="1" applyAlignment="1" applyProtection="1">
      <alignment horizontal="center" vertical="center" wrapText="1"/>
      <protection locked="0"/>
    </xf>
    <xf numFmtId="1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>
      <alignment horizontal="center" vertical="center" wrapText="1"/>
    </xf>
    <xf numFmtId="4" fontId="1" fillId="18" borderId="91" xfId="0" applyNumberFormat="1" applyFont="1" applyFill="1" applyBorder="1" applyAlignment="1">
      <alignment horizontal="center" vertical="center" wrapText="1"/>
    </xf>
    <xf numFmtId="4" fontId="1" fillId="18" borderId="92" xfId="0" applyNumberFormat="1" applyFont="1" applyFill="1" applyBorder="1" applyAlignment="1">
      <alignment horizontal="center" vertical="center" wrapText="1"/>
    </xf>
    <xf numFmtId="167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90" xfId="0" applyNumberFormat="1" applyFont="1" applyFill="1" applyBorder="1" applyAlignment="1">
      <alignment horizontal="center" vertical="center" wrapText="1"/>
    </xf>
    <xf numFmtId="49" fontId="15" fillId="4" borderId="91" xfId="0" applyNumberFormat="1" applyFont="1" applyFill="1" applyBorder="1" applyAlignment="1">
      <alignment horizontal="center" vertical="center" wrapText="1"/>
    </xf>
    <xf numFmtId="49" fontId="15" fillId="4" borderId="92" xfId="0" applyNumberFormat="1" applyFont="1" applyFill="1" applyBorder="1" applyAlignment="1">
      <alignment horizontal="center" vertical="center" wrapText="1"/>
    </xf>
    <xf numFmtId="4" fontId="1" fillId="4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9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0" xfId="0" applyNumberFormat="1" applyFont="1" applyFill="1" applyBorder="1" applyAlignment="1">
      <alignment horizontal="center" vertical="center" wrapText="1"/>
    </xf>
    <xf numFmtId="49" fontId="15" fillId="18" borderId="81" xfId="0" applyNumberFormat="1" applyFont="1" applyFill="1" applyBorder="1" applyAlignment="1">
      <alignment horizontal="center" vertical="center" wrapText="1"/>
    </xf>
    <xf numFmtId="49" fontId="15" fillId="18" borderId="82" xfId="0" applyNumberFormat="1" applyFont="1" applyFill="1" applyBorder="1" applyAlignment="1">
      <alignment horizontal="center" vertical="center" wrapText="1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>
      <alignment horizontal="center" vertical="center" wrapText="1"/>
    </xf>
    <xf numFmtId="4" fontId="1" fillId="18" borderId="60" xfId="0" applyNumberFormat="1" applyFont="1" applyFill="1" applyBorder="1" applyAlignment="1">
      <alignment horizontal="center" vertical="center" wrapText="1"/>
    </xf>
    <xf numFmtId="4" fontId="1" fillId="18" borderId="61" xfId="0" applyNumberFormat="1" applyFont="1" applyFill="1" applyBorder="1" applyAlignment="1">
      <alignment horizontal="center" vertical="center" wrapText="1"/>
    </xf>
    <xf numFmtId="16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6" xfId="0" applyNumberFormat="1" applyFont="1" applyFill="1" applyBorder="1" applyAlignment="1">
      <alignment horizontal="center" vertical="center" wrapText="1"/>
    </xf>
    <xf numFmtId="49" fontId="15" fillId="18" borderId="97" xfId="0" applyNumberFormat="1" applyFont="1" applyFill="1" applyBorder="1" applyAlignment="1">
      <alignment horizontal="center" vertical="center" wrapText="1"/>
    </xf>
    <xf numFmtId="49" fontId="15" fillId="18" borderId="98" xfId="0" applyNumberFormat="1" applyFont="1" applyFill="1" applyBorder="1" applyAlignment="1">
      <alignment horizontal="center" vertical="center" wrapText="1"/>
    </xf>
    <xf numFmtId="49" fontId="15" fillId="18" borderId="102" xfId="0" applyNumberFormat="1" applyFont="1" applyFill="1" applyBorder="1" applyAlignment="1">
      <alignment horizontal="center" vertical="center" wrapText="1"/>
    </xf>
    <xf numFmtId="49" fontId="15" fillId="18" borderId="103" xfId="0" applyNumberFormat="1" applyFont="1" applyFill="1" applyBorder="1" applyAlignment="1">
      <alignment horizontal="center" vertical="center" wrapText="1"/>
    </xf>
    <xf numFmtId="49" fontId="15" fillId="18" borderId="104" xfId="0" applyNumberFormat="1" applyFont="1" applyFill="1" applyBorder="1" applyAlignment="1">
      <alignment horizontal="center" vertical="center" wrapText="1"/>
    </xf>
    <xf numFmtId="49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6" xfId="0" applyFont="1" applyFill="1" applyBorder="1" applyAlignment="1" applyProtection="1">
      <alignment horizontal="center" vertical="center" wrapText="1"/>
      <protection locked="0"/>
    </xf>
    <xf numFmtId="0" fontId="1" fillId="18" borderId="97" xfId="0" applyFont="1" applyFill="1" applyBorder="1" applyAlignment="1" applyProtection="1">
      <alignment horizontal="center" vertical="center" wrapText="1"/>
      <protection locked="0"/>
    </xf>
    <xf numFmtId="0" fontId="1" fillId="18" borderId="98" xfId="0" applyFont="1" applyFill="1" applyBorder="1" applyAlignment="1" applyProtection="1">
      <alignment horizontal="center" vertical="center" wrapText="1"/>
      <protection locked="0"/>
    </xf>
    <xf numFmtId="49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2" xfId="0" applyFont="1" applyFill="1" applyBorder="1" applyAlignment="1" applyProtection="1">
      <alignment horizontal="center" vertical="center" wrapText="1"/>
      <protection locked="0"/>
    </xf>
    <xf numFmtId="0" fontId="1" fillId="18" borderId="103" xfId="0" applyFont="1" applyFill="1" applyBorder="1" applyAlignment="1" applyProtection="1">
      <alignment horizontal="center" vertical="center" wrapText="1"/>
      <protection locked="0"/>
    </xf>
    <xf numFmtId="0" fontId="1" fillId="18" borderId="104" xfId="0" applyFont="1" applyFill="1" applyBorder="1" applyAlignment="1" applyProtection="1">
      <alignment horizontal="center" vertical="center" wrapText="1"/>
      <protection locked="0"/>
    </xf>
    <xf numFmtId="167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5" xfId="0" applyNumberFormat="1" applyFont="1" applyFill="1" applyBorder="1" applyAlignment="1">
      <alignment horizontal="center" vertical="center" wrapText="1"/>
    </xf>
    <xf numFmtId="49" fontId="15" fillId="18" borderId="76" xfId="0" applyNumberFormat="1" applyFont="1" applyFill="1" applyBorder="1" applyAlignment="1">
      <alignment horizontal="center" vertical="center" wrapText="1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>
      <alignment horizontal="center" vertical="center" wrapText="1"/>
    </xf>
    <xf numFmtId="4" fontId="1" fillId="18" borderId="76" xfId="0" applyNumberFormat="1" applyFont="1" applyFill="1" applyBorder="1" applyAlignment="1">
      <alignment horizontal="center" vertical="center" wrapText="1"/>
    </xf>
    <xf numFmtId="16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16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9" xfId="0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4" fontId="1" fillId="18" borderId="96" xfId="0" applyNumberFormat="1" applyFont="1" applyFill="1" applyBorder="1" applyAlignment="1">
      <alignment horizontal="center" vertical="center" wrapText="1"/>
    </xf>
    <xf numFmtId="4" fontId="1" fillId="18" borderId="97" xfId="0" applyNumberFormat="1" applyFont="1" applyFill="1" applyBorder="1" applyAlignment="1">
      <alignment horizontal="center" vertical="center" wrapText="1"/>
    </xf>
    <xf numFmtId="4" fontId="1" fillId="18" borderId="98" xfId="0" applyNumberFormat="1" applyFont="1" applyFill="1" applyBorder="1" applyAlignment="1">
      <alignment horizontal="center" vertical="center" wrapText="1"/>
    </xf>
    <xf numFmtId="167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0" xfId="0" applyFont="1" applyFill="1" applyBorder="1" applyAlignment="1" applyProtection="1">
      <alignment horizontal="center" vertical="center" wrapText="1"/>
      <protection locked="0"/>
    </xf>
    <xf numFmtId="0" fontId="1" fillId="18" borderId="81" xfId="0" applyFont="1" applyFill="1" applyBorder="1" applyAlignment="1" applyProtection="1">
      <alignment horizontal="center" vertical="center" wrapText="1"/>
      <protection locked="0"/>
    </xf>
    <xf numFmtId="0" fontId="1" fillId="18" borderId="82" xfId="0" applyFont="1" applyFill="1" applyBorder="1" applyAlignment="1" applyProtection="1">
      <alignment horizontal="center" vertical="center" wrapText="1"/>
      <protection locked="0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42" xfId="0" applyNumberFormat="1" applyFont="1" applyFill="1" applyBorder="1" applyAlignment="1">
      <alignment horizontal="center" vertical="center" wrapText="1"/>
    </xf>
    <xf numFmtId="49" fontId="15" fillId="4" borderId="43" xfId="0" applyNumberFormat="1" applyFont="1" applyFill="1" applyBorder="1" applyAlignment="1">
      <alignment horizontal="center" vertical="center" wrapText="1"/>
    </xf>
    <xf numFmtId="49" fontId="15" fillId="4" borderId="44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9" xfId="0" applyNumberFormat="1" applyFont="1" applyFill="1" applyBorder="1" applyAlignment="1">
      <alignment horizontal="center" vertical="center" wrapText="1"/>
    </xf>
    <xf numFmtId="49" fontId="15" fillId="18" borderId="60" xfId="0" applyNumberFormat="1" applyFont="1" applyFill="1" applyBorder="1" applyAlignment="1">
      <alignment horizontal="center" vertical="center" wrapText="1"/>
    </xf>
    <xf numFmtId="49" fontId="15" fillId="18" borderId="61" xfId="0" applyNumberFormat="1" applyFont="1" applyFill="1" applyBorder="1" applyAlignment="1">
      <alignment horizontal="center" vertical="center" wrapText="1"/>
    </xf>
    <xf numFmtId="49" fontId="15" fillId="18" borderId="28" xfId="0" applyNumberFormat="1" applyFont="1" applyFill="1" applyBorder="1" applyAlignment="1">
      <alignment horizontal="center" vertical="center" wrapText="1"/>
    </xf>
    <xf numFmtId="49" fontId="15" fillId="18" borderId="29" xfId="0" applyNumberFormat="1" applyFont="1" applyFill="1" applyBorder="1" applyAlignment="1">
      <alignment horizontal="center" vertical="center" wrapText="1"/>
    </xf>
    <xf numFmtId="49" fontId="15" fillId="18" borderId="30" xfId="0" applyNumberFormat="1" applyFont="1" applyFill="1" applyBorder="1" applyAlignment="1">
      <alignment horizontal="center" vertical="center" wrapText="1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49" fontId="15" fillId="18" borderId="47" xfId="0" applyNumberFormat="1" applyFont="1" applyFill="1" applyBorder="1" applyAlignment="1">
      <alignment horizontal="center" vertical="center" wrapText="1"/>
    </xf>
    <xf numFmtId="49" fontId="15" fillId="18" borderId="53" xfId="0" applyNumberFormat="1" applyFont="1" applyFill="1" applyBorder="1" applyAlignment="1">
      <alignment horizontal="center" vertical="center" wrapText="1"/>
    </xf>
    <xf numFmtId="49" fontId="15" fillId="18" borderId="50" xfId="0" applyNumberFormat="1" applyFont="1" applyFill="1" applyBorder="1" applyAlignment="1">
      <alignment horizontal="center" vertical="center" wrapText="1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54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>
      <alignment horizontal="center" vertical="center" wrapText="1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5" xfId="0" applyNumberFormat="1" applyFont="1" applyFill="1" applyBorder="1" applyAlignment="1">
      <alignment horizontal="center" vertical="center" wrapText="1"/>
    </xf>
    <xf numFmtId="49" fontId="15" fillId="18" borderId="46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4" fontId="1" fillId="18" borderId="46" xfId="0" applyNumberFormat="1" applyFont="1" applyFill="1" applyBorder="1" applyAlignment="1">
      <alignment horizontal="center" vertical="center" wrapText="1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>
      <alignment horizontal="center" vertical="center" wrapText="1"/>
    </xf>
    <xf numFmtId="4" fontId="1" fillId="18" borderId="81" xfId="0" applyNumberFormat="1" applyFont="1" applyFill="1" applyBorder="1" applyAlignment="1">
      <alignment horizontal="center" vertical="center" wrapText="1"/>
    </xf>
    <xf numFmtId="4" fontId="1" fillId="18" borderId="82" xfId="0" applyNumberFormat="1" applyFont="1" applyFill="1" applyBorder="1" applyAlignment="1">
      <alignment horizontal="center" vertical="center" wrapText="1"/>
    </xf>
    <xf numFmtId="0" fontId="1" fillId="18" borderId="99" xfId="0" applyFont="1" applyFill="1" applyBorder="1" applyAlignment="1" applyProtection="1">
      <alignment horizontal="center" vertical="center" wrapText="1"/>
      <protection locked="0"/>
    </xf>
    <xf numFmtId="0" fontId="1" fillId="18" borderId="100" xfId="0" applyFont="1" applyFill="1" applyBorder="1" applyAlignment="1" applyProtection="1">
      <alignment horizontal="center" vertical="center" wrapText="1"/>
      <protection locked="0"/>
    </xf>
    <xf numFmtId="0" fontId="1" fillId="18" borderId="101" xfId="0" applyFont="1" applyFill="1" applyBorder="1" applyAlignment="1" applyProtection="1">
      <alignment horizontal="center" vertical="center" wrapText="1"/>
      <protection locked="0"/>
    </xf>
    <xf numFmtId="49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>
      <alignment horizontal="center" vertical="center" wrapText="1"/>
    </xf>
    <xf numFmtId="4" fontId="1" fillId="18" borderId="100" xfId="0" applyNumberFormat="1" applyFont="1" applyFill="1" applyBorder="1" applyAlignment="1">
      <alignment horizontal="center" vertical="center" wrapText="1"/>
    </xf>
    <xf numFmtId="4" fontId="1" fillId="18" borderId="101" xfId="0" applyNumberFormat="1" applyFont="1" applyFill="1" applyBorder="1" applyAlignment="1">
      <alignment horizontal="center" vertical="center" wrapText="1"/>
    </xf>
    <xf numFmtId="167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9" xfId="0" applyNumberFormat="1" applyFont="1" applyFill="1" applyBorder="1" applyAlignment="1">
      <alignment horizontal="center" vertical="center" wrapText="1"/>
    </xf>
    <xf numFmtId="49" fontId="15" fillId="18" borderId="100" xfId="0" applyNumberFormat="1" applyFont="1" applyFill="1" applyBorder="1" applyAlignment="1">
      <alignment horizontal="center" vertical="center" wrapText="1"/>
    </xf>
    <xf numFmtId="49" fontId="15" fillId="18" borderId="101" xfId="0" applyNumberFormat="1" applyFont="1" applyFill="1" applyBorder="1" applyAlignment="1">
      <alignment horizontal="center" vertical="center" wrapText="1"/>
    </xf>
    <xf numFmtId="16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5" xfId="0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>
      <alignment horizontal="center" vertical="center" wrapText="1"/>
    </xf>
    <xf numFmtId="4" fontId="1" fillId="18" borderId="70" xfId="0" applyNumberFormat="1" applyFont="1" applyFill="1" applyBorder="1" applyAlignment="1">
      <alignment horizontal="center" vertical="center" wrapText="1"/>
    </xf>
    <xf numFmtId="1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63" xfId="0" applyNumberFormat="1" applyFont="1" applyFill="1" applyBorder="1" applyAlignment="1">
      <alignment horizontal="center" vertical="center" wrapText="1"/>
    </xf>
    <xf numFmtId="49" fontId="1" fillId="18" borderId="69" xfId="0" applyNumberFormat="1" applyFont="1" applyFill="1" applyBorder="1" applyAlignment="1">
      <alignment horizontal="center" vertical="center" wrapText="1"/>
    </xf>
    <xf numFmtId="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>
      <alignment horizontal="center" vertical="center" wrapText="1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63" xfId="0" applyNumberFormat="1" applyFont="1" applyFill="1" applyBorder="1" applyAlignment="1">
      <alignment horizontal="center" vertical="center" wrapText="1"/>
    </xf>
    <xf numFmtId="49" fontId="15" fillId="4" borderId="66" xfId="0" applyNumberFormat="1" applyFont="1" applyFill="1" applyBorder="1" applyAlignment="1">
      <alignment horizontal="center" vertical="center" wrapText="1"/>
    </xf>
    <xf numFmtId="49" fontId="15" fillId="4" borderId="69" xfId="0" applyNumberFormat="1" applyFont="1" applyFill="1" applyBorder="1" applyAlignment="1">
      <alignment horizontal="center" vertical="center" wrapText="1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5" xfId="0" applyNumberFormat="1" applyFont="1" applyFill="1" applyBorder="1" applyAlignment="1">
      <alignment horizontal="center" vertical="center" wrapText="1"/>
    </xf>
    <xf numFmtId="49" fontId="15" fillId="18" borderId="87" xfId="0" applyNumberFormat="1" applyFont="1" applyFill="1" applyBorder="1" applyAlignment="1">
      <alignment horizontal="center" vertical="center" wrapText="1"/>
    </xf>
    <xf numFmtId="49" fontId="15" fillId="18" borderId="86" xfId="0" applyNumberFormat="1" applyFont="1" applyFill="1" applyBorder="1" applyAlignment="1">
      <alignment horizontal="center" vertical="center" wrapText="1"/>
    </xf>
    <xf numFmtId="165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5" xfId="0" applyNumberFormat="1" applyFont="1" applyFill="1" applyBorder="1" applyAlignment="1">
      <alignment horizontal="center" vertical="center" wrapText="1"/>
    </xf>
    <xf numFmtId="4" fontId="1" fillId="18" borderId="87" xfId="0" applyNumberFormat="1" applyFont="1" applyFill="1" applyBorder="1" applyAlignment="1">
      <alignment horizontal="center" vertical="center" wrapText="1"/>
    </xf>
    <xf numFmtId="4" fontId="1" fillId="18" borderId="86" xfId="0" applyNumberFormat="1" applyFont="1" applyFill="1" applyBorder="1" applyAlignment="1">
      <alignment horizontal="center" vertical="center" wrapText="1"/>
    </xf>
    <xf numFmtId="49" fontId="17" fillId="4" borderId="85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87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0" fontId="16" fillId="0" borderId="32" xfId="0" applyFont="1" applyBorder="1" applyAlignment="1" applyProtection="1">
      <alignment vertical="center" wrapText="1"/>
      <protection locked="0"/>
    </xf>
    <xf numFmtId="0" fontId="16" fillId="0" borderId="35" xfId="0" applyFont="1" applyBorder="1" applyAlignment="1" applyProtection="1">
      <alignment vertical="center" wrapText="1"/>
      <protection locked="0"/>
    </xf>
    <xf numFmtId="0" fontId="16" fillId="0" borderId="38" xfId="0" applyFont="1" applyBorder="1" applyAlignment="1" applyProtection="1">
      <alignment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10" borderId="13" xfId="1" applyFont="1" applyFill="1" applyBorder="1" applyAlignment="1">
      <alignment horizontal="center" vertical="center" wrapText="1"/>
    </xf>
    <xf numFmtId="0" fontId="10" fillId="10" borderId="2" xfId="1" applyFont="1" applyFill="1" applyBorder="1" applyAlignment="1">
      <alignment horizontal="center" vertical="center" wrapText="1"/>
    </xf>
    <xf numFmtId="0" fontId="10" fillId="8" borderId="13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10" fillId="9" borderId="13" xfId="1" applyFont="1" applyFill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center" vertical="center" wrapText="1"/>
    </xf>
    <xf numFmtId="0" fontId="10" fillId="7" borderId="13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8FFF8F"/>
      <color rgb="FF00FF00"/>
      <color rgb="FFFF9999"/>
      <color rgb="FFA30101"/>
      <color rgb="FFFF6D6D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330776</xdr:colOff>
      <xdr:row>3</xdr:row>
      <xdr:rowOff>6924</xdr:rowOff>
    </xdr:from>
    <xdr:to>
      <xdr:col>13</xdr:col>
      <xdr:colOff>1061576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175778</xdr:colOff>
      <xdr:row>3</xdr:row>
      <xdr:rowOff>0</xdr:rowOff>
    </xdr:from>
    <xdr:to>
      <xdr:col>8</xdr:col>
      <xdr:colOff>1401878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2327562</xdr:colOff>
      <xdr:row>3</xdr:row>
      <xdr:rowOff>0</xdr:rowOff>
    </xdr:from>
    <xdr:to>
      <xdr:col>18</xdr:col>
      <xdr:colOff>600912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179790</xdr:colOff>
      <xdr:row>3</xdr:row>
      <xdr:rowOff>0</xdr:rowOff>
    </xdr:from>
    <xdr:to>
      <xdr:col>7</xdr:col>
      <xdr:colOff>110490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167640</xdr:colOff>
      <xdr:row>3</xdr:row>
      <xdr:rowOff>0</xdr:rowOff>
    </xdr:from>
    <xdr:to>
      <xdr:col>19</xdr:col>
      <xdr:colOff>726990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174566</xdr:colOff>
      <xdr:row>3</xdr:row>
      <xdr:rowOff>0</xdr:rowOff>
    </xdr:from>
    <xdr:to>
      <xdr:col>13</xdr:col>
      <xdr:colOff>848216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zoomScale="70" zoomScaleNormal="70" workbookViewId="0">
      <selection activeCell="M8" sqref="M8:N8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73.5" customHeight="1" thickBot="1" x14ac:dyDescent="0.3">
      <c r="A1" s="742" t="s">
        <v>141</v>
      </c>
      <c r="B1" s="743"/>
      <c r="C1" s="743"/>
      <c r="D1" s="743"/>
      <c r="E1" s="744" t="s">
        <v>145</v>
      </c>
      <c r="F1" s="745"/>
      <c r="G1" s="745"/>
      <c r="H1" s="745"/>
      <c r="I1" s="745"/>
      <c r="J1" s="745"/>
      <c r="K1" s="745"/>
      <c r="L1" s="745"/>
      <c r="M1" s="745"/>
      <c r="N1" s="746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718" t="s">
        <v>25</v>
      </c>
      <c r="B4" s="719"/>
      <c r="C4" s="4">
        <v>7448431.04</v>
      </c>
      <c r="D4" s="5"/>
      <c r="E4" s="720" t="s">
        <v>140</v>
      </c>
      <c r="F4" s="721"/>
      <c r="G4" s="722"/>
      <c r="H4" s="723">
        <v>1818249.5</v>
      </c>
      <c r="I4" s="724"/>
      <c r="J4" s="725"/>
      <c r="K4" s="17"/>
      <c r="L4" s="76" t="s">
        <v>55</v>
      </c>
      <c r="M4" s="720">
        <v>2815900.26</v>
      </c>
      <c r="N4" s="722"/>
    </row>
    <row r="5" spans="1:14" ht="30.75" customHeight="1" thickBot="1" x14ac:dyDescent="0.3">
      <c r="A5" s="718" t="s">
        <v>26</v>
      </c>
      <c r="B5" s="719"/>
      <c r="C5" s="6">
        <f>C4-G15+J15</f>
        <v>3039824.1499999994</v>
      </c>
      <c r="D5" s="5"/>
      <c r="E5" s="720" t="s">
        <v>53</v>
      </c>
      <c r="F5" s="721"/>
      <c r="G5" s="722"/>
      <c r="H5" s="710">
        <f>H4-G12</f>
        <v>1113421.3999999999</v>
      </c>
      <c r="I5" s="711"/>
      <c r="J5" s="712"/>
      <c r="K5" s="17"/>
      <c r="L5" s="76" t="s">
        <v>54</v>
      </c>
      <c r="M5" s="713">
        <f>M4-G13</f>
        <v>946684.65999999945</v>
      </c>
      <c r="N5" s="714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726" t="s">
        <v>27</v>
      </c>
      <c r="B8" s="727"/>
      <c r="C8" s="728"/>
      <c r="D8" s="726" t="s">
        <v>28</v>
      </c>
      <c r="E8" s="727"/>
      <c r="F8" s="728"/>
      <c r="G8" s="729" t="s">
        <v>29</v>
      </c>
      <c r="H8" s="730"/>
      <c r="I8" s="731"/>
      <c r="J8" s="729" t="s">
        <v>142</v>
      </c>
      <c r="K8" s="730"/>
      <c r="L8" s="731"/>
      <c r="M8" s="726" t="s">
        <v>30</v>
      </c>
      <c r="N8" s="728"/>
    </row>
    <row r="9" spans="1:14" ht="41.25" customHeight="1" thickBot="1" x14ac:dyDescent="0.3">
      <c r="A9" s="732" t="s">
        <v>31</v>
      </c>
      <c r="B9" s="733"/>
      <c r="C9" s="734"/>
      <c r="D9" s="735">
        <f>'Состоявшиеся аукционы'!G2</f>
        <v>1548849.06</v>
      </c>
      <c r="E9" s="735"/>
      <c r="F9" s="735"/>
      <c r="G9" s="735">
        <f>'Состоявшиеся аукционы'!Q2</f>
        <v>1071537.3400000001</v>
      </c>
      <c r="H9" s="735"/>
      <c r="I9" s="735"/>
      <c r="J9" s="715">
        <f>'Состоявшиеся аукционы'!AB2</f>
        <v>0</v>
      </c>
      <c r="K9" s="717"/>
      <c r="L9" s="716"/>
      <c r="M9" s="735">
        <f t="shared" ref="M9:M15" si="0">D9-G9</f>
        <v>477311.72</v>
      </c>
      <c r="N9" s="735"/>
    </row>
    <row r="10" spans="1:14" ht="78.75" customHeight="1" thickBot="1" x14ac:dyDescent="0.3">
      <c r="A10" s="732" t="s">
        <v>49</v>
      </c>
      <c r="B10" s="733"/>
      <c r="C10" s="734"/>
      <c r="D10" s="735">
        <f>'Несостоявшиеся аукционы'!G2</f>
        <v>359413.18</v>
      </c>
      <c r="E10" s="735"/>
      <c r="F10" s="735"/>
      <c r="G10" s="735">
        <f>'Несостоявшиеся аукционы'!Q2</f>
        <v>359413.18</v>
      </c>
      <c r="H10" s="735"/>
      <c r="I10" s="735"/>
      <c r="J10" s="715">
        <f>'Несостоявшиеся аукционы'!AB2</f>
        <v>5353.48</v>
      </c>
      <c r="K10" s="717"/>
      <c r="L10" s="716"/>
      <c r="M10" s="735">
        <f t="shared" si="0"/>
        <v>0</v>
      </c>
      <c r="N10" s="735"/>
    </row>
    <row r="11" spans="1:14" ht="40.5" customHeight="1" thickBot="1" x14ac:dyDescent="0.3">
      <c r="A11" s="732" t="s">
        <v>83</v>
      </c>
      <c r="B11" s="733"/>
      <c r="C11" s="734"/>
      <c r="D11" s="715">
        <f>'Иные конкурентные закупки'!G2</f>
        <v>0</v>
      </c>
      <c r="E11" s="717"/>
      <c r="F11" s="716"/>
      <c r="G11" s="715">
        <f>'Иные конкурентные закупки'!Q2</f>
        <v>0</v>
      </c>
      <c r="H11" s="717"/>
      <c r="I11" s="716"/>
      <c r="J11" s="715">
        <f>'Иные конкурентные закупки'!AB2</f>
        <v>0</v>
      </c>
      <c r="K11" s="717"/>
      <c r="L11" s="716"/>
      <c r="M11" s="715">
        <f t="shared" si="0"/>
        <v>0</v>
      </c>
      <c r="N11" s="716"/>
    </row>
    <row r="12" spans="1:14" ht="54.75" customHeight="1" thickBot="1" x14ac:dyDescent="0.3">
      <c r="A12" s="739" t="s">
        <v>50</v>
      </c>
      <c r="B12" s="740"/>
      <c r="C12" s="741"/>
      <c r="D12" s="735">
        <f>'Ед. поставщик п.4 ч.1'!H2</f>
        <v>704828.10000000009</v>
      </c>
      <c r="E12" s="735"/>
      <c r="F12" s="735"/>
      <c r="G12" s="735">
        <f>D12</f>
        <v>704828.10000000009</v>
      </c>
      <c r="H12" s="735"/>
      <c r="I12" s="735"/>
      <c r="J12" s="715">
        <f>'Ед. поставщик п.4 ч.1'!V2</f>
        <v>117108.41</v>
      </c>
      <c r="K12" s="717"/>
      <c r="L12" s="716"/>
      <c r="M12" s="735">
        <f t="shared" si="0"/>
        <v>0</v>
      </c>
      <c r="N12" s="735"/>
    </row>
    <row r="13" spans="1:14" ht="45.75" customHeight="1" thickBot="1" x14ac:dyDescent="0.3">
      <c r="A13" s="739" t="s">
        <v>51</v>
      </c>
      <c r="B13" s="740"/>
      <c r="C13" s="741"/>
      <c r="D13" s="735">
        <f>'Ед. поставщик п.5 ч.1'!H2</f>
        <v>1869215.6000000003</v>
      </c>
      <c r="E13" s="735"/>
      <c r="F13" s="735"/>
      <c r="G13" s="735">
        <f>D13</f>
        <v>1869215.6000000003</v>
      </c>
      <c r="H13" s="735"/>
      <c r="I13" s="735"/>
      <c r="J13" s="715">
        <f>'Ед. поставщик п.5 ч.1'!V2</f>
        <v>61869.939999999995</v>
      </c>
      <c r="K13" s="717"/>
      <c r="L13" s="716"/>
      <c r="M13" s="735">
        <f t="shared" si="0"/>
        <v>0</v>
      </c>
      <c r="N13" s="735"/>
    </row>
    <row r="14" spans="1:14" ht="45.75" customHeight="1" thickBot="1" x14ac:dyDescent="0.3">
      <c r="A14" s="759" t="s">
        <v>52</v>
      </c>
      <c r="B14" s="760"/>
      <c r="C14" s="761"/>
      <c r="D14" s="715">
        <f>'Ед.поставщик за искл. п.4,5 ч.1'!G2</f>
        <v>587944.5</v>
      </c>
      <c r="E14" s="717"/>
      <c r="F14" s="716"/>
      <c r="G14" s="715">
        <f>D14</f>
        <v>587944.5</v>
      </c>
      <c r="H14" s="717"/>
      <c r="I14" s="716"/>
      <c r="J14" s="715">
        <f>'Ед.поставщик за искл. п.4,5 ч.1'!T2</f>
        <v>0</v>
      </c>
      <c r="K14" s="717"/>
      <c r="L14" s="716"/>
      <c r="M14" s="735">
        <f t="shared" si="0"/>
        <v>0</v>
      </c>
      <c r="N14" s="735"/>
    </row>
    <row r="15" spans="1:14" ht="21" thickBot="1" x14ac:dyDescent="0.3">
      <c r="A15" s="736" t="s">
        <v>146</v>
      </c>
      <c r="B15" s="737"/>
      <c r="C15" s="738"/>
      <c r="D15" s="735">
        <f>SUM(D9:D14)</f>
        <v>5070250.4400000004</v>
      </c>
      <c r="E15" s="735"/>
      <c r="F15" s="735"/>
      <c r="G15" s="715">
        <f>SUM(G9:G14)</f>
        <v>4592938.7200000007</v>
      </c>
      <c r="H15" s="717"/>
      <c r="I15" s="716"/>
      <c r="J15" s="715">
        <f>SUM(J9:J14)</f>
        <v>184331.83</v>
      </c>
      <c r="K15" s="717"/>
      <c r="L15" s="716"/>
      <c r="M15" s="735">
        <f t="shared" si="0"/>
        <v>477311.71999999974</v>
      </c>
      <c r="N15" s="735"/>
    </row>
    <row r="18" spans="1:12" ht="15.75" thickBot="1" x14ac:dyDescent="0.3"/>
    <row r="19" spans="1:12" ht="23.25" customHeight="1" x14ac:dyDescent="0.25">
      <c r="A19" s="747" t="s">
        <v>35</v>
      </c>
      <c r="B19" s="748"/>
      <c r="C19" s="749"/>
      <c r="D19" s="753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3663298.9239999996</v>
      </c>
      <c r="E19" s="754"/>
      <c r="F19" s="754"/>
      <c r="G19" s="755"/>
      <c r="I19" s="15"/>
      <c r="J19" s="15"/>
      <c r="K19" s="15"/>
      <c r="L19" s="15"/>
    </row>
    <row r="20" spans="1:12" ht="24" customHeight="1" thickBot="1" x14ac:dyDescent="0.3">
      <c r="A20" s="750"/>
      <c r="B20" s="751"/>
      <c r="C20" s="752"/>
      <c r="D20" s="756"/>
      <c r="E20" s="757"/>
      <c r="F20" s="757"/>
      <c r="G20" s="758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45"/>
  <sheetViews>
    <sheetView showGridLines="0" topLeftCell="D1" zoomScale="50" zoomScaleNormal="50" workbookViewId="0">
      <pane ySplit="8" topLeftCell="A39" activePane="bottomLeft" state="frozen"/>
      <selection activeCell="I1" sqref="I1"/>
      <selection pane="bottomLeft" activeCell="N38" sqref="N38"/>
    </sheetView>
  </sheetViews>
  <sheetFormatPr defaultColWidth="0" defaultRowHeight="18.75" x14ac:dyDescent="0.25"/>
  <cols>
    <col min="1" max="1" width="9.140625" style="8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8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93"/>
      <c r="B2" s="65"/>
      <c r="C2" s="65"/>
      <c r="D2" s="65"/>
      <c r="E2" s="65"/>
      <c r="F2" s="10"/>
      <c r="G2" s="78" t="s">
        <v>24</v>
      </c>
      <c r="H2" s="75">
        <f>SUM(H9:H9999)</f>
        <v>704828.10000000009</v>
      </c>
      <c r="K2" s="788"/>
      <c r="L2" s="788"/>
      <c r="M2" s="788"/>
      <c r="N2" s="789" t="s">
        <v>137</v>
      </c>
      <c r="O2" s="791"/>
      <c r="P2" s="66">
        <f>SUM(P9:P9999)</f>
        <v>505045.52999999997</v>
      </c>
      <c r="R2" s="65"/>
      <c r="S2" s="789" t="s">
        <v>45</v>
      </c>
      <c r="T2" s="790"/>
      <c r="U2" s="791"/>
      <c r="V2" s="67">
        <f>SUM(V9:V9999)</f>
        <v>117108.41</v>
      </c>
    </row>
    <row r="3" spans="1:24" x14ac:dyDescent="0.25">
      <c r="A3" s="788"/>
      <c r="B3" s="788"/>
      <c r="C3" s="788"/>
      <c r="D3" s="788"/>
      <c r="E3" s="788"/>
      <c r="N3" s="65"/>
    </row>
    <row r="4" spans="1:24" ht="39.950000000000003" customHeight="1" x14ac:dyDescent="0.25">
      <c r="J4" s="792"/>
      <c r="K4" s="792"/>
      <c r="M4" s="792"/>
      <c r="N4" s="792"/>
      <c r="O4" s="792"/>
      <c r="P4" s="792"/>
    </row>
    <row r="6" spans="1:24" ht="159" customHeight="1" x14ac:dyDescent="0.25">
      <c r="A6" s="94" t="s">
        <v>8</v>
      </c>
      <c r="B6" s="50" t="s">
        <v>47</v>
      </c>
      <c r="C6" s="50" t="s">
        <v>144</v>
      </c>
      <c r="D6" s="50" t="s">
        <v>10</v>
      </c>
      <c r="E6" s="49" t="s">
        <v>1</v>
      </c>
      <c r="F6" s="50" t="s">
        <v>2</v>
      </c>
      <c r="G6" s="50" t="s">
        <v>3</v>
      </c>
      <c r="H6" s="52" t="s">
        <v>4</v>
      </c>
      <c r="I6" s="52" t="s">
        <v>22</v>
      </c>
      <c r="J6" s="50" t="s">
        <v>46</v>
      </c>
      <c r="K6" s="50" t="s">
        <v>5</v>
      </c>
      <c r="L6" s="50" t="s">
        <v>82</v>
      </c>
      <c r="M6" s="50" t="s">
        <v>44</v>
      </c>
      <c r="N6" s="49" t="s">
        <v>7</v>
      </c>
      <c r="O6" s="50" t="s">
        <v>6</v>
      </c>
      <c r="P6" s="51" t="s">
        <v>23</v>
      </c>
      <c r="Q6" s="49" t="s">
        <v>9</v>
      </c>
      <c r="R6" s="48" t="s">
        <v>40</v>
      </c>
      <c r="S6" s="48" t="s">
        <v>103</v>
      </c>
      <c r="T6" s="48" t="s">
        <v>104</v>
      </c>
      <c r="U6" s="49" t="s">
        <v>41</v>
      </c>
      <c r="V6" s="51" t="s">
        <v>105</v>
      </c>
      <c r="W6" s="98" t="s">
        <v>42</v>
      </c>
    </row>
    <row r="7" spans="1:24" x14ac:dyDescent="0.25">
      <c r="A7" s="81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99" t="s">
        <v>131</v>
      </c>
    </row>
    <row r="8" spans="1:24" s="14" customFormat="1" ht="114" hidden="1" customHeight="1" x14ac:dyDescent="0.25">
      <c r="A8" s="95">
        <v>1</v>
      </c>
      <c r="B8" s="53" t="s">
        <v>56</v>
      </c>
      <c r="C8" s="53"/>
      <c r="D8" s="53" t="s">
        <v>58</v>
      </c>
      <c r="E8" s="54" t="s">
        <v>57</v>
      </c>
      <c r="F8" s="54" t="s">
        <v>107</v>
      </c>
      <c r="G8" s="53" t="s">
        <v>59</v>
      </c>
      <c r="H8" s="58">
        <v>20000</v>
      </c>
      <c r="I8" s="58">
        <f>H8-P8</f>
        <v>0</v>
      </c>
      <c r="J8" s="53" t="s">
        <v>60</v>
      </c>
      <c r="K8" s="53" t="s">
        <v>61</v>
      </c>
      <c r="L8" s="53"/>
      <c r="M8" s="53" t="s">
        <v>62</v>
      </c>
      <c r="N8" s="54">
        <v>43840</v>
      </c>
      <c r="O8" s="53" t="s">
        <v>143</v>
      </c>
      <c r="P8" s="79">
        <v>20000</v>
      </c>
      <c r="Q8" s="54">
        <v>43840</v>
      </c>
      <c r="R8" s="53"/>
      <c r="S8" s="58"/>
      <c r="T8" s="58"/>
      <c r="U8" s="54"/>
      <c r="V8" s="58"/>
      <c r="W8" s="100" t="s">
        <v>64</v>
      </c>
    </row>
    <row r="9" spans="1:24" s="14" customFormat="1" ht="90" customHeight="1" x14ac:dyDescent="0.25">
      <c r="A9" s="793">
        <v>1</v>
      </c>
      <c r="B9" s="776" t="s">
        <v>56</v>
      </c>
      <c r="C9" s="776" t="s">
        <v>147</v>
      </c>
      <c r="D9" s="776" t="s">
        <v>158</v>
      </c>
      <c r="E9" s="780" t="s">
        <v>190</v>
      </c>
      <c r="F9" s="782">
        <v>45288</v>
      </c>
      <c r="G9" s="776" t="s">
        <v>215</v>
      </c>
      <c r="H9" s="784">
        <v>70000</v>
      </c>
      <c r="I9" s="786">
        <f>IF(X9 = 2, H9 + SUM(S9:S10) - SUM(T9:T10) - SUM(P9:P10) - V9,0)</f>
        <v>0</v>
      </c>
      <c r="J9" s="776" t="s">
        <v>193</v>
      </c>
      <c r="K9" s="776" t="s">
        <v>191</v>
      </c>
      <c r="L9" s="776" t="s">
        <v>147</v>
      </c>
      <c r="M9" s="776" t="s">
        <v>192</v>
      </c>
      <c r="N9" s="167">
        <v>45322</v>
      </c>
      <c r="O9" s="782" t="s">
        <v>214</v>
      </c>
      <c r="P9" s="160">
        <v>21567</v>
      </c>
      <c r="Q9" s="161">
        <v>45328</v>
      </c>
      <c r="R9" s="162"/>
      <c r="S9" s="163"/>
      <c r="T9" s="163"/>
      <c r="U9" s="784" t="s">
        <v>322</v>
      </c>
      <c r="V9" s="774">
        <v>16082.5</v>
      </c>
      <c r="W9" s="778"/>
      <c r="X9" s="14">
        <v>2</v>
      </c>
    </row>
    <row r="10" spans="1:24" s="110" customFormat="1" x14ac:dyDescent="0.25">
      <c r="A10" s="794"/>
      <c r="B10" s="777"/>
      <c r="C10" s="777"/>
      <c r="D10" s="777"/>
      <c r="E10" s="781"/>
      <c r="F10" s="783"/>
      <c r="G10" s="777"/>
      <c r="H10" s="785"/>
      <c r="I10" s="787"/>
      <c r="J10" s="777"/>
      <c r="K10" s="777"/>
      <c r="L10" s="777"/>
      <c r="M10" s="777"/>
      <c r="N10" s="168">
        <v>45351</v>
      </c>
      <c r="O10" s="783"/>
      <c r="P10" s="193">
        <v>32350.5</v>
      </c>
      <c r="Q10" s="165">
        <v>45362</v>
      </c>
      <c r="R10" s="166"/>
      <c r="S10" s="164"/>
      <c r="T10" s="164"/>
      <c r="U10" s="785"/>
      <c r="V10" s="775"/>
      <c r="W10" s="779"/>
      <c r="X10" s="110">
        <v>2</v>
      </c>
    </row>
    <row r="11" spans="1:24" s="80" customFormat="1" ht="90" customHeight="1" x14ac:dyDescent="0.25">
      <c r="A11" s="200">
        <v>2</v>
      </c>
      <c r="B11" s="196" t="s">
        <v>56</v>
      </c>
      <c r="C11" s="196" t="s">
        <v>147</v>
      </c>
      <c r="D11" s="196" t="s">
        <v>158</v>
      </c>
      <c r="E11" s="228">
        <v>1</v>
      </c>
      <c r="F11" s="202">
        <v>45383</v>
      </c>
      <c r="G11" s="196" t="s">
        <v>238</v>
      </c>
      <c r="H11" s="198">
        <v>15000</v>
      </c>
      <c r="I11" s="195">
        <f>IF(X11 = 72, H11 + SUM(S11:S11) - SUM(T11:T11) - SUM(P11:P11) - V11,0)</f>
        <v>11500</v>
      </c>
      <c r="J11" s="196" t="s">
        <v>237</v>
      </c>
      <c r="K11" s="196" t="s">
        <v>236</v>
      </c>
      <c r="L11" s="196" t="s">
        <v>147</v>
      </c>
      <c r="M11" s="196" t="s">
        <v>239</v>
      </c>
      <c r="N11" s="202">
        <v>45383</v>
      </c>
      <c r="O11" s="202" t="s">
        <v>240</v>
      </c>
      <c r="P11" s="238">
        <v>3500</v>
      </c>
      <c r="Q11" s="197">
        <v>45385</v>
      </c>
      <c r="R11" s="196"/>
      <c r="S11" s="198"/>
      <c r="T11" s="198"/>
      <c r="U11" s="198"/>
      <c r="V11" s="201"/>
      <c r="W11" s="199"/>
      <c r="X11" s="80">
        <v>72</v>
      </c>
    </row>
    <row r="12" spans="1:24" s="80" customFormat="1" ht="93.75" x14ac:dyDescent="0.25">
      <c r="A12" s="208">
        <v>3</v>
      </c>
      <c r="B12" s="204" t="s">
        <v>56</v>
      </c>
      <c r="C12" s="204" t="s">
        <v>147</v>
      </c>
      <c r="D12" s="211" t="s">
        <v>158</v>
      </c>
      <c r="E12" s="228">
        <v>25</v>
      </c>
      <c r="F12" s="209">
        <v>45392</v>
      </c>
      <c r="G12" s="204" t="s">
        <v>269</v>
      </c>
      <c r="H12" s="206">
        <v>1585</v>
      </c>
      <c r="I12" s="203">
        <f>IF(X12 = 73, H12 + SUM(S12:S12) - SUM(T12:T12) - SUM(P12:P12) - V12,0)</f>
        <v>0</v>
      </c>
      <c r="J12" s="204" t="s">
        <v>241</v>
      </c>
      <c r="K12" s="204" t="s">
        <v>242</v>
      </c>
      <c r="L12" s="204" t="s">
        <v>147</v>
      </c>
      <c r="M12" s="204" t="s">
        <v>243</v>
      </c>
      <c r="N12" s="209">
        <v>45407</v>
      </c>
      <c r="O12" s="210" t="s">
        <v>214</v>
      </c>
      <c r="P12" s="238">
        <v>1585</v>
      </c>
      <c r="Q12" s="205">
        <v>45407</v>
      </c>
      <c r="R12" s="204"/>
      <c r="S12" s="206"/>
      <c r="T12" s="206"/>
      <c r="U12" s="206"/>
      <c r="V12" s="201"/>
      <c r="W12" s="207"/>
      <c r="X12" s="80">
        <v>73</v>
      </c>
    </row>
    <row r="13" spans="1:24" s="80" customFormat="1" ht="90" customHeight="1" x14ac:dyDescent="0.25">
      <c r="A13" s="795">
        <v>4</v>
      </c>
      <c r="B13" s="771" t="s">
        <v>56</v>
      </c>
      <c r="C13" s="771" t="s">
        <v>147</v>
      </c>
      <c r="D13" s="771" t="s">
        <v>158</v>
      </c>
      <c r="E13" s="804" t="s">
        <v>249</v>
      </c>
      <c r="F13" s="798">
        <v>45351</v>
      </c>
      <c r="G13" s="771" t="s">
        <v>215</v>
      </c>
      <c r="H13" s="801">
        <v>183649.91</v>
      </c>
      <c r="I13" s="768">
        <f>IF(X13 = 74, H13 + SUM(S13:S16) - SUM(T13:T16) - SUM(P13:P16) - V13,0)</f>
        <v>0</v>
      </c>
      <c r="J13" s="771" t="s">
        <v>193</v>
      </c>
      <c r="K13" s="771" t="s">
        <v>191</v>
      </c>
      <c r="L13" s="771" t="s">
        <v>147</v>
      </c>
      <c r="M13" s="771" t="s">
        <v>250</v>
      </c>
      <c r="N13" s="395">
        <v>45382</v>
      </c>
      <c r="O13" s="798" t="s">
        <v>214</v>
      </c>
      <c r="P13" s="384">
        <v>22594</v>
      </c>
      <c r="Q13" s="385">
        <v>45390</v>
      </c>
      <c r="R13" s="386"/>
      <c r="S13" s="387"/>
      <c r="T13" s="387"/>
      <c r="U13" s="801" t="s">
        <v>335</v>
      </c>
      <c r="V13" s="762">
        <v>101025.91</v>
      </c>
      <c r="W13" s="765"/>
      <c r="X13" s="80">
        <v>74</v>
      </c>
    </row>
    <row r="14" spans="1:24" s="110" customFormat="1" x14ac:dyDescent="0.25">
      <c r="A14" s="796"/>
      <c r="B14" s="772"/>
      <c r="C14" s="772"/>
      <c r="D14" s="772"/>
      <c r="E14" s="805"/>
      <c r="F14" s="799"/>
      <c r="G14" s="772"/>
      <c r="H14" s="802"/>
      <c r="I14" s="769"/>
      <c r="J14" s="772"/>
      <c r="K14" s="772"/>
      <c r="L14" s="772"/>
      <c r="M14" s="772"/>
      <c r="N14" s="396">
        <v>45412</v>
      </c>
      <c r="O14" s="799"/>
      <c r="P14" s="388">
        <v>27775</v>
      </c>
      <c r="Q14" s="389">
        <v>45419</v>
      </c>
      <c r="R14" s="390"/>
      <c r="S14" s="391"/>
      <c r="T14" s="391"/>
      <c r="U14" s="802"/>
      <c r="V14" s="763"/>
      <c r="W14" s="766"/>
      <c r="X14" s="110">
        <v>74</v>
      </c>
    </row>
    <row r="15" spans="1:24" s="110" customFormat="1" x14ac:dyDescent="0.25">
      <c r="A15" s="796"/>
      <c r="B15" s="772"/>
      <c r="C15" s="772"/>
      <c r="D15" s="772"/>
      <c r="E15" s="805"/>
      <c r="F15" s="799"/>
      <c r="G15" s="772"/>
      <c r="H15" s="802"/>
      <c r="I15" s="769"/>
      <c r="J15" s="772"/>
      <c r="K15" s="772"/>
      <c r="L15" s="772"/>
      <c r="M15" s="772"/>
      <c r="N15" s="396">
        <v>45443</v>
      </c>
      <c r="O15" s="799"/>
      <c r="P15" s="388">
        <v>20150.5</v>
      </c>
      <c r="Q15" s="389">
        <v>45450</v>
      </c>
      <c r="R15" s="390"/>
      <c r="S15" s="391"/>
      <c r="T15" s="391"/>
      <c r="U15" s="802"/>
      <c r="V15" s="763"/>
      <c r="W15" s="766"/>
      <c r="X15" s="110">
        <v>74</v>
      </c>
    </row>
    <row r="16" spans="1:24" s="110" customFormat="1" x14ac:dyDescent="0.25">
      <c r="A16" s="797"/>
      <c r="B16" s="773"/>
      <c r="C16" s="773"/>
      <c r="D16" s="773"/>
      <c r="E16" s="806"/>
      <c r="F16" s="800"/>
      <c r="G16" s="773"/>
      <c r="H16" s="803"/>
      <c r="I16" s="770"/>
      <c r="J16" s="773"/>
      <c r="K16" s="773"/>
      <c r="L16" s="773"/>
      <c r="M16" s="773"/>
      <c r="N16" s="397">
        <v>45473</v>
      </c>
      <c r="O16" s="800"/>
      <c r="P16" s="501">
        <v>12104.5</v>
      </c>
      <c r="Q16" s="393">
        <v>45481</v>
      </c>
      <c r="R16" s="394"/>
      <c r="S16" s="392"/>
      <c r="T16" s="392"/>
      <c r="U16" s="803"/>
      <c r="V16" s="764"/>
      <c r="W16" s="767"/>
      <c r="X16" s="110">
        <v>74</v>
      </c>
    </row>
    <row r="17" spans="1:24" s="80" customFormat="1" ht="75" x14ac:dyDescent="0.25">
      <c r="A17" s="213">
        <v>5</v>
      </c>
      <c r="B17" s="212" t="s">
        <v>56</v>
      </c>
      <c r="C17" s="215" t="s">
        <v>147</v>
      </c>
      <c r="D17" s="212" t="s">
        <v>158</v>
      </c>
      <c r="E17" s="229">
        <v>1021</v>
      </c>
      <c r="F17" s="227">
        <v>45400</v>
      </c>
      <c r="G17" s="215" t="s">
        <v>251</v>
      </c>
      <c r="H17" s="214">
        <v>3000</v>
      </c>
      <c r="I17" s="218">
        <f>IF(X17 = 75, H17 + SUM(S17:S17) - SUM(T17:T17) - SUM(P17:P17) - V17,0)</f>
        <v>0</v>
      </c>
      <c r="J17" s="215" t="s">
        <v>252</v>
      </c>
      <c r="K17" s="215" t="s">
        <v>253</v>
      </c>
      <c r="L17" s="215" t="s">
        <v>147</v>
      </c>
      <c r="M17" s="215" t="s">
        <v>256</v>
      </c>
      <c r="N17" s="227">
        <v>45400</v>
      </c>
      <c r="O17" s="227" t="s">
        <v>268</v>
      </c>
      <c r="P17" s="239">
        <v>3000</v>
      </c>
      <c r="Q17" s="217">
        <v>45406</v>
      </c>
      <c r="R17" s="215"/>
      <c r="S17" s="214"/>
      <c r="T17" s="214"/>
      <c r="U17" s="214"/>
      <c r="V17" s="226"/>
      <c r="W17" s="216"/>
      <c r="X17" s="80">
        <v>75</v>
      </c>
    </row>
    <row r="18" spans="1:24" s="80" customFormat="1" ht="75" x14ac:dyDescent="0.25">
      <c r="A18" s="225">
        <v>6</v>
      </c>
      <c r="B18" s="223" t="s">
        <v>56</v>
      </c>
      <c r="C18" s="222" t="s">
        <v>147</v>
      </c>
      <c r="D18" s="223" t="s">
        <v>158</v>
      </c>
      <c r="E18" s="229">
        <v>102</v>
      </c>
      <c r="F18" s="230">
        <v>45399</v>
      </c>
      <c r="G18" s="222" t="s">
        <v>254</v>
      </c>
      <c r="H18" s="220">
        <v>4500</v>
      </c>
      <c r="I18" s="221">
        <f>IF(X18 = 76, H18 + SUM(S18:S18) - SUM(T18:T18) - SUM(P18:P18) - V18,0)</f>
        <v>0</v>
      </c>
      <c r="J18" s="222" t="s">
        <v>255</v>
      </c>
      <c r="K18" s="222" t="s">
        <v>182</v>
      </c>
      <c r="L18" s="222" t="s">
        <v>147</v>
      </c>
      <c r="M18" s="222" t="s">
        <v>257</v>
      </c>
      <c r="N18" s="230">
        <v>45399</v>
      </c>
      <c r="O18" s="227" t="s">
        <v>302</v>
      </c>
      <c r="P18" s="239">
        <v>4500</v>
      </c>
      <c r="Q18" s="219">
        <v>45405</v>
      </c>
      <c r="R18" s="222"/>
      <c r="S18" s="220"/>
      <c r="T18" s="220"/>
      <c r="U18" s="220"/>
      <c r="V18" s="226"/>
      <c r="W18" s="224"/>
      <c r="X18" s="80">
        <v>76</v>
      </c>
    </row>
    <row r="19" spans="1:24" s="80" customFormat="1" ht="75" x14ac:dyDescent="0.25">
      <c r="A19" s="225">
        <v>7</v>
      </c>
      <c r="B19" s="223" t="s">
        <v>56</v>
      </c>
      <c r="C19" s="222" t="s">
        <v>147</v>
      </c>
      <c r="D19" s="223" t="s">
        <v>158</v>
      </c>
      <c r="E19" s="229">
        <v>3086</v>
      </c>
      <c r="F19" s="230">
        <v>45400</v>
      </c>
      <c r="G19" s="222" t="s">
        <v>258</v>
      </c>
      <c r="H19" s="220">
        <v>8000</v>
      </c>
      <c r="I19" s="221">
        <f>IF(X19 = 77, H19 + SUM(S19:S19) - SUM(T19:T19) - SUM(P19:P19) - V19,0)</f>
        <v>0</v>
      </c>
      <c r="J19" s="222" t="s">
        <v>259</v>
      </c>
      <c r="K19" s="222" t="s">
        <v>260</v>
      </c>
      <c r="L19" s="222" t="s">
        <v>147</v>
      </c>
      <c r="M19" s="222" t="s">
        <v>261</v>
      </c>
      <c r="N19" s="230">
        <v>45400</v>
      </c>
      <c r="O19" s="230" t="s">
        <v>302</v>
      </c>
      <c r="P19" s="239">
        <v>8000</v>
      </c>
      <c r="Q19" s="219">
        <v>45401</v>
      </c>
      <c r="R19" s="222"/>
      <c r="S19" s="220"/>
      <c r="T19" s="220"/>
      <c r="U19" s="220"/>
      <c r="V19" s="226"/>
      <c r="W19" s="224"/>
      <c r="X19" s="80">
        <v>77</v>
      </c>
    </row>
    <row r="20" spans="1:24" s="80" customFormat="1" ht="75" x14ac:dyDescent="0.25">
      <c r="A20" s="237">
        <v>8</v>
      </c>
      <c r="B20" s="231" t="s">
        <v>56</v>
      </c>
      <c r="C20" s="232" t="s">
        <v>147</v>
      </c>
      <c r="D20" s="231" t="s">
        <v>158</v>
      </c>
      <c r="E20" s="229">
        <v>52</v>
      </c>
      <c r="F20" s="249">
        <v>45400</v>
      </c>
      <c r="G20" s="232" t="s">
        <v>267</v>
      </c>
      <c r="H20" s="233">
        <v>8900</v>
      </c>
      <c r="I20" s="236">
        <f>IF(X20 = 78, H20 + SUM(S20:S20) - SUM(T20:T20) - SUM(P20:P20) - V20,0)</f>
        <v>0</v>
      </c>
      <c r="J20" s="232" t="s">
        <v>264</v>
      </c>
      <c r="K20" s="232" t="s">
        <v>265</v>
      </c>
      <c r="L20" s="232" t="s">
        <v>147</v>
      </c>
      <c r="M20" s="232" t="s">
        <v>266</v>
      </c>
      <c r="N20" s="249">
        <v>45400</v>
      </c>
      <c r="O20" s="241" t="s">
        <v>302</v>
      </c>
      <c r="P20" s="239">
        <v>8900</v>
      </c>
      <c r="Q20" s="235">
        <v>45405</v>
      </c>
      <c r="R20" s="232"/>
      <c r="S20" s="233"/>
      <c r="T20" s="233"/>
      <c r="U20" s="233"/>
      <c r="V20" s="226"/>
      <c r="W20" s="234"/>
      <c r="X20" s="80">
        <v>78</v>
      </c>
    </row>
    <row r="21" spans="1:24" s="80" customFormat="1" ht="75" x14ac:dyDescent="0.25">
      <c r="A21" s="237">
        <v>9</v>
      </c>
      <c r="B21" s="251" t="s">
        <v>56</v>
      </c>
      <c r="C21" s="232" t="s">
        <v>147</v>
      </c>
      <c r="D21" s="251" t="s">
        <v>158</v>
      </c>
      <c r="E21" s="229" t="s">
        <v>270</v>
      </c>
      <c r="F21" s="249">
        <v>45407</v>
      </c>
      <c r="G21" s="232" t="s">
        <v>271</v>
      </c>
      <c r="H21" s="233">
        <v>3000</v>
      </c>
      <c r="I21" s="236">
        <f>IF(X21 = 79, H21 + SUM(S21:S21) - SUM(T21:T21) - SUM(P21:P21) - V21,0)</f>
        <v>0</v>
      </c>
      <c r="J21" s="232" t="s">
        <v>272</v>
      </c>
      <c r="K21" s="232" t="s">
        <v>273</v>
      </c>
      <c r="L21" s="232" t="s">
        <v>147</v>
      </c>
      <c r="M21" s="232" t="s">
        <v>274</v>
      </c>
      <c r="N21" s="249">
        <v>45407</v>
      </c>
      <c r="O21" s="252" t="s">
        <v>302</v>
      </c>
      <c r="P21" s="239">
        <v>3000</v>
      </c>
      <c r="Q21" s="235">
        <v>45415</v>
      </c>
      <c r="R21" s="232"/>
      <c r="S21" s="233"/>
      <c r="T21" s="233"/>
      <c r="U21" s="233"/>
      <c r="V21" s="226"/>
      <c r="W21" s="234"/>
      <c r="X21" s="80">
        <v>79</v>
      </c>
    </row>
    <row r="22" spans="1:24" s="80" customFormat="1" ht="93.75" x14ac:dyDescent="0.25">
      <c r="A22" s="237">
        <v>10</v>
      </c>
      <c r="B22" s="251" t="s">
        <v>56</v>
      </c>
      <c r="C22" s="232" t="s">
        <v>147</v>
      </c>
      <c r="D22" s="251" t="s">
        <v>158</v>
      </c>
      <c r="E22" s="229" t="s">
        <v>282</v>
      </c>
      <c r="F22" s="249">
        <v>45378</v>
      </c>
      <c r="G22" s="232" t="s">
        <v>332</v>
      </c>
      <c r="H22" s="233">
        <v>4265.5</v>
      </c>
      <c r="I22" s="236">
        <f>IF(X22 = 80, H22 + SUM(S22:S22) - SUM(T22:T22) - SUM(P22:P22) - V22,0)</f>
        <v>0</v>
      </c>
      <c r="J22" s="232" t="s">
        <v>283</v>
      </c>
      <c r="K22" s="232" t="s">
        <v>284</v>
      </c>
      <c r="L22" s="232" t="s">
        <v>147</v>
      </c>
      <c r="M22" s="232" t="s">
        <v>285</v>
      </c>
      <c r="N22" s="249">
        <v>45405</v>
      </c>
      <c r="O22" s="252" t="s">
        <v>303</v>
      </c>
      <c r="P22" s="239">
        <v>4265.5</v>
      </c>
      <c r="Q22" s="235">
        <v>45435</v>
      </c>
      <c r="R22" s="232"/>
      <c r="S22" s="233"/>
      <c r="T22" s="233"/>
      <c r="U22" s="233"/>
      <c r="V22" s="226"/>
      <c r="W22" s="234"/>
      <c r="X22" s="80">
        <v>80</v>
      </c>
    </row>
    <row r="23" spans="1:24" s="80" customFormat="1" ht="75" x14ac:dyDescent="0.25">
      <c r="A23" s="247">
        <v>11</v>
      </c>
      <c r="B23" s="251" t="s">
        <v>56</v>
      </c>
      <c r="C23" s="246" t="s">
        <v>147</v>
      </c>
      <c r="D23" s="251" t="s">
        <v>158</v>
      </c>
      <c r="E23" s="229" t="s">
        <v>286</v>
      </c>
      <c r="F23" s="250">
        <v>45371</v>
      </c>
      <c r="G23" s="246" t="s">
        <v>287</v>
      </c>
      <c r="H23" s="244">
        <v>7000</v>
      </c>
      <c r="I23" s="245">
        <f>IF(X23 = 81, H23 + SUM(S23:S23) - SUM(T23:T23) - SUM(P23:P23) - V23,0)</f>
        <v>0</v>
      </c>
      <c r="J23" s="246" t="s">
        <v>288</v>
      </c>
      <c r="K23" s="246" t="s">
        <v>289</v>
      </c>
      <c r="L23" s="246" t="s">
        <v>147</v>
      </c>
      <c r="M23" s="246" t="s">
        <v>290</v>
      </c>
      <c r="N23" s="250">
        <v>45436</v>
      </c>
      <c r="O23" s="252" t="s">
        <v>302</v>
      </c>
      <c r="P23" s="239">
        <v>7000</v>
      </c>
      <c r="Q23" s="243">
        <v>45446</v>
      </c>
      <c r="R23" s="246"/>
      <c r="S23" s="244"/>
      <c r="T23" s="244"/>
      <c r="U23" s="244"/>
      <c r="V23" s="226"/>
      <c r="W23" s="248"/>
      <c r="X23" s="80">
        <v>81</v>
      </c>
    </row>
    <row r="24" spans="1:24" s="80" customFormat="1" ht="75" x14ac:dyDescent="0.25">
      <c r="A24" s="327">
        <v>12</v>
      </c>
      <c r="B24" s="251" t="s">
        <v>56</v>
      </c>
      <c r="C24" s="329" t="s">
        <v>147</v>
      </c>
      <c r="D24" s="251" t="s">
        <v>158</v>
      </c>
      <c r="E24" s="333" t="s">
        <v>196</v>
      </c>
      <c r="F24" s="335">
        <v>45433</v>
      </c>
      <c r="G24" s="329" t="s">
        <v>299</v>
      </c>
      <c r="H24" s="328">
        <v>800</v>
      </c>
      <c r="I24" s="332">
        <f>IF(X24 = 82, H24 + SUM(S24:S24) - SUM(T24:T24) - SUM(P24:P24) - V24,0)</f>
        <v>0</v>
      </c>
      <c r="J24" s="329" t="s">
        <v>300</v>
      </c>
      <c r="K24" s="329" t="s">
        <v>301</v>
      </c>
      <c r="L24" s="329" t="s">
        <v>147</v>
      </c>
      <c r="M24" s="329" t="s">
        <v>290</v>
      </c>
      <c r="N24" s="335">
        <v>45436</v>
      </c>
      <c r="O24" s="252" t="s">
        <v>302</v>
      </c>
      <c r="P24" s="377">
        <v>800</v>
      </c>
      <c r="Q24" s="331">
        <v>45450</v>
      </c>
      <c r="R24" s="329"/>
      <c r="S24" s="328"/>
      <c r="T24" s="328"/>
      <c r="U24" s="328"/>
      <c r="V24" s="334"/>
      <c r="W24" s="330"/>
      <c r="X24" s="80">
        <v>82</v>
      </c>
    </row>
    <row r="25" spans="1:24" s="80" customFormat="1" ht="75" x14ac:dyDescent="0.25">
      <c r="A25" s="338">
        <v>13</v>
      </c>
      <c r="B25" s="251" t="s">
        <v>56</v>
      </c>
      <c r="C25" s="340" t="s">
        <v>147</v>
      </c>
      <c r="D25" s="251" t="s">
        <v>158</v>
      </c>
      <c r="E25" s="333">
        <v>34550724</v>
      </c>
      <c r="F25" s="344">
        <v>45474</v>
      </c>
      <c r="G25" s="340" t="s">
        <v>215</v>
      </c>
      <c r="H25" s="339">
        <v>71210.16</v>
      </c>
      <c r="I25" s="343">
        <f>IF(X25 = 83, H25 + SUM(S25:S25) - SUM(T25:T25) - SUM(P25:P25) - V25,0)</f>
        <v>68012.160000000003</v>
      </c>
      <c r="J25" s="340" t="s">
        <v>193</v>
      </c>
      <c r="K25" s="340" t="s">
        <v>308</v>
      </c>
      <c r="L25" s="340" t="s">
        <v>147</v>
      </c>
      <c r="M25" s="340" t="s">
        <v>309</v>
      </c>
      <c r="N25" s="344">
        <v>45504</v>
      </c>
      <c r="O25" s="252" t="s">
        <v>302</v>
      </c>
      <c r="P25" s="377">
        <v>3198</v>
      </c>
      <c r="Q25" s="342">
        <v>45510</v>
      </c>
      <c r="R25" s="340"/>
      <c r="S25" s="339"/>
      <c r="T25" s="339"/>
      <c r="U25" s="339"/>
      <c r="V25" s="334"/>
      <c r="W25" s="341"/>
      <c r="X25" s="80">
        <v>83</v>
      </c>
    </row>
    <row r="26" spans="1:24" s="80" customFormat="1" ht="75" x14ac:dyDescent="0.25">
      <c r="A26" s="404">
        <v>14</v>
      </c>
      <c r="B26" s="251" t="s">
        <v>56</v>
      </c>
      <c r="C26" s="398" t="s">
        <v>147</v>
      </c>
      <c r="D26" s="251" t="s">
        <v>158</v>
      </c>
      <c r="E26" s="399" t="s">
        <v>326</v>
      </c>
      <c r="F26" s="413">
        <v>45478</v>
      </c>
      <c r="G26" s="398" t="s">
        <v>327</v>
      </c>
      <c r="H26" s="400">
        <v>18311</v>
      </c>
      <c r="I26" s="403">
        <f>IF(X26 = 84, H26 + SUM(S26:S26) - SUM(T26:T26) - SUM(P26:P26) - V26,0)</f>
        <v>0</v>
      </c>
      <c r="J26" s="398" t="s">
        <v>328</v>
      </c>
      <c r="K26" s="398" t="s">
        <v>333</v>
      </c>
      <c r="L26" s="398" t="s">
        <v>147</v>
      </c>
      <c r="M26" s="398" t="s">
        <v>334</v>
      </c>
      <c r="N26" s="413">
        <v>45482</v>
      </c>
      <c r="O26" s="252" t="s">
        <v>302</v>
      </c>
      <c r="P26" s="501">
        <v>18311</v>
      </c>
      <c r="Q26" s="412">
        <v>45484</v>
      </c>
      <c r="R26" s="398"/>
      <c r="S26" s="400"/>
      <c r="T26" s="400"/>
      <c r="U26" s="400"/>
      <c r="V26" s="401"/>
      <c r="W26" s="402"/>
      <c r="X26" s="80">
        <v>84</v>
      </c>
    </row>
    <row r="27" spans="1:24" s="80" customFormat="1" ht="93.75" x14ac:dyDescent="0.25">
      <c r="A27" s="405">
        <v>15</v>
      </c>
      <c r="B27" s="251" t="s">
        <v>56</v>
      </c>
      <c r="C27" s="406" t="s">
        <v>147</v>
      </c>
      <c r="D27" s="251" t="s">
        <v>158</v>
      </c>
      <c r="E27" s="411">
        <v>4.416666666666667</v>
      </c>
      <c r="F27" s="414">
        <v>45450</v>
      </c>
      <c r="G27" s="406" t="s">
        <v>329</v>
      </c>
      <c r="H27" s="407">
        <v>78016</v>
      </c>
      <c r="I27" s="410">
        <f>IF(X27 = 85, H27 + SUM(S27:S27) - SUM(T27:T27) - SUM(P27:P27) - V27,0)</f>
        <v>0</v>
      </c>
      <c r="J27" s="406" t="s">
        <v>330</v>
      </c>
      <c r="K27" s="406" t="s">
        <v>331</v>
      </c>
      <c r="L27" s="406" t="s">
        <v>147</v>
      </c>
      <c r="M27" s="406" t="s">
        <v>359</v>
      </c>
      <c r="N27" s="414">
        <v>45496</v>
      </c>
      <c r="O27" s="252" t="s">
        <v>362</v>
      </c>
      <c r="P27" s="501">
        <v>78016</v>
      </c>
      <c r="Q27" s="412">
        <v>45499</v>
      </c>
      <c r="R27" s="406"/>
      <c r="S27" s="407"/>
      <c r="T27" s="407"/>
      <c r="U27" s="407"/>
      <c r="V27" s="408"/>
      <c r="W27" s="409"/>
      <c r="X27" s="80">
        <v>85</v>
      </c>
    </row>
    <row r="28" spans="1:24" s="80" customFormat="1" ht="225" x14ac:dyDescent="0.25">
      <c r="A28" s="434">
        <v>16</v>
      </c>
      <c r="B28" s="251" t="s">
        <v>56</v>
      </c>
      <c r="C28" s="425" t="s">
        <v>147</v>
      </c>
      <c r="D28" s="251" t="s">
        <v>158</v>
      </c>
      <c r="E28" s="435" t="s">
        <v>360</v>
      </c>
      <c r="F28" s="437" t="s">
        <v>336</v>
      </c>
      <c r="G28" s="425" t="s">
        <v>337</v>
      </c>
      <c r="H28" s="427">
        <v>33000</v>
      </c>
      <c r="I28" s="428">
        <f>IF(X28 = 86, H28 + SUM(S28:S28) - SUM(T28:T28) - SUM(P28:P28) - V28,0)</f>
        <v>0</v>
      </c>
      <c r="J28" s="425" t="s">
        <v>338</v>
      </c>
      <c r="K28" s="425" t="s">
        <v>339</v>
      </c>
      <c r="L28" s="425" t="s">
        <v>147</v>
      </c>
      <c r="M28" s="425" t="s">
        <v>340</v>
      </c>
      <c r="N28" s="437">
        <v>45479</v>
      </c>
      <c r="O28" s="437" t="s">
        <v>302</v>
      </c>
      <c r="P28" s="502">
        <v>33000</v>
      </c>
      <c r="Q28" s="426">
        <v>45484</v>
      </c>
      <c r="R28" s="425"/>
      <c r="S28" s="427"/>
      <c r="T28" s="427"/>
      <c r="U28" s="427"/>
      <c r="V28" s="436"/>
      <c r="W28" s="424"/>
      <c r="X28" s="80">
        <v>86</v>
      </c>
    </row>
    <row r="29" spans="1:24" s="80" customFormat="1" ht="75" x14ac:dyDescent="0.25">
      <c r="A29" s="434">
        <v>17</v>
      </c>
      <c r="B29" s="429" t="s">
        <v>56</v>
      </c>
      <c r="C29" s="429" t="s">
        <v>147</v>
      </c>
      <c r="D29" s="429" t="s">
        <v>158</v>
      </c>
      <c r="E29" s="435">
        <v>13</v>
      </c>
      <c r="F29" s="444">
        <v>45483</v>
      </c>
      <c r="G29" s="429" t="s">
        <v>341</v>
      </c>
      <c r="H29" s="432">
        <v>30000</v>
      </c>
      <c r="I29" s="433">
        <f>IF(X29 = 87, H29 + SUM(S29:S29) - SUM(T29:T29) - SUM(P29:P29) - V29,0)</f>
        <v>0</v>
      </c>
      <c r="J29" s="429" t="s">
        <v>342</v>
      </c>
      <c r="K29" s="429" t="s">
        <v>343</v>
      </c>
      <c r="L29" s="429" t="s">
        <v>147</v>
      </c>
      <c r="M29" s="429" t="s">
        <v>344</v>
      </c>
      <c r="N29" s="444">
        <v>45483</v>
      </c>
      <c r="O29" s="444" t="s">
        <v>302</v>
      </c>
      <c r="P29" s="502">
        <v>30000</v>
      </c>
      <c r="Q29" s="431">
        <v>45484</v>
      </c>
      <c r="R29" s="429"/>
      <c r="S29" s="432"/>
      <c r="T29" s="432"/>
      <c r="U29" s="432"/>
      <c r="V29" s="436"/>
      <c r="W29" s="430"/>
      <c r="X29" s="80">
        <v>87</v>
      </c>
    </row>
    <row r="30" spans="1:24" s="80" customFormat="1" ht="75" x14ac:dyDescent="0.25">
      <c r="A30" s="434">
        <v>18</v>
      </c>
      <c r="B30" s="453" t="s">
        <v>56</v>
      </c>
      <c r="C30" s="453" t="s">
        <v>147</v>
      </c>
      <c r="D30" s="440" t="s">
        <v>158</v>
      </c>
      <c r="E30" s="435">
        <v>14</v>
      </c>
      <c r="F30" s="445">
        <v>45484</v>
      </c>
      <c r="G30" s="440" t="s">
        <v>348</v>
      </c>
      <c r="H30" s="442">
        <v>28846.5</v>
      </c>
      <c r="I30" s="443">
        <f>IF(X30 = 89, H30 + SUM(S30:S30) - SUM(T30:T30) - SUM(P30:P30) - V30,0)</f>
        <v>0</v>
      </c>
      <c r="J30" s="440" t="s">
        <v>342</v>
      </c>
      <c r="K30" s="440" t="s">
        <v>343</v>
      </c>
      <c r="L30" s="440" t="s">
        <v>147</v>
      </c>
      <c r="M30" s="440" t="s">
        <v>344</v>
      </c>
      <c r="N30" s="445">
        <v>45484</v>
      </c>
      <c r="O30" s="444" t="s">
        <v>302</v>
      </c>
      <c r="P30" s="502">
        <v>28846.5</v>
      </c>
      <c r="Q30" s="441">
        <v>45484</v>
      </c>
      <c r="R30" s="440"/>
      <c r="S30" s="442"/>
      <c r="T30" s="442"/>
      <c r="U30" s="442"/>
      <c r="V30" s="436"/>
      <c r="W30" s="439"/>
      <c r="X30" s="80">
        <v>89</v>
      </c>
    </row>
    <row r="31" spans="1:24" s="80" customFormat="1" ht="131.25" x14ac:dyDescent="0.25">
      <c r="A31" s="459">
        <v>19</v>
      </c>
      <c r="B31" s="453" t="s">
        <v>56</v>
      </c>
      <c r="C31" s="453" t="s">
        <v>147</v>
      </c>
      <c r="D31" s="453" t="s">
        <v>158</v>
      </c>
      <c r="E31" s="465" t="s">
        <v>352</v>
      </c>
      <c r="F31" s="467">
        <v>45464</v>
      </c>
      <c r="G31" s="457" t="s">
        <v>353</v>
      </c>
      <c r="H31" s="455">
        <v>6600</v>
      </c>
      <c r="I31" s="460">
        <f>IF(X31 = 91, H31 + SUM(S31:S31) - SUM(T31:T31) - SUM(P31:P31) - V31,0)</f>
        <v>0</v>
      </c>
      <c r="J31" s="457" t="s">
        <v>354</v>
      </c>
      <c r="K31" s="457" t="s">
        <v>358</v>
      </c>
      <c r="L31" s="457" t="s">
        <v>147</v>
      </c>
      <c r="M31" s="457" t="s">
        <v>356</v>
      </c>
      <c r="N31" s="467">
        <v>45485</v>
      </c>
      <c r="O31" s="458" t="s">
        <v>355</v>
      </c>
      <c r="P31" s="503">
        <v>6600</v>
      </c>
      <c r="Q31" s="456">
        <v>45492</v>
      </c>
      <c r="R31" s="457"/>
      <c r="S31" s="455"/>
      <c r="T31" s="455"/>
      <c r="U31" s="455"/>
      <c r="V31" s="466"/>
      <c r="W31" s="464"/>
      <c r="X31" s="80">
        <v>91</v>
      </c>
    </row>
    <row r="32" spans="1:24" s="80" customFormat="1" ht="93.75" x14ac:dyDescent="0.25">
      <c r="A32" s="459">
        <v>20</v>
      </c>
      <c r="B32" s="453" t="s">
        <v>56</v>
      </c>
      <c r="C32" s="453" t="s">
        <v>147</v>
      </c>
      <c r="D32" s="453" t="s">
        <v>158</v>
      </c>
      <c r="E32" s="465">
        <v>10</v>
      </c>
      <c r="F32" s="467">
        <v>45484</v>
      </c>
      <c r="G32" s="457" t="s">
        <v>345</v>
      </c>
      <c r="H32" s="455">
        <v>31000</v>
      </c>
      <c r="I32" s="460">
        <f>IF(X32 = 92, H32 + SUM(S32:S32) - SUM(T32:T32) - SUM(P32:P32) - V32,0)</f>
        <v>0</v>
      </c>
      <c r="J32" s="457" t="s">
        <v>346</v>
      </c>
      <c r="K32" s="457" t="s">
        <v>347</v>
      </c>
      <c r="L32" s="457" t="s">
        <v>147</v>
      </c>
      <c r="M32" s="457" t="s">
        <v>344</v>
      </c>
      <c r="N32" s="467">
        <v>45484</v>
      </c>
      <c r="O32" s="467" t="s">
        <v>357</v>
      </c>
      <c r="P32" s="503">
        <v>31000</v>
      </c>
      <c r="Q32" s="456">
        <v>45484</v>
      </c>
      <c r="R32" s="457"/>
      <c r="S32" s="455"/>
      <c r="T32" s="455"/>
      <c r="U32" s="455"/>
      <c r="V32" s="466"/>
      <c r="W32" s="464"/>
      <c r="X32" s="80">
        <v>92</v>
      </c>
    </row>
    <row r="33" spans="1:24" s="80" customFormat="1" ht="93.75" x14ac:dyDescent="0.25">
      <c r="A33" s="459">
        <v>21</v>
      </c>
      <c r="B33" s="468" t="s">
        <v>56</v>
      </c>
      <c r="C33" s="457" t="s">
        <v>147</v>
      </c>
      <c r="D33" s="468" t="s">
        <v>158</v>
      </c>
      <c r="E33" s="465" t="s">
        <v>361</v>
      </c>
      <c r="F33" s="471">
        <v>45450</v>
      </c>
      <c r="G33" s="457" t="s">
        <v>329</v>
      </c>
      <c r="H33" s="455">
        <v>7342</v>
      </c>
      <c r="I33" s="460">
        <f>IF(X33 = 93, H33 + SUM(S33:S33) - SUM(T33:T33) - SUM(P33:P33) - V33,0)</f>
        <v>0</v>
      </c>
      <c r="J33" s="457" t="s">
        <v>330</v>
      </c>
      <c r="K33" s="457" t="s">
        <v>331</v>
      </c>
      <c r="L33" s="457" t="s">
        <v>147</v>
      </c>
      <c r="M33" s="457" t="s">
        <v>359</v>
      </c>
      <c r="N33" s="471">
        <v>45496</v>
      </c>
      <c r="O33" s="471" t="s">
        <v>362</v>
      </c>
      <c r="P33" s="503">
        <v>7342</v>
      </c>
      <c r="Q33" s="456">
        <v>45502</v>
      </c>
      <c r="R33" s="457"/>
      <c r="S33" s="455"/>
      <c r="T33" s="455"/>
      <c r="U33" s="455"/>
      <c r="V33" s="466"/>
      <c r="W33" s="464"/>
      <c r="X33" s="80">
        <v>93</v>
      </c>
    </row>
    <row r="34" spans="1:24" s="80" customFormat="1" ht="93.75" x14ac:dyDescent="0.25">
      <c r="A34" s="474">
        <v>22</v>
      </c>
      <c r="B34" s="473" t="s">
        <v>56</v>
      </c>
      <c r="C34" s="475" t="s">
        <v>147</v>
      </c>
      <c r="D34" s="473" t="s">
        <v>158</v>
      </c>
      <c r="E34" s="487" t="s">
        <v>367</v>
      </c>
      <c r="F34" s="489">
        <v>45489</v>
      </c>
      <c r="G34" s="475" t="s">
        <v>368</v>
      </c>
      <c r="H34" s="477">
        <v>4950</v>
      </c>
      <c r="I34" s="478">
        <f>IF(X34 = 94, H34 + SUM(S34:S34) - SUM(T34:T34) - SUM(P34:P34) - V34,0)</f>
        <v>0</v>
      </c>
      <c r="J34" s="475" t="s">
        <v>369</v>
      </c>
      <c r="K34" s="475" t="s">
        <v>370</v>
      </c>
      <c r="L34" s="475" t="s">
        <v>147</v>
      </c>
      <c r="M34" s="475" t="s">
        <v>371</v>
      </c>
      <c r="N34" s="489">
        <v>45489</v>
      </c>
      <c r="O34" s="489" t="s">
        <v>355</v>
      </c>
      <c r="P34" s="504">
        <v>4950</v>
      </c>
      <c r="Q34" s="476">
        <v>45499</v>
      </c>
      <c r="R34" s="475"/>
      <c r="S34" s="477"/>
      <c r="T34" s="477"/>
      <c r="U34" s="477"/>
      <c r="V34" s="488"/>
      <c r="W34" s="479"/>
      <c r="X34" s="80">
        <v>94</v>
      </c>
    </row>
    <row r="35" spans="1:24" s="80" customFormat="1" ht="93.75" x14ac:dyDescent="0.25">
      <c r="A35" s="480">
        <v>23</v>
      </c>
      <c r="B35" s="486" t="s">
        <v>56</v>
      </c>
      <c r="C35" s="482" t="s">
        <v>147</v>
      </c>
      <c r="D35" s="486" t="s">
        <v>158</v>
      </c>
      <c r="E35" s="487">
        <v>1144</v>
      </c>
      <c r="F35" s="497">
        <v>45489</v>
      </c>
      <c r="G35" s="482" t="s">
        <v>372</v>
      </c>
      <c r="H35" s="481">
        <v>1000</v>
      </c>
      <c r="I35" s="485">
        <f>IF(X35 = 95, H35 + SUM(S35:S35) - SUM(T35:T35) - SUM(P35:P35) - V35,0)</f>
        <v>0</v>
      </c>
      <c r="J35" s="482" t="s">
        <v>373</v>
      </c>
      <c r="K35" s="482" t="s">
        <v>374</v>
      </c>
      <c r="L35" s="482" t="s">
        <v>147</v>
      </c>
      <c r="M35" s="482" t="s">
        <v>375</v>
      </c>
      <c r="N35" s="497">
        <v>45489</v>
      </c>
      <c r="O35" s="489" t="s">
        <v>355</v>
      </c>
      <c r="P35" s="504">
        <v>1000</v>
      </c>
      <c r="Q35" s="484">
        <v>45499</v>
      </c>
      <c r="R35" s="482"/>
      <c r="S35" s="481"/>
      <c r="T35" s="481"/>
      <c r="U35" s="481"/>
      <c r="V35" s="488"/>
      <c r="W35" s="483"/>
      <c r="X35" s="80">
        <v>95</v>
      </c>
    </row>
    <row r="36" spans="1:24" s="80" customFormat="1" ht="93.75" x14ac:dyDescent="0.25">
      <c r="A36" s="491">
        <v>24</v>
      </c>
      <c r="B36" s="490" t="s">
        <v>56</v>
      </c>
      <c r="C36" s="493" t="s">
        <v>147</v>
      </c>
      <c r="D36" s="490" t="s">
        <v>158</v>
      </c>
      <c r="E36" s="487">
        <v>531</v>
      </c>
      <c r="F36" s="498">
        <v>45492</v>
      </c>
      <c r="G36" s="493" t="s">
        <v>376</v>
      </c>
      <c r="H36" s="492">
        <v>15299.3</v>
      </c>
      <c r="I36" s="496">
        <f>IF(X36 = 96, H36 + SUM(S36:S36) - SUM(T36:T36) - SUM(P36:P36) - V36,0)</f>
        <v>0</v>
      </c>
      <c r="J36" s="493" t="s">
        <v>377</v>
      </c>
      <c r="K36" s="493" t="s">
        <v>378</v>
      </c>
      <c r="L36" s="493" t="s">
        <v>147</v>
      </c>
      <c r="M36" s="493" t="s">
        <v>379</v>
      </c>
      <c r="N36" s="498">
        <v>45492</v>
      </c>
      <c r="O36" s="498" t="s">
        <v>362</v>
      </c>
      <c r="P36" s="504">
        <v>15299.3</v>
      </c>
      <c r="Q36" s="495">
        <v>45499</v>
      </c>
      <c r="R36" s="493"/>
      <c r="S36" s="492"/>
      <c r="T36" s="492"/>
      <c r="U36" s="492"/>
      <c r="V36" s="488"/>
      <c r="W36" s="494"/>
      <c r="X36" s="80">
        <v>96</v>
      </c>
    </row>
    <row r="37" spans="1:24" s="80" customFormat="1" ht="90" customHeight="1" x14ac:dyDescent="0.25">
      <c r="A37" s="807">
        <v>25</v>
      </c>
      <c r="B37" s="813" t="s">
        <v>56</v>
      </c>
      <c r="C37" s="813" t="s">
        <v>147</v>
      </c>
      <c r="D37" s="813" t="s">
        <v>158</v>
      </c>
      <c r="E37" s="819">
        <v>210009817619</v>
      </c>
      <c r="F37" s="809">
        <v>45481</v>
      </c>
      <c r="G37" s="813" t="s">
        <v>386</v>
      </c>
      <c r="H37" s="811">
        <v>3294</v>
      </c>
      <c r="I37" s="821">
        <f>IF(X37 = 97, H37 + SUM(S37:S38) - SUM(T37:T38) - SUM(P37:P38) - V37,0)</f>
        <v>3162</v>
      </c>
      <c r="J37" s="813" t="s">
        <v>387</v>
      </c>
      <c r="K37" s="813" t="s">
        <v>388</v>
      </c>
      <c r="L37" s="813" t="s">
        <v>147</v>
      </c>
      <c r="M37" s="813" t="s">
        <v>389</v>
      </c>
      <c r="N37" s="571">
        <v>45504</v>
      </c>
      <c r="O37" s="809" t="s">
        <v>362</v>
      </c>
      <c r="P37" s="564">
        <v>66</v>
      </c>
      <c r="Q37" s="565">
        <v>45524</v>
      </c>
      <c r="R37" s="566"/>
      <c r="S37" s="567"/>
      <c r="T37" s="567"/>
      <c r="U37" s="811"/>
      <c r="V37" s="815"/>
      <c r="W37" s="817"/>
      <c r="X37" s="80">
        <v>97</v>
      </c>
    </row>
    <row r="38" spans="1:24" s="110" customFormat="1" x14ac:dyDescent="0.25">
      <c r="A38" s="808"/>
      <c r="B38" s="814"/>
      <c r="C38" s="814"/>
      <c r="D38" s="814"/>
      <c r="E38" s="820"/>
      <c r="F38" s="810"/>
      <c r="G38" s="814"/>
      <c r="H38" s="812"/>
      <c r="I38" s="822"/>
      <c r="J38" s="814"/>
      <c r="K38" s="814"/>
      <c r="L38" s="814"/>
      <c r="M38" s="814"/>
      <c r="N38" s="572">
        <v>45535</v>
      </c>
      <c r="O38" s="810"/>
      <c r="P38" s="644">
        <v>66</v>
      </c>
      <c r="Q38" s="569">
        <v>45551</v>
      </c>
      <c r="R38" s="570"/>
      <c r="S38" s="568"/>
      <c r="T38" s="568"/>
      <c r="U38" s="812"/>
      <c r="V38" s="816"/>
      <c r="W38" s="818"/>
      <c r="X38" s="110">
        <v>97</v>
      </c>
    </row>
    <row r="39" spans="1:24" s="80" customFormat="1" ht="93.75" x14ac:dyDescent="0.25">
      <c r="A39" s="531">
        <v>26</v>
      </c>
      <c r="B39" s="505" t="s">
        <v>56</v>
      </c>
      <c r="C39" s="534" t="s">
        <v>147</v>
      </c>
      <c r="D39" s="505" t="s">
        <v>158</v>
      </c>
      <c r="E39" s="532">
        <v>3</v>
      </c>
      <c r="F39" s="539">
        <v>45504</v>
      </c>
      <c r="G39" s="534" t="s">
        <v>390</v>
      </c>
      <c r="H39" s="537">
        <v>11809</v>
      </c>
      <c r="I39" s="538">
        <f>IF(X39 = 98, H39 + SUM(S39:S39) - SUM(T39:T39) - SUM(P39:P39) - V39,0)</f>
        <v>0</v>
      </c>
      <c r="J39" s="534" t="s">
        <v>342</v>
      </c>
      <c r="K39" s="534" t="s">
        <v>343</v>
      </c>
      <c r="L39" s="534" t="s">
        <v>147</v>
      </c>
      <c r="M39" s="534" t="s">
        <v>344</v>
      </c>
      <c r="N39" s="539">
        <v>45504</v>
      </c>
      <c r="O39" s="539" t="s">
        <v>357</v>
      </c>
      <c r="P39" s="549">
        <v>11809</v>
      </c>
      <c r="Q39" s="536">
        <v>45510</v>
      </c>
      <c r="R39" s="534"/>
      <c r="S39" s="537"/>
      <c r="T39" s="537"/>
      <c r="U39" s="537"/>
      <c r="V39" s="533"/>
      <c r="W39" s="535"/>
      <c r="X39" s="80">
        <v>98</v>
      </c>
    </row>
    <row r="40" spans="1:24" s="80" customFormat="1" ht="93.75" x14ac:dyDescent="0.25">
      <c r="A40" s="542">
        <v>27</v>
      </c>
      <c r="B40" s="505" t="s">
        <v>56</v>
      </c>
      <c r="C40" s="543" t="s">
        <v>147</v>
      </c>
      <c r="D40" s="505" t="s">
        <v>158</v>
      </c>
      <c r="E40" s="543" t="s">
        <v>394</v>
      </c>
      <c r="F40" s="563">
        <v>45516</v>
      </c>
      <c r="G40" s="543" t="s">
        <v>391</v>
      </c>
      <c r="H40" s="545">
        <v>15848</v>
      </c>
      <c r="I40" s="546">
        <f>IF(X40 = 99, H40 + SUM(S40:S40) - SUM(T40:T40) - SUM(P40:P40) - V40,0)</f>
        <v>0</v>
      </c>
      <c r="J40" s="543" t="s">
        <v>346</v>
      </c>
      <c r="K40" s="543" t="s">
        <v>347</v>
      </c>
      <c r="L40" s="543" t="s">
        <v>147</v>
      </c>
      <c r="M40" s="540" t="s">
        <v>344</v>
      </c>
      <c r="N40" s="563">
        <v>45523</v>
      </c>
      <c r="O40" s="541" t="s">
        <v>357</v>
      </c>
      <c r="P40" s="547">
        <v>15848</v>
      </c>
      <c r="Q40" s="544">
        <v>45525</v>
      </c>
      <c r="R40" s="543"/>
      <c r="S40" s="545"/>
      <c r="T40" s="545"/>
      <c r="U40" s="545"/>
      <c r="V40" s="562"/>
      <c r="W40" s="548"/>
      <c r="X40" s="80">
        <v>99</v>
      </c>
    </row>
    <row r="41" spans="1:24" s="80" customFormat="1" ht="93.75" x14ac:dyDescent="0.25">
      <c r="A41" s="592">
        <v>28</v>
      </c>
      <c r="B41" s="505" t="s">
        <v>56</v>
      </c>
      <c r="C41" s="581" t="s">
        <v>147</v>
      </c>
      <c r="D41" s="505" t="s">
        <v>158</v>
      </c>
      <c r="E41" s="593">
        <v>15</v>
      </c>
      <c r="F41" s="595">
        <v>45531</v>
      </c>
      <c r="G41" s="581" t="s">
        <v>391</v>
      </c>
      <c r="H41" s="583">
        <v>4562</v>
      </c>
      <c r="I41" s="584">
        <f>IF(X41 = 100, H41 + SUM(S41:S41) - SUM(T41:T41) - SUM(P41:P41) - V41,0)</f>
        <v>0</v>
      </c>
      <c r="J41" s="581" t="s">
        <v>342</v>
      </c>
      <c r="K41" s="581" t="s">
        <v>343</v>
      </c>
      <c r="L41" s="581" t="s">
        <v>147</v>
      </c>
      <c r="M41" s="540" t="s">
        <v>344</v>
      </c>
      <c r="N41" s="595">
        <v>45531</v>
      </c>
      <c r="O41" s="541" t="s">
        <v>357</v>
      </c>
      <c r="P41" s="629">
        <v>4562</v>
      </c>
      <c r="Q41" s="582">
        <v>45540</v>
      </c>
      <c r="R41" s="581"/>
      <c r="S41" s="583"/>
      <c r="T41" s="583"/>
      <c r="U41" s="583"/>
      <c r="V41" s="594"/>
      <c r="W41" s="588"/>
      <c r="X41" s="80">
        <v>100</v>
      </c>
    </row>
    <row r="42" spans="1:24" s="80" customFormat="1" ht="93.75" x14ac:dyDescent="0.25">
      <c r="A42" s="592">
        <v>29</v>
      </c>
      <c r="B42" s="505" t="s">
        <v>56</v>
      </c>
      <c r="C42" s="596" t="s">
        <v>147</v>
      </c>
      <c r="D42" s="505" t="s">
        <v>158</v>
      </c>
      <c r="E42" s="602" t="s">
        <v>393</v>
      </c>
      <c r="F42" s="607">
        <v>45531</v>
      </c>
      <c r="G42" s="596" t="s">
        <v>391</v>
      </c>
      <c r="H42" s="599">
        <v>7157</v>
      </c>
      <c r="I42" s="600">
        <f>IF(X42 = 101, H42 + SUM(S42:S42) - SUM(T42:T42) - SUM(P42:P42) - V42,0)</f>
        <v>0</v>
      </c>
      <c r="J42" s="596" t="s">
        <v>346</v>
      </c>
      <c r="K42" s="596" t="s">
        <v>347</v>
      </c>
      <c r="L42" s="596" t="s">
        <v>147</v>
      </c>
      <c r="M42" s="540" t="s">
        <v>344</v>
      </c>
      <c r="N42" s="607">
        <v>45531</v>
      </c>
      <c r="O42" s="541" t="s">
        <v>357</v>
      </c>
      <c r="P42" s="629">
        <v>7157</v>
      </c>
      <c r="Q42" s="598">
        <v>45538</v>
      </c>
      <c r="R42" s="596"/>
      <c r="S42" s="599"/>
      <c r="T42" s="599"/>
      <c r="U42" s="599"/>
      <c r="V42" s="594"/>
      <c r="W42" s="597"/>
      <c r="X42" s="80">
        <v>101</v>
      </c>
    </row>
    <row r="43" spans="1:24" s="80" customFormat="1" ht="93.75" x14ac:dyDescent="0.25">
      <c r="A43" s="592">
        <v>30</v>
      </c>
      <c r="B43" s="505" t="s">
        <v>56</v>
      </c>
      <c r="C43" s="602" t="s">
        <v>147</v>
      </c>
      <c r="D43" s="505" t="s">
        <v>158</v>
      </c>
      <c r="E43" s="593" t="s">
        <v>395</v>
      </c>
      <c r="F43" s="613">
        <v>45533</v>
      </c>
      <c r="G43" s="602" t="s">
        <v>396</v>
      </c>
      <c r="H43" s="605">
        <v>19000</v>
      </c>
      <c r="I43" s="606">
        <f>IF(X43 = 102, H43 + SUM(S43:S43) - SUM(T43:T43) - SUM(P43:P43) - V43,0)</f>
        <v>0</v>
      </c>
      <c r="J43" s="602" t="s">
        <v>397</v>
      </c>
      <c r="K43" s="602" t="s">
        <v>398</v>
      </c>
      <c r="L43" s="602" t="s">
        <v>147</v>
      </c>
      <c r="M43" s="540" t="s">
        <v>344</v>
      </c>
      <c r="N43" s="613">
        <v>45533</v>
      </c>
      <c r="O43" s="541" t="s">
        <v>357</v>
      </c>
      <c r="P43" s="629">
        <v>19000</v>
      </c>
      <c r="Q43" s="604">
        <v>45540</v>
      </c>
      <c r="R43" s="602"/>
      <c r="S43" s="605"/>
      <c r="T43" s="605"/>
      <c r="U43" s="605"/>
      <c r="V43" s="594"/>
      <c r="W43" s="603"/>
      <c r="X43" s="80">
        <v>102</v>
      </c>
    </row>
    <row r="44" spans="1:24" s="80" customFormat="1" ht="93.75" x14ac:dyDescent="0.25">
      <c r="A44" s="592">
        <v>31</v>
      </c>
      <c r="B44" s="505" t="s">
        <v>56</v>
      </c>
      <c r="C44" s="608" t="s">
        <v>147</v>
      </c>
      <c r="D44" s="505" t="s">
        <v>158</v>
      </c>
      <c r="E44" s="593">
        <v>7882.73</v>
      </c>
      <c r="F44" s="614">
        <v>45535</v>
      </c>
      <c r="G44" s="608" t="s">
        <v>399</v>
      </c>
      <c r="H44" s="611">
        <v>7882.73</v>
      </c>
      <c r="I44" s="612">
        <f>IF(X44 = 103, H44 + SUM(S44:S44) - SUM(T44:T44) - SUM(P44:P44) - V44,0)</f>
        <v>0</v>
      </c>
      <c r="J44" s="608" t="s">
        <v>400</v>
      </c>
      <c r="K44" s="608" t="s">
        <v>401</v>
      </c>
      <c r="L44" s="608" t="s">
        <v>147</v>
      </c>
      <c r="M44" s="540" t="s">
        <v>344</v>
      </c>
      <c r="N44" s="614">
        <v>45535</v>
      </c>
      <c r="O44" s="541" t="s">
        <v>357</v>
      </c>
      <c r="P44" s="629">
        <v>7882.73</v>
      </c>
      <c r="Q44" s="610">
        <v>45540</v>
      </c>
      <c r="R44" s="608"/>
      <c r="S44" s="611"/>
      <c r="T44" s="611"/>
      <c r="U44" s="611"/>
      <c r="V44" s="594"/>
      <c r="W44" s="609"/>
      <c r="X44" s="80">
        <v>103</v>
      </c>
    </row>
    <row r="45" spans="1:24" ht="37.5" hidden="1" x14ac:dyDescent="0.25">
      <c r="A45" s="101"/>
      <c r="B45" s="102" t="s">
        <v>56</v>
      </c>
      <c r="C45" s="102" t="s">
        <v>147</v>
      </c>
      <c r="D45" s="102"/>
      <c r="E45" s="438"/>
      <c r="F45" s="106"/>
      <c r="G45" s="102"/>
      <c r="H45" s="107"/>
      <c r="I45" s="108">
        <f>IF(X45 = 72, H45 + SUM(S45:S45) - SUM(T45:T45) - SUM(P45:P45) - V45,0)</f>
        <v>0</v>
      </c>
      <c r="J45" s="102"/>
      <c r="K45" s="102"/>
      <c r="L45" s="102"/>
      <c r="M45" s="429"/>
      <c r="N45" s="106"/>
      <c r="O45" s="444"/>
      <c r="P45" s="107"/>
      <c r="Q45" s="103"/>
      <c r="R45" s="105"/>
      <c r="S45" s="107"/>
      <c r="T45" s="107"/>
      <c r="U45" s="107"/>
      <c r="V45" s="104"/>
      <c r="W45" s="105"/>
      <c r="X45" s="2">
        <v>104</v>
      </c>
    </row>
  </sheetData>
  <sheetProtection password="EB34" sheet="1" objects="1" scenarios="1" formatCells="0" formatColumns="0" formatRows="0"/>
  <mergeCells count="58">
    <mergeCell ref="W37:W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A37:A38"/>
    <mergeCell ref="O37:O38"/>
    <mergeCell ref="U37:U38"/>
    <mergeCell ref="B37:B38"/>
    <mergeCell ref="V37:V38"/>
    <mergeCell ref="C37:C38"/>
    <mergeCell ref="A9:A10"/>
    <mergeCell ref="O9:O10"/>
    <mergeCell ref="U9:U10"/>
    <mergeCell ref="B9:B10"/>
    <mergeCell ref="A13:A16"/>
    <mergeCell ref="B13:B16"/>
    <mergeCell ref="C13:C16"/>
    <mergeCell ref="O13:O16"/>
    <mergeCell ref="U13:U16"/>
    <mergeCell ref="D13:D16"/>
    <mergeCell ref="E13:E16"/>
    <mergeCell ref="F13:F16"/>
    <mergeCell ref="G13:G16"/>
    <mergeCell ref="H13:H16"/>
    <mergeCell ref="A3:E3"/>
    <mergeCell ref="S2:U2"/>
    <mergeCell ref="N2:O2"/>
    <mergeCell ref="J4:K4"/>
    <mergeCell ref="M4:N4"/>
    <mergeCell ref="O4:P4"/>
    <mergeCell ref="K2:M2"/>
    <mergeCell ref="V9:V10"/>
    <mergeCell ref="C9:C10"/>
    <mergeCell ref="W9:W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V13:V16"/>
    <mergeCell ref="W13:W16"/>
    <mergeCell ref="I13:I16"/>
    <mergeCell ref="J13:J16"/>
    <mergeCell ref="K13:K16"/>
    <mergeCell ref="L13:L16"/>
    <mergeCell ref="M13:M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137"/>
  <sheetViews>
    <sheetView showGridLines="0" topLeftCell="D1" zoomScale="50" zoomScaleNormal="50" workbookViewId="0">
      <pane ySplit="8" topLeftCell="A126" activePane="bottomLeft" state="frozen"/>
      <selection pane="bottomLeft" activeCell="N135" sqref="N134:N135"/>
    </sheetView>
  </sheetViews>
  <sheetFormatPr defaultColWidth="0" defaultRowHeight="18.75" x14ac:dyDescent="0.25"/>
  <cols>
    <col min="1" max="1" width="12" style="83" customWidth="1"/>
    <col min="2" max="2" width="37.140625" style="3" customWidth="1"/>
    <col min="3" max="3" width="34" style="3" customWidth="1"/>
    <col min="4" max="4" width="25.42578125" style="3" customWidth="1"/>
    <col min="5" max="5" width="27.28515625" style="3" customWidth="1"/>
    <col min="6" max="6" width="32.42578125" style="3" customWidth="1"/>
    <col min="7" max="7" width="40.28515625" style="11" customWidth="1"/>
    <col min="8" max="8" width="27.570312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5"/>
      <c r="F2" s="1040" t="s">
        <v>24</v>
      </c>
      <c r="G2" s="1041"/>
      <c r="H2" s="75">
        <f>SUM(H9:H9999)</f>
        <v>1869215.6000000003</v>
      </c>
      <c r="I2" s="65"/>
      <c r="N2" s="789" t="s">
        <v>137</v>
      </c>
      <c r="O2" s="791"/>
      <c r="P2" s="66">
        <f>SUM(P9:P9999)</f>
        <v>1627360.7039999999</v>
      </c>
      <c r="R2" s="65"/>
      <c r="S2" s="789" t="s">
        <v>45</v>
      </c>
      <c r="T2" s="790"/>
      <c r="U2" s="791"/>
      <c r="V2" s="67">
        <f>SUM(V9:V9999)</f>
        <v>61869.939999999995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s="82" customFormat="1" ht="187.5" x14ac:dyDescent="0.25">
      <c r="A6" s="84" t="s">
        <v>8</v>
      </c>
      <c r="B6" s="84" t="s">
        <v>47</v>
      </c>
      <c r="C6" s="84" t="s">
        <v>144</v>
      </c>
      <c r="D6" s="84" t="s">
        <v>10</v>
      </c>
      <c r="E6" s="84" t="s">
        <v>1</v>
      </c>
      <c r="F6" s="84" t="s">
        <v>2</v>
      </c>
      <c r="G6" s="86" t="s">
        <v>3</v>
      </c>
      <c r="H6" s="84" t="s">
        <v>4</v>
      </c>
      <c r="I6" s="84" t="s">
        <v>22</v>
      </c>
      <c r="J6" s="87" t="s">
        <v>46</v>
      </c>
      <c r="K6" s="87" t="s">
        <v>5</v>
      </c>
      <c r="L6" s="84" t="s">
        <v>106</v>
      </c>
      <c r="M6" s="84" t="s">
        <v>39</v>
      </c>
      <c r="N6" s="86" t="s">
        <v>37</v>
      </c>
      <c r="O6" s="84" t="s">
        <v>6</v>
      </c>
      <c r="P6" s="87" t="s">
        <v>23</v>
      </c>
      <c r="Q6" s="86" t="s">
        <v>9</v>
      </c>
      <c r="R6" s="88" t="s">
        <v>40</v>
      </c>
      <c r="S6" s="88" t="s">
        <v>103</v>
      </c>
      <c r="T6" s="88" t="s">
        <v>104</v>
      </c>
      <c r="U6" s="89" t="s">
        <v>41</v>
      </c>
      <c r="V6" s="90" t="s">
        <v>43</v>
      </c>
      <c r="W6" s="91" t="s">
        <v>42</v>
      </c>
    </row>
    <row r="7" spans="1:24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</row>
    <row r="8" spans="1:24" s="14" customFormat="1" ht="131.25" hidden="1" x14ac:dyDescent="0.25">
      <c r="A8" s="85" t="s">
        <v>36</v>
      </c>
      <c r="B8" s="21" t="s">
        <v>56</v>
      </c>
      <c r="C8" s="21"/>
      <c r="D8" s="21" t="s">
        <v>58</v>
      </c>
      <c r="E8" s="21" t="s">
        <v>57</v>
      </c>
      <c r="F8" s="56">
        <v>43839</v>
      </c>
      <c r="G8" s="20" t="s">
        <v>59</v>
      </c>
      <c r="H8" s="19">
        <v>20000</v>
      </c>
      <c r="I8" s="19">
        <v>0</v>
      </c>
      <c r="J8" s="55">
        <v>2353019514</v>
      </c>
      <c r="K8" s="27" t="s">
        <v>61</v>
      </c>
      <c r="L8" s="21"/>
      <c r="M8" s="21" t="s">
        <v>62</v>
      </c>
      <c r="N8" s="20">
        <v>43840</v>
      </c>
      <c r="O8" s="21" t="s">
        <v>63</v>
      </c>
      <c r="P8" s="27">
        <v>20000</v>
      </c>
      <c r="Q8" s="20">
        <v>43840</v>
      </c>
      <c r="R8" s="21"/>
      <c r="S8" s="53"/>
      <c r="T8" s="53"/>
      <c r="U8" s="20"/>
      <c r="V8" s="19"/>
      <c r="W8" s="12" t="s">
        <v>64</v>
      </c>
    </row>
    <row r="9" spans="1:24" s="80" customFormat="1" ht="304.14999999999998" customHeight="1" x14ac:dyDescent="0.25">
      <c r="A9" s="1069">
        <v>1</v>
      </c>
      <c r="B9" s="1072" t="s">
        <v>56</v>
      </c>
      <c r="C9" s="1072" t="s">
        <v>147</v>
      </c>
      <c r="D9" s="1072" t="s">
        <v>160</v>
      </c>
      <c r="E9" s="1072" t="s">
        <v>195</v>
      </c>
      <c r="F9" s="1075">
        <v>45289</v>
      </c>
      <c r="G9" s="1085" t="s">
        <v>148</v>
      </c>
      <c r="H9" s="1078">
        <v>186161.96</v>
      </c>
      <c r="I9" s="1088">
        <f>IF(X9 = 1, H9 + SUM(S9:S16) - SUM(T9:T16) - SUM(P9:P16) - V9,0)</f>
        <v>35614.589999999997</v>
      </c>
      <c r="J9" s="1091">
        <v>2308070396</v>
      </c>
      <c r="K9" s="1094" t="s">
        <v>149</v>
      </c>
      <c r="L9" s="1072" t="s">
        <v>147</v>
      </c>
      <c r="M9" s="1072" t="s">
        <v>175</v>
      </c>
      <c r="N9" s="266">
        <v>45300</v>
      </c>
      <c r="O9" s="1075" t="s">
        <v>159</v>
      </c>
      <c r="P9" s="254">
        <v>23384.94</v>
      </c>
      <c r="Q9" s="255">
        <v>45320</v>
      </c>
      <c r="R9" s="256"/>
      <c r="S9" s="257"/>
      <c r="T9" s="258"/>
      <c r="U9" s="1078"/>
      <c r="V9" s="1081"/>
      <c r="W9" s="1042"/>
      <c r="X9" s="80">
        <v>1</v>
      </c>
    </row>
    <row r="10" spans="1:24" s="110" customFormat="1" x14ac:dyDescent="0.25">
      <c r="A10" s="1070"/>
      <c r="B10" s="1073"/>
      <c r="C10" s="1073"/>
      <c r="D10" s="1073"/>
      <c r="E10" s="1073"/>
      <c r="F10" s="1076"/>
      <c r="G10" s="1086"/>
      <c r="H10" s="1079"/>
      <c r="I10" s="1089"/>
      <c r="J10" s="1092"/>
      <c r="K10" s="1095"/>
      <c r="L10" s="1073"/>
      <c r="M10" s="1073"/>
      <c r="N10" s="267">
        <v>45322</v>
      </c>
      <c r="O10" s="1076"/>
      <c r="P10" s="259">
        <v>45807.29</v>
      </c>
      <c r="Q10" s="260">
        <v>45334</v>
      </c>
      <c r="R10" s="261"/>
      <c r="S10" s="262"/>
      <c r="T10" s="262"/>
      <c r="U10" s="1079"/>
      <c r="V10" s="1082"/>
      <c r="W10" s="1043"/>
      <c r="X10" s="110">
        <v>1</v>
      </c>
    </row>
    <row r="11" spans="1:24" s="110" customFormat="1" x14ac:dyDescent="0.25">
      <c r="A11" s="1070"/>
      <c r="B11" s="1073"/>
      <c r="C11" s="1073"/>
      <c r="D11" s="1073"/>
      <c r="E11" s="1073"/>
      <c r="F11" s="1076"/>
      <c r="G11" s="1086"/>
      <c r="H11" s="1079"/>
      <c r="I11" s="1089"/>
      <c r="J11" s="1092"/>
      <c r="K11" s="1095"/>
      <c r="L11" s="1073"/>
      <c r="M11" s="1073"/>
      <c r="N11" s="267">
        <v>45323</v>
      </c>
      <c r="O11" s="1076"/>
      <c r="P11" s="259">
        <v>7936.09</v>
      </c>
      <c r="Q11" s="260">
        <v>45327</v>
      </c>
      <c r="R11" s="261"/>
      <c r="S11" s="262"/>
      <c r="T11" s="262"/>
      <c r="U11" s="1079"/>
      <c r="V11" s="1082"/>
      <c r="W11" s="1043"/>
      <c r="X11" s="110">
        <v>1</v>
      </c>
    </row>
    <row r="12" spans="1:24" s="110" customFormat="1" x14ac:dyDescent="0.25">
      <c r="A12" s="1070"/>
      <c r="B12" s="1073"/>
      <c r="C12" s="1073"/>
      <c r="D12" s="1073"/>
      <c r="E12" s="1073"/>
      <c r="F12" s="1076"/>
      <c r="G12" s="1086"/>
      <c r="H12" s="1079"/>
      <c r="I12" s="1089"/>
      <c r="J12" s="1092"/>
      <c r="K12" s="1095"/>
      <c r="L12" s="1073"/>
      <c r="M12" s="1073"/>
      <c r="N12" s="267">
        <v>45351</v>
      </c>
      <c r="O12" s="1076"/>
      <c r="P12" s="259">
        <v>22190.18</v>
      </c>
      <c r="Q12" s="260">
        <v>45363</v>
      </c>
      <c r="R12" s="261"/>
      <c r="S12" s="262"/>
      <c r="T12" s="262"/>
      <c r="U12" s="1079"/>
      <c r="V12" s="1082"/>
      <c r="W12" s="1043"/>
      <c r="X12" s="110">
        <v>1</v>
      </c>
    </row>
    <row r="13" spans="1:24" s="110" customFormat="1" x14ac:dyDescent="0.25">
      <c r="A13" s="1070"/>
      <c r="B13" s="1073"/>
      <c r="C13" s="1073"/>
      <c r="D13" s="1073"/>
      <c r="E13" s="1073"/>
      <c r="F13" s="1076"/>
      <c r="G13" s="1086"/>
      <c r="H13" s="1079"/>
      <c r="I13" s="1089"/>
      <c r="J13" s="1092"/>
      <c r="K13" s="1095"/>
      <c r="L13" s="1073"/>
      <c r="M13" s="1073"/>
      <c r="N13" s="267">
        <v>45352</v>
      </c>
      <c r="O13" s="1076"/>
      <c r="P13" s="259">
        <v>5957.8</v>
      </c>
      <c r="Q13" s="260">
        <v>45363</v>
      </c>
      <c r="R13" s="261"/>
      <c r="S13" s="262"/>
      <c r="T13" s="262"/>
      <c r="U13" s="1079"/>
      <c r="V13" s="1082"/>
      <c r="W13" s="1043"/>
      <c r="X13" s="110">
        <v>1</v>
      </c>
    </row>
    <row r="14" spans="1:24" s="110" customFormat="1" x14ac:dyDescent="0.25">
      <c r="A14" s="1070"/>
      <c r="B14" s="1073"/>
      <c r="C14" s="1073"/>
      <c r="D14" s="1073"/>
      <c r="E14" s="1073"/>
      <c r="F14" s="1076"/>
      <c r="G14" s="1086"/>
      <c r="H14" s="1079"/>
      <c r="I14" s="1089"/>
      <c r="J14" s="1092"/>
      <c r="K14" s="1095"/>
      <c r="L14" s="1073"/>
      <c r="M14" s="1073"/>
      <c r="N14" s="267">
        <v>45382</v>
      </c>
      <c r="O14" s="1076"/>
      <c r="P14" s="259">
        <v>16667.91</v>
      </c>
      <c r="Q14" s="260">
        <v>45393</v>
      </c>
      <c r="R14" s="261"/>
      <c r="S14" s="262"/>
      <c r="T14" s="262"/>
      <c r="U14" s="1079"/>
      <c r="V14" s="1082"/>
      <c r="W14" s="1043"/>
      <c r="X14" s="110">
        <v>1</v>
      </c>
    </row>
    <row r="15" spans="1:24" s="110" customFormat="1" x14ac:dyDescent="0.25">
      <c r="A15" s="1070"/>
      <c r="B15" s="1073"/>
      <c r="C15" s="1073"/>
      <c r="D15" s="1073"/>
      <c r="E15" s="1073"/>
      <c r="F15" s="1076"/>
      <c r="G15" s="1086"/>
      <c r="H15" s="1079"/>
      <c r="I15" s="1089"/>
      <c r="J15" s="1092"/>
      <c r="K15" s="1095"/>
      <c r="L15" s="1073"/>
      <c r="M15" s="1073"/>
      <c r="N15" s="267">
        <v>45383</v>
      </c>
      <c r="O15" s="1076"/>
      <c r="P15" s="259">
        <v>7498.37</v>
      </c>
      <c r="Q15" s="260">
        <v>45385</v>
      </c>
      <c r="R15" s="261"/>
      <c r="S15" s="262"/>
      <c r="T15" s="262"/>
      <c r="U15" s="1079"/>
      <c r="V15" s="1082"/>
      <c r="W15" s="1043"/>
      <c r="X15" s="110">
        <v>1</v>
      </c>
    </row>
    <row r="16" spans="1:24" s="110" customFormat="1" x14ac:dyDescent="0.25">
      <c r="A16" s="1071"/>
      <c r="B16" s="1074"/>
      <c r="C16" s="1074"/>
      <c r="D16" s="1074"/>
      <c r="E16" s="1074"/>
      <c r="F16" s="1077"/>
      <c r="G16" s="1087"/>
      <c r="H16" s="1080"/>
      <c r="I16" s="1090"/>
      <c r="J16" s="1093"/>
      <c r="K16" s="1096"/>
      <c r="L16" s="1074"/>
      <c r="M16" s="1074"/>
      <c r="N16" s="268">
        <v>45412</v>
      </c>
      <c r="O16" s="1077"/>
      <c r="P16" s="300">
        <v>21104.79</v>
      </c>
      <c r="Q16" s="264">
        <v>45427</v>
      </c>
      <c r="R16" s="265"/>
      <c r="S16" s="263"/>
      <c r="T16" s="263"/>
      <c r="U16" s="1080"/>
      <c r="V16" s="1083"/>
      <c r="W16" s="1044"/>
      <c r="X16" s="110">
        <v>1</v>
      </c>
    </row>
    <row r="17" spans="1:24" s="80" customFormat="1" ht="395.45" customHeight="1" x14ac:dyDescent="0.25">
      <c r="A17" s="931">
        <v>2</v>
      </c>
      <c r="B17" s="907" t="s">
        <v>56</v>
      </c>
      <c r="C17" s="907" t="s">
        <v>147</v>
      </c>
      <c r="D17" s="907" t="s">
        <v>160</v>
      </c>
      <c r="E17" s="907" t="s">
        <v>150</v>
      </c>
      <c r="F17" s="913">
        <v>45289</v>
      </c>
      <c r="G17" s="916" t="s">
        <v>151</v>
      </c>
      <c r="H17" s="919">
        <v>600000</v>
      </c>
      <c r="I17" s="922">
        <f>IF(X17 = 2, H17 + SUM(S17:S35) - SUM(T17:T35) - SUM(P17:P35) - V17,0)</f>
        <v>31703.340000000084</v>
      </c>
      <c r="J17" s="925">
        <v>2308119595</v>
      </c>
      <c r="K17" s="928" t="s">
        <v>152</v>
      </c>
      <c r="L17" s="907" t="s">
        <v>147</v>
      </c>
      <c r="M17" s="907" t="s">
        <v>175</v>
      </c>
      <c r="N17" s="589">
        <v>45292</v>
      </c>
      <c r="O17" s="913" t="s">
        <v>153</v>
      </c>
      <c r="P17" s="708">
        <v>19127.439999999999</v>
      </c>
      <c r="Q17" s="573">
        <v>45309</v>
      </c>
      <c r="R17" s="574"/>
      <c r="S17" s="575"/>
      <c r="T17" s="576"/>
      <c r="U17" s="934"/>
      <c r="V17" s="904"/>
      <c r="W17" s="910"/>
      <c r="X17" s="80">
        <v>2</v>
      </c>
    </row>
    <row r="18" spans="1:24" s="110" customFormat="1" x14ac:dyDescent="0.25">
      <c r="A18" s="932"/>
      <c r="B18" s="908"/>
      <c r="C18" s="908"/>
      <c r="D18" s="908"/>
      <c r="E18" s="908"/>
      <c r="F18" s="914"/>
      <c r="G18" s="917"/>
      <c r="H18" s="920"/>
      <c r="I18" s="923"/>
      <c r="J18" s="926"/>
      <c r="K18" s="929"/>
      <c r="L18" s="908"/>
      <c r="M18" s="908"/>
      <c r="N18" s="590">
        <v>45292</v>
      </c>
      <c r="O18" s="914"/>
      <c r="P18" s="577">
        <v>58498.75</v>
      </c>
      <c r="Q18" s="578">
        <v>45309</v>
      </c>
      <c r="R18" s="579"/>
      <c r="S18" s="580"/>
      <c r="T18" s="580"/>
      <c r="U18" s="935"/>
      <c r="V18" s="905"/>
      <c r="W18" s="911"/>
      <c r="X18" s="110">
        <v>2</v>
      </c>
    </row>
    <row r="19" spans="1:24" s="110" customFormat="1" x14ac:dyDescent="0.25">
      <c r="A19" s="932"/>
      <c r="B19" s="908"/>
      <c r="C19" s="908"/>
      <c r="D19" s="908"/>
      <c r="E19" s="908"/>
      <c r="F19" s="914"/>
      <c r="G19" s="917"/>
      <c r="H19" s="920"/>
      <c r="I19" s="923"/>
      <c r="J19" s="926"/>
      <c r="K19" s="929"/>
      <c r="L19" s="908"/>
      <c r="M19" s="908"/>
      <c r="N19" s="590">
        <v>45322</v>
      </c>
      <c r="O19" s="914"/>
      <c r="P19" s="577">
        <v>64640.95</v>
      </c>
      <c r="Q19" s="578">
        <v>45337</v>
      </c>
      <c r="R19" s="579"/>
      <c r="S19" s="580"/>
      <c r="T19" s="580"/>
      <c r="U19" s="935"/>
      <c r="V19" s="905"/>
      <c r="W19" s="911"/>
      <c r="X19" s="110">
        <v>2</v>
      </c>
    </row>
    <row r="20" spans="1:24" s="110" customFormat="1" x14ac:dyDescent="0.25">
      <c r="A20" s="932"/>
      <c r="B20" s="908"/>
      <c r="C20" s="908"/>
      <c r="D20" s="908"/>
      <c r="E20" s="908"/>
      <c r="F20" s="914"/>
      <c r="G20" s="917"/>
      <c r="H20" s="920"/>
      <c r="I20" s="923"/>
      <c r="J20" s="926"/>
      <c r="K20" s="929"/>
      <c r="L20" s="908"/>
      <c r="M20" s="908"/>
      <c r="N20" s="590">
        <v>45323</v>
      </c>
      <c r="O20" s="914"/>
      <c r="P20" s="577">
        <v>43874.06</v>
      </c>
      <c r="Q20" s="578">
        <v>45323</v>
      </c>
      <c r="R20" s="579"/>
      <c r="S20" s="580"/>
      <c r="T20" s="580"/>
      <c r="U20" s="935"/>
      <c r="V20" s="905"/>
      <c r="W20" s="911"/>
      <c r="X20" s="110">
        <v>2</v>
      </c>
    </row>
    <row r="21" spans="1:24" s="110" customFormat="1" x14ac:dyDescent="0.25">
      <c r="A21" s="932"/>
      <c r="B21" s="908"/>
      <c r="C21" s="908"/>
      <c r="D21" s="908"/>
      <c r="E21" s="908"/>
      <c r="F21" s="914"/>
      <c r="G21" s="917"/>
      <c r="H21" s="920"/>
      <c r="I21" s="923"/>
      <c r="J21" s="926"/>
      <c r="K21" s="929"/>
      <c r="L21" s="908"/>
      <c r="M21" s="908"/>
      <c r="N21" s="590">
        <v>45323</v>
      </c>
      <c r="O21" s="914"/>
      <c r="P21" s="577">
        <v>62638.09</v>
      </c>
      <c r="Q21" s="578">
        <v>45337</v>
      </c>
      <c r="R21" s="579"/>
      <c r="S21" s="580"/>
      <c r="T21" s="580"/>
      <c r="U21" s="935"/>
      <c r="V21" s="905"/>
      <c r="W21" s="911"/>
      <c r="X21" s="110">
        <v>2</v>
      </c>
    </row>
    <row r="22" spans="1:24" s="110" customFormat="1" x14ac:dyDescent="0.25">
      <c r="A22" s="932"/>
      <c r="B22" s="908"/>
      <c r="C22" s="908"/>
      <c r="D22" s="908"/>
      <c r="E22" s="908"/>
      <c r="F22" s="914"/>
      <c r="G22" s="917"/>
      <c r="H22" s="920"/>
      <c r="I22" s="923"/>
      <c r="J22" s="926"/>
      <c r="K22" s="929"/>
      <c r="L22" s="908"/>
      <c r="M22" s="908"/>
      <c r="N22" s="590">
        <v>45351</v>
      </c>
      <c r="O22" s="914"/>
      <c r="P22" s="577">
        <v>27216.2</v>
      </c>
      <c r="Q22" s="578">
        <v>45365</v>
      </c>
      <c r="R22" s="579"/>
      <c r="S22" s="580"/>
      <c r="T22" s="580"/>
      <c r="U22" s="935"/>
      <c r="V22" s="905"/>
      <c r="W22" s="911"/>
      <c r="X22" s="110">
        <v>2</v>
      </c>
    </row>
    <row r="23" spans="1:24" s="110" customFormat="1" x14ac:dyDescent="0.25">
      <c r="A23" s="932"/>
      <c r="B23" s="908"/>
      <c r="C23" s="908"/>
      <c r="D23" s="908"/>
      <c r="E23" s="908"/>
      <c r="F23" s="914"/>
      <c r="G23" s="917"/>
      <c r="H23" s="920"/>
      <c r="I23" s="923"/>
      <c r="J23" s="926"/>
      <c r="K23" s="929"/>
      <c r="L23" s="908"/>
      <c r="M23" s="908"/>
      <c r="N23" s="590">
        <v>45352</v>
      </c>
      <c r="O23" s="914"/>
      <c r="P23" s="577">
        <v>46978.57</v>
      </c>
      <c r="Q23" s="578">
        <v>45352</v>
      </c>
      <c r="R23" s="579"/>
      <c r="S23" s="580"/>
      <c r="T23" s="580"/>
      <c r="U23" s="935"/>
      <c r="V23" s="905"/>
      <c r="W23" s="911"/>
      <c r="X23" s="110">
        <v>2</v>
      </c>
    </row>
    <row r="24" spans="1:24" s="110" customFormat="1" x14ac:dyDescent="0.25">
      <c r="A24" s="932"/>
      <c r="B24" s="908"/>
      <c r="C24" s="908"/>
      <c r="D24" s="908"/>
      <c r="E24" s="908"/>
      <c r="F24" s="914"/>
      <c r="G24" s="917"/>
      <c r="H24" s="920"/>
      <c r="I24" s="923"/>
      <c r="J24" s="926"/>
      <c r="K24" s="929"/>
      <c r="L24" s="908"/>
      <c r="M24" s="908"/>
      <c r="N24" s="590">
        <v>45352</v>
      </c>
      <c r="O24" s="914"/>
      <c r="P24" s="577">
        <v>58728.04</v>
      </c>
      <c r="Q24" s="578">
        <v>45365</v>
      </c>
      <c r="R24" s="579"/>
      <c r="S24" s="580"/>
      <c r="T24" s="580"/>
      <c r="U24" s="935"/>
      <c r="V24" s="905"/>
      <c r="W24" s="911"/>
      <c r="X24" s="110">
        <v>2</v>
      </c>
    </row>
    <row r="25" spans="1:24" s="110" customFormat="1" x14ac:dyDescent="0.25">
      <c r="A25" s="932"/>
      <c r="B25" s="908"/>
      <c r="C25" s="908"/>
      <c r="D25" s="908"/>
      <c r="E25" s="908"/>
      <c r="F25" s="914"/>
      <c r="G25" s="917"/>
      <c r="H25" s="920"/>
      <c r="I25" s="923"/>
      <c r="J25" s="926"/>
      <c r="K25" s="929"/>
      <c r="L25" s="908"/>
      <c r="M25" s="908"/>
      <c r="N25" s="590">
        <v>45382</v>
      </c>
      <c r="O25" s="914"/>
      <c r="P25" s="577">
        <v>1422.68</v>
      </c>
      <c r="Q25" s="578">
        <v>45398</v>
      </c>
      <c r="R25" s="579"/>
      <c r="S25" s="580"/>
      <c r="T25" s="580"/>
      <c r="U25" s="935"/>
      <c r="V25" s="905"/>
      <c r="W25" s="911"/>
      <c r="X25" s="110">
        <v>2</v>
      </c>
    </row>
    <row r="26" spans="1:24" s="110" customFormat="1" x14ac:dyDescent="0.25">
      <c r="A26" s="932"/>
      <c r="B26" s="908"/>
      <c r="C26" s="908"/>
      <c r="D26" s="908"/>
      <c r="E26" s="908"/>
      <c r="F26" s="914"/>
      <c r="G26" s="917"/>
      <c r="H26" s="920"/>
      <c r="I26" s="923"/>
      <c r="J26" s="926"/>
      <c r="K26" s="929"/>
      <c r="L26" s="908"/>
      <c r="M26" s="908"/>
      <c r="N26" s="590">
        <v>45383</v>
      </c>
      <c r="O26" s="914"/>
      <c r="P26" s="577">
        <v>44046.02</v>
      </c>
      <c r="Q26" s="578">
        <v>45383</v>
      </c>
      <c r="R26" s="579"/>
      <c r="S26" s="580"/>
      <c r="T26" s="580"/>
      <c r="U26" s="935"/>
      <c r="V26" s="905"/>
      <c r="W26" s="911"/>
      <c r="X26" s="110">
        <v>2</v>
      </c>
    </row>
    <row r="27" spans="1:24" s="110" customFormat="1" x14ac:dyDescent="0.25">
      <c r="A27" s="932"/>
      <c r="B27" s="908"/>
      <c r="C27" s="908"/>
      <c r="D27" s="908"/>
      <c r="E27" s="908"/>
      <c r="F27" s="914"/>
      <c r="G27" s="917"/>
      <c r="H27" s="920"/>
      <c r="I27" s="923"/>
      <c r="J27" s="926"/>
      <c r="K27" s="929"/>
      <c r="L27" s="908"/>
      <c r="M27" s="908"/>
      <c r="N27" s="590">
        <v>45383</v>
      </c>
      <c r="O27" s="914"/>
      <c r="P27" s="577">
        <v>47195.78</v>
      </c>
      <c r="Q27" s="578">
        <v>45398</v>
      </c>
      <c r="R27" s="579"/>
      <c r="S27" s="580"/>
      <c r="T27" s="580"/>
      <c r="U27" s="935"/>
      <c r="V27" s="905"/>
      <c r="W27" s="911"/>
      <c r="X27" s="110">
        <v>2</v>
      </c>
    </row>
    <row r="28" spans="1:24" s="110" customFormat="1" x14ac:dyDescent="0.25">
      <c r="A28" s="932"/>
      <c r="B28" s="908"/>
      <c r="C28" s="908"/>
      <c r="D28" s="908"/>
      <c r="E28" s="908"/>
      <c r="F28" s="914"/>
      <c r="G28" s="917"/>
      <c r="H28" s="920"/>
      <c r="I28" s="923"/>
      <c r="J28" s="926"/>
      <c r="K28" s="929"/>
      <c r="L28" s="908"/>
      <c r="M28" s="908"/>
      <c r="N28" s="590">
        <v>45413</v>
      </c>
      <c r="O28" s="914"/>
      <c r="P28" s="577">
        <v>35396.839999999997</v>
      </c>
      <c r="Q28" s="578">
        <v>45415</v>
      </c>
      <c r="R28" s="579"/>
      <c r="S28" s="580"/>
      <c r="T28" s="580"/>
      <c r="U28" s="935"/>
      <c r="V28" s="905"/>
      <c r="W28" s="911"/>
      <c r="X28" s="110">
        <v>2</v>
      </c>
    </row>
    <row r="29" spans="1:24" s="110" customFormat="1" x14ac:dyDescent="0.25">
      <c r="A29" s="932"/>
      <c r="B29" s="908"/>
      <c r="C29" s="908"/>
      <c r="D29" s="908"/>
      <c r="E29" s="908"/>
      <c r="F29" s="914"/>
      <c r="G29" s="917"/>
      <c r="H29" s="920"/>
      <c r="I29" s="923"/>
      <c r="J29" s="926"/>
      <c r="K29" s="929"/>
      <c r="L29" s="908"/>
      <c r="M29" s="908"/>
      <c r="N29" s="590">
        <v>45413</v>
      </c>
      <c r="O29" s="914"/>
      <c r="P29" s="577">
        <v>16003.2</v>
      </c>
      <c r="Q29" s="578">
        <v>45428</v>
      </c>
      <c r="R29" s="579"/>
      <c r="S29" s="580"/>
      <c r="T29" s="580"/>
      <c r="U29" s="935"/>
      <c r="V29" s="905"/>
      <c r="W29" s="911"/>
      <c r="X29" s="110">
        <v>2</v>
      </c>
    </row>
    <row r="30" spans="1:24" s="110" customFormat="1" x14ac:dyDescent="0.25">
      <c r="A30" s="932"/>
      <c r="B30" s="908"/>
      <c r="C30" s="908"/>
      <c r="D30" s="908"/>
      <c r="E30" s="908"/>
      <c r="F30" s="914"/>
      <c r="G30" s="917"/>
      <c r="H30" s="920"/>
      <c r="I30" s="923"/>
      <c r="J30" s="926"/>
      <c r="K30" s="929"/>
      <c r="L30" s="908"/>
      <c r="M30" s="908"/>
      <c r="N30" s="590">
        <v>45505</v>
      </c>
      <c r="O30" s="914"/>
      <c r="P30" s="577">
        <v>10096.32</v>
      </c>
      <c r="Q30" s="578">
        <v>45505</v>
      </c>
      <c r="R30" s="579"/>
      <c r="S30" s="580"/>
      <c r="T30" s="580"/>
      <c r="U30" s="935"/>
      <c r="V30" s="905"/>
      <c r="W30" s="911"/>
      <c r="X30" s="110">
        <v>2</v>
      </c>
    </row>
    <row r="31" spans="1:24" s="110" customFormat="1" x14ac:dyDescent="0.25">
      <c r="A31" s="932"/>
      <c r="B31" s="908"/>
      <c r="C31" s="908"/>
      <c r="D31" s="908"/>
      <c r="E31" s="908"/>
      <c r="F31" s="914"/>
      <c r="G31" s="917"/>
      <c r="H31" s="920"/>
      <c r="I31" s="923"/>
      <c r="J31" s="926"/>
      <c r="K31" s="929"/>
      <c r="L31" s="908"/>
      <c r="M31" s="908"/>
      <c r="N31" s="590">
        <v>45505</v>
      </c>
      <c r="O31" s="914"/>
      <c r="P31" s="577">
        <v>8860.92</v>
      </c>
      <c r="Q31" s="578">
        <v>45524</v>
      </c>
      <c r="R31" s="579"/>
      <c r="S31" s="580"/>
      <c r="T31" s="580"/>
      <c r="U31" s="935"/>
      <c r="V31" s="905"/>
      <c r="W31" s="911"/>
      <c r="X31" s="110">
        <v>2</v>
      </c>
    </row>
    <row r="32" spans="1:24" s="110" customFormat="1" x14ac:dyDescent="0.25">
      <c r="A32" s="932"/>
      <c r="B32" s="908"/>
      <c r="C32" s="908"/>
      <c r="D32" s="908"/>
      <c r="E32" s="908"/>
      <c r="F32" s="914"/>
      <c r="G32" s="917"/>
      <c r="H32" s="920"/>
      <c r="I32" s="923"/>
      <c r="J32" s="926"/>
      <c r="K32" s="929"/>
      <c r="L32" s="908"/>
      <c r="M32" s="908"/>
      <c r="N32" s="590">
        <v>45536</v>
      </c>
      <c r="O32" s="914"/>
      <c r="P32" s="577">
        <v>6645.68</v>
      </c>
      <c r="Q32" s="578">
        <v>45537</v>
      </c>
      <c r="R32" s="579"/>
      <c r="S32" s="580"/>
      <c r="T32" s="580"/>
      <c r="U32" s="935"/>
      <c r="V32" s="905"/>
      <c r="W32" s="911"/>
      <c r="X32" s="110">
        <v>2</v>
      </c>
    </row>
    <row r="33" spans="1:24" s="110" customFormat="1" x14ac:dyDescent="0.25">
      <c r="A33" s="932"/>
      <c r="B33" s="908"/>
      <c r="C33" s="908"/>
      <c r="D33" s="908"/>
      <c r="E33" s="908"/>
      <c r="F33" s="914"/>
      <c r="G33" s="917"/>
      <c r="H33" s="920"/>
      <c r="I33" s="923"/>
      <c r="J33" s="926"/>
      <c r="K33" s="929"/>
      <c r="L33" s="908"/>
      <c r="M33" s="908"/>
      <c r="N33" s="590">
        <v>45536</v>
      </c>
      <c r="O33" s="914"/>
      <c r="P33" s="577">
        <v>9672.64</v>
      </c>
      <c r="Q33" s="578">
        <v>45551</v>
      </c>
      <c r="R33" s="579"/>
      <c r="S33" s="580"/>
      <c r="T33" s="580"/>
      <c r="U33" s="935"/>
      <c r="V33" s="905"/>
      <c r="W33" s="911"/>
      <c r="X33" s="110">
        <v>2</v>
      </c>
    </row>
    <row r="34" spans="1:24" s="110" customFormat="1" x14ac:dyDescent="0.25">
      <c r="A34" s="932"/>
      <c r="B34" s="908"/>
      <c r="C34" s="908"/>
      <c r="D34" s="908"/>
      <c r="E34" s="908"/>
      <c r="F34" s="914"/>
      <c r="G34" s="917"/>
      <c r="H34" s="920"/>
      <c r="I34" s="923"/>
      <c r="J34" s="926"/>
      <c r="K34" s="929"/>
      <c r="L34" s="908"/>
      <c r="M34" s="908"/>
      <c r="N34" s="590">
        <v>45565</v>
      </c>
      <c r="O34" s="914"/>
      <c r="P34" s="580"/>
      <c r="Q34" s="578"/>
      <c r="R34" s="579"/>
      <c r="S34" s="580"/>
      <c r="T34" s="580"/>
      <c r="U34" s="935"/>
      <c r="V34" s="905"/>
      <c r="W34" s="911"/>
      <c r="X34" s="110">
        <v>2</v>
      </c>
    </row>
    <row r="35" spans="1:24" s="110" customFormat="1" x14ac:dyDescent="0.25">
      <c r="A35" s="933"/>
      <c r="B35" s="909"/>
      <c r="C35" s="909"/>
      <c r="D35" s="909"/>
      <c r="E35" s="909"/>
      <c r="F35" s="915"/>
      <c r="G35" s="918"/>
      <c r="H35" s="921"/>
      <c r="I35" s="924"/>
      <c r="J35" s="927"/>
      <c r="K35" s="930"/>
      <c r="L35" s="909"/>
      <c r="M35" s="909"/>
      <c r="N35" s="591">
        <v>45566</v>
      </c>
      <c r="O35" s="915"/>
      <c r="P35" s="585">
        <v>7254.48</v>
      </c>
      <c r="Q35" s="586"/>
      <c r="R35" s="587"/>
      <c r="S35" s="585"/>
      <c r="T35" s="585"/>
      <c r="U35" s="936"/>
      <c r="V35" s="906"/>
      <c r="W35" s="912"/>
      <c r="X35" s="110">
        <v>2</v>
      </c>
    </row>
    <row r="36" spans="1:24" s="80" customFormat="1" ht="63.6" customHeight="1" x14ac:dyDescent="0.25">
      <c r="A36" s="1097">
        <v>3</v>
      </c>
      <c r="B36" s="889" t="s">
        <v>56</v>
      </c>
      <c r="C36" s="889" t="s">
        <v>147</v>
      </c>
      <c r="D36" s="889" t="s">
        <v>158</v>
      </c>
      <c r="E36" s="889" t="s">
        <v>176</v>
      </c>
      <c r="F36" s="898">
        <v>45289</v>
      </c>
      <c r="G36" s="901" t="s">
        <v>177</v>
      </c>
      <c r="H36" s="946">
        <v>22628.22</v>
      </c>
      <c r="I36" s="949">
        <f>IF(X36 = 33, H36 + SUM(S36:S41) - SUM(T36:T41) - SUM(P36:P41) - V36,0)</f>
        <v>3.637978807091713E-12</v>
      </c>
      <c r="J36" s="952">
        <v>2308131994</v>
      </c>
      <c r="K36" s="937" t="s">
        <v>178</v>
      </c>
      <c r="L36" s="889" t="s">
        <v>147</v>
      </c>
      <c r="M36" s="889" t="s">
        <v>175</v>
      </c>
      <c r="N36" s="356">
        <v>45322</v>
      </c>
      <c r="O36" s="898" t="s">
        <v>179</v>
      </c>
      <c r="P36" s="345">
        <v>3771.37</v>
      </c>
      <c r="Q36" s="346">
        <v>45327</v>
      </c>
      <c r="R36" s="347"/>
      <c r="S36" s="348"/>
      <c r="T36" s="348"/>
      <c r="U36" s="946"/>
      <c r="V36" s="886"/>
      <c r="W36" s="1048"/>
      <c r="X36" s="80">
        <v>33</v>
      </c>
    </row>
    <row r="37" spans="1:24" s="110" customFormat="1" x14ac:dyDescent="0.25">
      <c r="A37" s="1098"/>
      <c r="B37" s="890"/>
      <c r="C37" s="890"/>
      <c r="D37" s="890"/>
      <c r="E37" s="890"/>
      <c r="F37" s="899"/>
      <c r="G37" s="902"/>
      <c r="H37" s="947"/>
      <c r="I37" s="950"/>
      <c r="J37" s="953"/>
      <c r="K37" s="938"/>
      <c r="L37" s="890"/>
      <c r="M37" s="890"/>
      <c r="N37" s="357">
        <v>45351</v>
      </c>
      <c r="O37" s="899"/>
      <c r="P37" s="349">
        <v>3771.37</v>
      </c>
      <c r="Q37" s="350">
        <v>45363</v>
      </c>
      <c r="R37" s="351"/>
      <c r="S37" s="352"/>
      <c r="T37" s="352"/>
      <c r="U37" s="947"/>
      <c r="V37" s="887"/>
      <c r="W37" s="1049"/>
      <c r="X37" s="110">
        <v>33</v>
      </c>
    </row>
    <row r="38" spans="1:24" s="110" customFormat="1" x14ac:dyDescent="0.25">
      <c r="A38" s="1098"/>
      <c r="B38" s="890"/>
      <c r="C38" s="890"/>
      <c r="D38" s="890"/>
      <c r="E38" s="890"/>
      <c r="F38" s="899"/>
      <c r="G38" s="902"/>
      <c r="H38" s="947"/>
      <c r="I38" s="950"/>
      <c r="J38" s="953"/>
      <c r="K38" s="938"/>
      <c r="L38" s="890"/>
      <c r="M38" s="890"/>
      <c r="N38" s="357">
        <v>45382</v>
      </c>
      <c r="O38" s="899"/>
      <c r="P38" s="349">
        <v>3771.37</v>
      </c>
      <c r="Q38" s="350">
        <v>45385</v>
      </c>
      <c r="R38" s="351"/>
      <c r="S38" s="352"/>
      <c r="T38" s="352"/>
      <c r="U38" s="947"/>
      <c r="V38" s="887"/>
      <c r="W38" s="1049"/>
      <c r="X38" s="110">
        <v>33</v>
      </c>
    </row>
    <row r="39" spans="1:24" s="110" customFormat="1" x14ac:dyDescent="0.25">
      <c r="A39" s="1098"/>
      <c r="B39" s="890"/>
      <c r="C39" s="890"/>
      <c r="D39" s="890"/>
      <c r="E39" s="890"/>
      <c r="F39" s="899"/>
      <c r="G39" s="902"/>
      <c r="H39" s="947"/>
      <c r="I39" s="950"/>
      <c r="J39" s="953"/>
      <c r="K39" s="938"/>
      <c r="L39" s="890"/>
      <c r="M39" s="890"/>
      <c r="N39" s="357">
        <v>45412</v>
      </c>
      <c r="O39" s="899"/>
      <c r="P39" s="349">
        <v>3771.37</v>
      </c>
      <c r="Q39" s="350">
        <v>45419</v>
      </c>
      <c r="R39" s="351"/>
      <c r="S39" s="352"/>
      <c r="T39" s="352"/>
      <c r="U39" s="947"/>
      <c r="V39" s="887"/>
      <c r="W39" s="1049"/>
      <c r="X39" s="110">
        <v>33</v>
      </c>
    </row>
    <row r="40" spans="1:24" s="110" customFormat="1" x14ac:dyDescent="0.25">
      <c r="A40" s="1098"/>
      <c r="B40" s="890"/>
      <c r="C40" s="890"/>
      <c r="D40" s="890"/>
      <c r="E40" s="890"/>
      <c r="F40" s="899"/>
      <c r="G40" s="902"/>
      <c r="H40" s="947"/>
      <c r="I40" s="950"/>
      <c r="J40" s="953"/>
      <c r="K40" s="938"/>
      <c r="L40" s="890"/>
      <c r="M40" s="890"/>
      <c r="N40" s="357">
        <v>45443</v>
      </c>
      <c r="O40" s="899"/>
      <c r="P40" s="349">
        <v>3771.37</v>
      </c>
      <c r="Q40" s="350">
        <v>45454</v>
      </c>
      <c r="R40" s="351"/>
      <c r="S40" s="352"/>
      <c r="T40" s="352"/>
      <c r="U40" s="947"/>
      <c r="V40" s="887"/>
      <c r="W40" s="1049"/>
      <c r="X40" s="110">
        <v>33</v>
      </c>
    </row>
    <row r="41" spans="1:24" s="110" customFormat="1" x14ac:dyDescent="0.25">
      <c r="A41" s="1099"/>
      <c r="B41" s="891"/>
      <c r="C41" s="891"/>
      <c r="D41" s="891"/>
      <c r="E41" s="891"/>
      <c r="F41" s="900"/>
      <c r="G41" s="903"/>
      <c r="H41" s="948"/>
      <c r="I41" s="951"/>
      <c r="J41" s="954"/>
      <c r="K41" s="939"/>
      <c r="L41" s="891"/>
      <c r="M41" s="891"/>
      <c r="N41" s="358">
        <v>45473</v>
      </c>
      <c r="O41" s="900"/>
      <c r="P41" s="500">
        <v>3771.37</v>
      </c>
      <c r="Q41" s="354">
        <v>45477</v>
      </c>
      <c r="R41" s="355"/>
      <c r="S41" s="353"/>
      <c r="T41" s="353"/>
      <c r="U41" s="948"/>
      <c r="V41" s="888"/>
      <c r="W41" s="1050"/>
      <c r="X41" s="110">
        <v>33</v>
      </c>
    </row>
    <row r="42" spans="1:24" s="80" customFormat="1" ht="54" customHeight="1" x14ac:dyDescent="0.25">
      <c r="A42" s="853">
        <v>4</v>
      </c>
      <c r="B42" s="862" t="s">
        <v>56</v>
      </c>
      <c r="C42" s="862" t="s">
        <v>147</v>
      </c>
      <c r="D42" s="862" t="s">
        <v>158</v>
      </c>
      <c r="E42" s="862" t="s">
        <v>180</v>
      </c>
      <c r="F42" s="856">
        <v>45289</v>
      </c>
      <c r="G42" s="871" t="s">
        <v>181</v>
      </c>
      <c r="H42" s="859">
        <v>24000</v>
      </c>
      <c r="I42" s="874">
        <f>IF(X42 = 34, H42 + SUM(S42:S50) - SUM(T42:T50) - SUM(P42:P50) - V42,0)</f>
        <v>6000</v>
      </c>
      <c r="J42" s="877">
        <v>2353002302</v>
      </c>
      <c r="K42" s="880" t="s">
        <v>182</v>
      </c>
      <c r="L42" s="862" t="s">
        <v>147</v>
      </c>
      <c r="M42" s="862" t="s">
        <v>175</v>
      </c>
      <c r="N42" s="626">
        <v>45322</v>
      </c>
      <c r="O42" s="856" t="s">
        <v>183</v>
      </c>
      <c r="P42" s="615">
        <v>2000</v>
      </c>
      <c r="Q42" s="616">
        <v>45327</v>
      </c>
      <c r="R42" s="617"/>
      <c r="S42" s="618"/>
      <c r="T42" s="618"/>
      <c r="U42" s="859"/>
      <c r="V42" s="865"/>
      <c r="W42" s="868"/>
      <c r="X42" s="80">
        <v>34</v>
      </c>
    </row>
    <row r="43" spans="1:24" s="110" customFormat="1" x14ac:dyDescent="0.25">
      <c r="A43" s="854"/>
      <c r="B43" s="863"/>
      <c r="C43" s="863"/>
      <c r="D43" s="863"/>
      <c r="E43" s="863"/>
      <c r="F43" s="857"/>
      <c r="G43" s="872"/>
      <c r="H43" s="860"/>
      <c r="I43" s="875"/>
      <c r="J43" s="878"/>
      <c r="K43" s="881"/>
      <c r="L43" s="863"/>
      <c r="M43" s="863"/>
      <c r="N43" s="627">
        <v>45351</v>
      </c>
      <c r="O43" s="857"/>
      <c r="P43" s="619">
        <v>2000</v>
      </c>
      <c r="Q43" s="620">
        <v>45351</v>
      </c>
      <c r="R43" s="621"/>
      <c r="S43" s="622"/>
      <c r="T43" s="622"/>
      <c r="U43" s="860"/>
      <c r="V43" s="866"/>
      <c r="W43" s="869"/>
      <c r="X43" s="110">
        <v>34</v>
      </c>
    </row>
    <row r="44" spans="1:24" s="110" customFormat="1" x14ac:dyDescent="0.25">
      <c r="A44" s="854"/>
      <c r="B44" s="863"/>
      <c r="C44" s="863"/>
      <c r="D44" s="863"/>
      <c r="E44" s="863"/>
      <c r="F44" s="857"/>
      <c r="G44" s="872"/>
      <c r="H44" s="860"/>
      <c r="I44" s="875"/>
      <c r="J44" s="878"/>
      <c r="K44" s="881"/>
      <c r="L44" s="863"/>
      <c r="M44" s="863"/>
      <c r="N44" s="627">
        <v>45382</v>
      </c>
      <c r="O44" s="857"/>
      <c r="P44" s="619">
        <v>2000</v>
      </c>
      <c r="Q44" s="620">
        <v>45385</v>
      </c>
      <c r="R44" s="621"/>
      <c r="S44" s="622"/>
      <c r="T44" s="622"/>
      <c r="U44" s="860"/>
      <c r="V44" s="866"/>
      <c r="W44" s="869"/>
      <c r="X44" s="110">
        <v>34</v>
      </c>
    </row>
    <row r="45" spans="1:24" s="110" customFormat="1" x14ac:dyDescent="0.25">
      <c r="A45" s="854"/>
      <c r="B45" s="863"/>
      <c r="C45" s="863"/>
      <c r="D45" s="863"/>
      <c r="E45" s="863"/>
      <c r="F45" s="857"/>
      <c r="G45" s="872"/>
      <c r="H45" s="860"/>
      <c r="I45" s="875"/>
      <c r="J45" s="878"/>
      <c r="K45" s="881"/>
      <c r="L45" s="863"/>
      <c r="M45" s="863"/>
      <c r="N45" s="627">
        <v>45412</v>
      </c>
      <c r="O45" s="857"/>
      <c r="P45" s="619">
        <v>2000</v>
      </c>
      <c r="Q45" s="620">
        <v>45419</v>
      </c>
      <c r="R45" s="621"/>
      <c r="S45" s="622"/>
      <c r="T45" s="622"/>
      <c r="U45" s="860"/>
      <c r="V45" s="866"/>
      <c r="W45" s="869"/>
      <c r="X45" s="110">
        <v>34</v>
      </c>
    </row>
    <row r="46" spans="1:24" s="110" customFormat="1" x14ac:dyDescent="0.25">
      <c r="A46" s="854"/>
      <c r="B46" s="863"/>
      <c r="C46" s="863"/>
      <c r="D46" s="863"/>
      <c r="E46" s="863"/>
      <c r="F46" s="857"/>
      <c r="G46" s="872"/>
      <c r="H46" s="860"/>
      <c r="I46" s="875"/>
      <c r="J46" s="878"/>
      <c r="K46" s="881"/>
      <c r="L46" s="863"/>
      <c r="M46" s="863"/>
      <c r="N46" s="627">
        <v>45443</v>
      </c>
      <c r="O46" s="857"/>
      <c r="P46" s="619">
        <v>2000</v>
      </c>
      <c r="Q46" s="620">
        <v>45448</v>
      </c>
      <c r="R46" s="621"/>
      <c r="S46" s="622"/>
      <c r="T46" s="622"/>
      <c r="U46" s="860"/>
      <c r="V46" s="866"/>
      <c r="W46" s="869"/>
      <c r="X46" s="110">
        <v>34</v>
      </c>
    </row>
    <row r="47" spans="1:24" s="110" customFormat="1" x14ac:dyDescent="0.25">
      <c r="A47" s="854"/>
      <c r="B47" s="863"/>
      <c r="C47" s="863"/>
      <c r="D47" s="863"/>
      <c r="E47" s="863"/>
      <c r="F47" s="857"/>
      <c r="G47" s="872"/>
      <c r="H47" s="860"/>
      <c r="I47" s="875"/>
      <c r="J47" s="878"/>
      <c r="K47" s="881"/>
      <c r="L47" s="863"/>
      <c r="M47" s="863"/>
      <c r="N47" s="627">
        <v>45473</v>
      </c>
      <c r="O47" s="857"/>
      <c r="P47" s="619">
        <v>2000</v>
      </c>
      <c r="Q47" s="620">
        <v>45477</v>
      </c>
      <c r="R47" s="621"/>
      <c r="S47" s="622"/>
      <c r="T47" s="622"/>
      <c r="U47" s="860"/>
      <c r="V47" s="866"/>
      <c r="W47" s="869"/>
      <c r="X47" s="110">
        <v>34</v>
      </c>
    </row>
    <row r="48" spans="1:24" s="110" customFormat="1" x14ac:dyDescent="0.25">
      <c r="A48" s="854"/>
      <c r="B48" s="863"/>
      <c r="C48" s="863"/>
      <c r="D48" s="863"/>
      <c r="E48" s="863"/>
      <c r="F48" s="857"/>
      <c r="G48" s="872"/>
      <c r="H48" s="860"/>
      <c r="I48" s="875"/>
      <c r="J48" s="878"/>
      <c r="K48" s="881"/>
      <c r="L48" s="863"/>
      <c r="M48" s="863"/>
      <c r="N48" s="627">
        <v>45504</v>
      </c>
      <c r="O48" s="857"/>
      <c r="P48" s="619">
        <v>2000</v>
      </c>
      <c r="Q48" s="620">
        <v>45505</v>
      </c>
      <c r="R48" s="621"/>
      <c r="S48" s="622"/>
      <c r="T48" s="622"/>
      <c r="U48" s="860"/>
      <c r="V48" s="866"/>
      <c r="W48" s="869"/>
      <c r="X48" s="110">
        <v>34</v>
      </c>
    </row>
    <row r="49" spans="1:24" s="110" customFormat="1" x14ac:dyDescent="0.25">
      <c r="A49" s="854"/>
      <c r="B49" s="863"/>
      <c r="C49" s="863"/>
      <c r="D49" s="863"/>
      <c r="E49" s="863"/>
      <c r="F49" s="857"/>
      <c r="G49" s="872"/>
      <c r="H49" s="860"/>
      <c r="I49" s="875"/>
      <c r="J49" s="878"/>
      <c r="K49" s="881"/>
      <c r="L49" s="863"/>
      <c r="M49" s="863"/>
      <c r="N49" s="627">
        <v>45535</v>
      </c>
      <c r="O49" s="857"/>
      <c r="P49" s="619">
        <v>2000</v>
      </c>
      <c r="Q49" s="620">
        <v>45539</v>
      </c>
      <c r="R49" s="621"/>
      <c r="S49" s="622"/>
      <c r="T49" s="622"/>
      <c r="U49" s="860"/>
      <c r="V49" s="866"/>
      <c r="W49" s="869"/>
      <c r="X49" s="110">
        <v>34</v>
      </c>
    </row>
    <row r="50" spans="1:24" s="110" customFormat="1" x14ac:dyDescent="0.25">
      <c r="A50" s="855"/>
      <c r="B50" s="864"/>
      <c r="C50" s="864"/>
      <c r="D50" s="864"/>
      <c r="E50" s="864"/>
      <c r="F50" s="858"/>
      <c r="G50" s="873"/>
      <c r="H50" s="861"/>
      <c r="I50" s="876"/>
      <c r="J50" s="879"/>
      <c r="K50" s="882"/>
      <c r="L50" s="864"/>
      <c r="M50" s="864"/>
      <c r="N50" s="628">
        <v>45565</v>
      </c>
      <c r="O50" s="858"/>
      <c r="P50" s="623">
        <v>2000</v>
      </c>
      <c r="Q50" s="624"/>
      <c r="R50" s="625"/>
      <c r="S50" s="623"/>
      <c r="T50" s="623"/>
      <c r="U50" s="861"/>
      <c r="V50" s="867"/>
      <c r="W50" s="870"/>
      <c r="X50" s="110">
        <v>34</v>
      </c>
    </row>
    <row r="51" spans="1:24" s="80" customFormat="1" ht="72" customHeight="1" x14ac:dyDescent="0.25">
      <c r="A51" s="853">
        <v>5</v>
      </c>
      <c r="B51" s="862" t="s">
        <v>56</v>
      </c>
      <c r="C51" s="862" t="s">
        <v>147</v>
      </c>
      <c r="D51" s="862" t="s">
        <v>158</v>
      </c>
      <c r="E51" s="862" t="s">
        <v>184</v>
      </c>
      <c r="F51" s="856">
        <v>45289</v>
      </c>
      <c r="G51" s="871" t="s">
        <v>185</v>
      </c>
      <c r="H51" s="859">
        <v>36000</v>
      </c>
      <c r="I51" s="874">
        <f>IF(X51 = 35, H51 + SUM(S51:S59) - SUM(T51:T59) - SUM(P51:P59) - V51,0)</f>
        <v>9000</v>
      </c>
      <c r="J51" s="877">
        <v>2353002302</v>
      </c>
      <c r="K51" s="880" t="s">
        <v>182</v>
      </c>
      <c r="L51" s="862" t="s">
        <v>147</v>
      </c>
      <c r="M51" s="862" t="s">
        <v>175</v>
      </c>
      <c r="N51" s="626">
        <v>45322</v>
      </c>
      <c r="O51" s="856" t="s">
        <v>203</v>
      </c>
      <c r="P51" s="615">
        <v>3000</v>
      </c>
      <c r="Q51" s="616">
        <v>45327</v>
      </c>
      <c r="R51" s="617"/>
      <c r="S51" s="618"/>
      <c r="T51" s="618"/>
      <c r="U51" s="859"/>
      <c r="V51" s="865"/>
      <c r="W51" s="868"/>
      <c r="X51" s="80">
        <v>35</v>
      </c>
    </row>
    <row r="52" spans="1:24" s="110" customFormat="1" x14ac:dyDescent="0.25">
      <c r="A52" s="854"/>
      <c r="B52" s="863"/>
      <c r="C52" s="863"/>
      <c r="D52" s="863"/>
      <c r="E52" s="863"/>
      <c r="F52" s="857"/>
      <c r="G52" s="872"/>
      <c r="H52" s="860"/>
      <c r="I52" s="875"/>
      <c r="J52" s="878"/>
      <c r="K52" s="881"/>
      <c r="L52" s="863"/>
      <c r="M52" s="863"/>
      <c r="N52" s="627">
        <v>45351</v>
      </c>
      <c r="O52" s="857"/>
      <c r="P52" s="619">
        <v>3000</v>
      </c>
      <c r="Q52" s="620">
        <v>45351</v>
      </c>
      <c r="R52" s="621"/>
      <c r="S52" s="622"/>
      <c r="T52" s="622"/>
      <c r="U52" s="860"/>
      <c r="V52" s="866"/>
      <c r="W52" s="869"/>
      <c r="X52" s="110">
        <v>35</v>
      </c>
    </row>
    <row r="53" spans="1:24" s="110" customFormat="1" x14ac:dyDescent="0.25">
      <c r="A53" s="854"/>
      <c r="B53" s="863"/>
      <c r="C53" s="863"/>
      <c r="D53" s="863"/>
      <c r="E53" s="863"/>
      <c r="F53" s="857"/>
      <c r="G53" s="872"/>
      <c r="H53" s="860"/>
      <c r="I53" s="875"/>
      <c r="J53" s="878"/>
      <c r="K53" s="881"/>
      <c r="L53" s="863"/>
      <c r="M53" s="863"/>
      <c r="N53" s="627">
        <v>45382</v>
      </c>
      <c r="O53" s="857"/>
      <c r="P53" s="619">
        <v>3000</v>
      </c>
      <c r="Q53" s="620">
        <v>38080</v>
      </c>
      <c r="R53" s="621"/>
      <c r="S53" s="622"/>
      <c r="T53" s="622"/>
      <c r="U53" s="860"/>
      <c r="V53" s="866"/>
      <c r="W53" s="869"/>
      <c r="X53" s="110">
        <v>35</v>
      </c>
    </row>
    <row r="54" spans="1:24" s="110" customFormat="1" x14ac:dyDescent="0.25">
      <c r="A54" s="854"/>
      <c r="B54" s="863"/>
      <c r="C54" s="863"/>
      <c r="D54" s="863"/>
      <c r="E54" s="863"/>
      <c r="F54" s="857"/>
      <c r="G54" s="872"/>
      <c r="H54" s="860"/>
      <c r="I54" s="875"/>
      <c r="J54" s="878"/>
      <c r="K54" s="881"/>
      <c r="L54" s="863"/>
      <c r="M54" s="863"/>
      <c r="N54" s="627">
        <v>45412</v>
      </c>
      <c r="O54" s="857"/>
      <c r="P54" s="619">
        <v>3000</v>
      </c>
      <c r="Q54" s="620">
        <v>45419</v>
      </c>
      <c r="R54" s="621"/>
      <c r="S54" s="622"/>
      <c r="T54" s="622"/>
      <c r="U54" s="860"/>
      <c r="V54" s="866"/>
      <c r="W54" s="869"/>
      <c r="X54" s="110">
        <v>35</v>
      </c>
    </row>
    <row r="55" spans="1:24" s="110" customFormat="1" x14ac:dyDescent="0.25">
      <c r="A55" s="854"/>
      <c r="B55" s="863"/>
      <c r="C55" s="863"/>
      <c r="D55" s="863"/>
      <c r="E55" s="863"/>
      <c r="F55" s="857"/>
      <c r="G55" s="872"/>
      <c r="H55" s="860"/>
      <c r="I55" s="875"/>
      <c r="J55" s="878"/>
      <c r="K55" s="881"/>
      <c r="L55" s="863"/>
      <c r="M55" s="863"/>
      <c r="N55" s="627">
        <v>45443</v>
      </c>
      <c r="O55" s="857"/>
      <c r="P55" s="619">
        <v>3000</v>
      </c>
      <c r="Q55" s="620">
        <v>45448</v>
      </c>
      <c r="R55" s="621"/>
      <c r="S55" s="622"/>
      <c r="T55" s="622"/>
      <c r="U55" s="860"/>
      <c r="V55" s="866"/>
      <c r="W55" s="869"/>
      <c r="X55" s="110">
        <v>35</v>
      </c>
    </row>
    <row r="56" spans="1:24" s="110" customFormat="1" x14ac:dyDescent="0.25">
      <c r="A56" s="854"/>
      <c r="B56" s="863"/>
      <c r="C56" s="863"/>
      <c r="D56" s="863"/>
      <c r="E56" s="863"/>
      <c r="F56" s="857"/>
      <c r="G56" s="872"/>
      <c r="H56" s="860"/>
      <c r="I56" s="875"/>
      <c r="J56" s="878"/>
      <c r="K56" s="881"/>
      <c r="L56" s="863"/>
      <c r="M56" s="863"/>
      <c r="N56" s="627">
        <v>45473</v>
      </c>
      <c r="O56" s="857"/>
      <c r="P56" s="619">
        <v>3000</v>
      </c>
      <c r="Q56" s="620">
        <v>45446</v>
      </c>
      <c r="R56" s="621"/>
      <c r="S56" s="622"/>
      <c r="T56" s="622"/>
      <c r="U56" s="860"/>
      <c r="V56" s="866"/>
      <c r="W56" s="869"/>
      <c r="X56" s="110">
        <v>35</v>
      </c>
    </row>
    <row r="57" spans="1:24" s="110" customFormat="1" x14ac:dyDescent="0.25">
      <c r="A57" s="854"/>
      <c r="B57" s="863"/>
      <c r="C57" s="863"/>
      <c r="D57" s="863"/>
      <c r="E57" s="863"/>
      <c r="F57" s="857"/>
      <c r="G57" s="872"/>
      <c r="H57" s="860"/>
      <c r="I57" s="875"/>
      <c r="J57" s="878"/>
      <c r="K57" s="881"/>
      <c r="L57" s="863"/>
      <c r="M57" s="863"/>
      <c r="N57" s="627" t="s">
        <v>366</v>
      </c>
      <c r="O57" s="857"/>
      <c r="P57" s="619">
        <v>3000</v>
      </c>
      <c r="Q57" s="620">
        <v>45505</v>
      </c>
      <c r="R57" s="621"/>
      <c r="S57" s="622"/>
      <c r="T57" s="622"/>
      <c r="U57" s="860"/>
      <c r="V57" s="866"/>
      <c r="W57" s="869"/>
      <c r="X57" s="110">
        <v>35</v>
      </c>
    </row>
    <row r="58" spans="1:24" s="110" customFormat="1" x14ac:dyDescent="0.25">
      <c r="A58" s="854"/>
      <c r="B58" s="863"/>
      <c r="C58" s="863"/>
      <c r="D58" s="863"/>
      <c r="E58" s="863"/>
      <c r="F58" s="857"/>
      <c r="G58" s="872"/>
      <c r="H58" s="860"/>
      <c r="I58" s="875"/>
      <c r="J58" s="878"/>
      <c r="K58" s="881"/>
      <c r="L58" s="863"/>
      <c r="M58" s="863"/>
      <c r="N58" s="627">
        <v>45535</v>
      </c>
      <c r="O58" s="857"/>
      <c r="P58" s="619">
        <v>3000</v>
      </c>
      <c r="Q58" s="620">
        <v>45539</v>
      </c>
      <c r="R58" s="621"/>
      <c r="S58" s="622"/>
      <c r="T58" s="622"/>
      <c r="U58" s="860"/>
      <c r="V58" s="866"/>
      <c r="W58" s="869"/>
      <c r="X58" s="110">
        <v>35</v>
      </c>
    </row>
    <row r="59" spans="1:24" s="110" customFormat="1" x14ac:dyDescent="0.25">
      <c r="A59" s="855"/>
      <c r="B59" s="864"/>
      <c r="C59" s="864"/>
      <c r="D59" s="864"/>
      <c r="E59" s="864"/>
      <c r="F59" s="858"/>
      <c r="G59" s="873"/>
      <c r="H59" s="861"/>
      <c r="I59" s="876"/>
      <c r="J59" s="879"/>
      <c r="K59" s="882"/>
      <c r="L59" s="864"/>
      <c r="M59" s="864"/>
      <c r="N59" s="628">
        <v>45565</v>
      </c>
      <c r="O59" s="858"/>
      <c r="P59" s="623">
        <v>3000</v>
      </c>
      <c r="Q59" s="624"/>
      <c r="R59" s="625"/>
      <c r="S59" s="623"/>
      <c r="T59" s="623"/>
      <c r="U59" s="861"/>
      <c r="V59" s="867"/>
      <c r="W59" s="870"/>
      <c r="X59" s="110">
        <v>35</v>
      </c>
    </row>
    <row r="60" spans="1:24" s="80" customFormat="1" ht="90" customHeight="1" x14ac:dyDescent="0.25">
      <c r="A60" s="853">
        <v>6</v>
      </c>
      <c r="B60" s="862" t="s">
        <v>56</v>
      </c>
      <c r="C60" s="862" t="s">
        <v>147</v>
      </c>
      <c r="D60" s="862" t="s">
        <v>158</v>
      </c>
      <c r="E60" s="862" t="s">
        <v>186</v>
      </c>
      <c r="F60" s="856">
        <v>45289</v>
      </c>
      <c r="G60" s="871" t="s">
        <v>187</v>
      </c>
      <c r="H60" s="859">
        <v>27406.080000000002</v>
      </c>
      <c r="I60" s="874">
        <f>IF(X60 = 36, H60 + SUM(S60:S68) - SUM(T60:T68) - SUM(P60:P68) - V60,0)</f>
        <v>6851.52</v>
      </c>
      <c r="J60" s="877">
        <v>2310163739</v>
      </c>
      <c r="K60" s="880" t="s">
        <v>188</v>
      </c>
      <c r="L60" s="862" t="s">
        <v>147</v>
      </c>
      <c r="M60" s="862" t="s">
        <v>175</v>
      </c>
      <c r="N60" s="626">
        <v>45322</v>
      </c>
      <c r="O60" s="856" t="s">
        <v>189</v>
      </c>
      <c r="P60" s="615">
        <v>2283.84</v>
      </c>
      <c r="Q60" s="616">
        <v>45334</v>
      </c>
      <c r="R60" s="617"/>
      <c r="S60" s="618"/>
      <c r="T60" s="618"/>
      <c r="U60" s="859"/>
      <c r="V60" s="865"/>
      <c r="W60" s="868"/>
      <c r="X60" s="80">
        <v>36</v>
      </c>
    </row>
    <row r="61" spans="1:24" s="110" customFormat="1" x14ac:dyDescent="0.25">
      <c r="A61" s="854"/>
      <c r="B61" s="863"/>
      <c r="C61" s="863"/>
      <c r="D61" s="863"/>
      <c r="E61" s="863"/>
      <c r="F61" s="857"/>
      <c r="G61" s="872"/>
      <c r="H61" s="860"/>
      <c r="I61" s="875"/>
      <c r="J61" s="878"/>
      <c r="K61" s="881"/>
      <c r="L61" s="863"/>
      <c r="M61" s="863"/>
      <c r="N61" s="627">
        <v>45351</v>
      </c>
      <c r="O61" s="857"/>
      <c r="P61" s="619">
        <v>2283.84</v>
      </c>
      <c r="Q61" s="620">
        <v>45351</v>
      </c>
      <c r="R61" s="621"/>
      <c r="S61" s="622"/>
      <c r="T61" s="622"/>
      <c r="U61" s="860"/>
      <c r="V61" s="866"/>
      <c r="W61" s="869"/>
      <c r="X61" s="110">
        <v>36</v>
      </c>
    </row>
    <row r="62" spans="1:24" s="110" customFormat="1" x14ac:dyDescent="0.25">
      <c r="A62" s="854"/>
      <c r="B62" s="863"/>
      <c r="C62" s="863"/>
      <c r="D62" s="863"/>
      <c r="E62" s="863"/>
      <c r="F62" s="857"/>
      <c r="G62" s="872"/>
      <c r="H62" s="860"/>
      <c r="I62" s="875"/>
      <c r="J62" s="878"/>
      <c r="K62" s="881"/>
      <c r="L62" s="863"/>
      <c r="M62" s="863"/>
      <c r="N62" s="627">
        <v>45380</v>
      </c>
      <c r="O62" s="857"/>
      <c r="P62" s="619">
        <v>2283.84</v>
      </c>
      <c r="Q62" s="620">
        <v>45385</v>
      </c>
      <c r="R62" s="621"/>
      <c r="S62" s="622"/>
      <c r="T62" s="622"/>
      <c r="U62" s="860"/>
      <c r="V62" s="866"/>
      <c r="W62" s="869"/>
      <c r="X62" s="110">
        <v>36</v>
      </c>
    </row>
    <row r="63" spans="1:24" s="110" customFormat="1" x14ac:dyDescent="0.25">
      <c r="A63" s="854"/>
      <c r="B63" s="863"/>
      <c r="C63" s="863"/>
      <c r="D63" s="863"/>
      <c r="E63" s="863"/>
      <c r="F63" s="857"/>
      <c r="G63" s="872"/>
      <c r="H63" s="860"/>
      <c r="I63" s="875"/>
      <c r="J63" s="878"/>
      <c r="K63" s="881"/>
      <c r="L63" s="863"/>
      <c r="M63" s="863"/>
      <c r="N63" s="627">
        <v>45409</v>
      </c>
      <c r="O63" s="857"/>
      <c r="P63" s="619">
        <v>2283.84</v>
      </c>
      <c r="Q63" s="620">
        <v>45419</v>
      </c>
      <c r="R63" s="621"/>
      <c r="S63" s="622"/>
      <c r="T63" s="622"/>
      <c r="U63" s="860"/>
      <c r="V63" s="866"/>
      <c r="W63" s="869"/>
      <c r="X63" s="110">
        <v>36</v>
      </c>
    </row>
    <row r="64" spans="1:24" s="110" customFormat="1" x14ac:dyDescent="0.25">
      <c r="A64" s="854"/>
      <c r="B64" s="863"/>
      <c r="C64" s="863"/>
      <c r="D64" s="863"/>
      <c r="E64" s="863"/>
      <c r="F64" s="857"/>
      <c r="G64" s="872"/>
      <c r="H64" s="860"/>
      <c r="I64" s="875"/>
      <c r="J64" s="878"/>
      <c r="K64" s="881"/>
      <c r="L64" s="863"/>
      <c r="M64" s="863"/>
      <c r="N64" s="627">
        <v>45443</v>
      </c>
      <c r="O64" s="857"/>
      <c r="P64" s="619">
        <v>2283.84</v>
      </c>
      <c r="Q64" s="620">
        <v>45448</v>
      </c>
      <c r="R64" s="621"/>
      <c r="S64" s="622"/>
      <c r="T64" s="622"/>
      <c r="U64" s="860"/>
      <c r="V64" s="866"/>
      <c r="W64" s="869"/>
      <c r="X64" s="110">
        <v>36</v>
      </c>
    </row>
    <row r="65" spans="1:24" s="110" customFormat="1" x14ac:dyDescent="0.25">
      <c r="A65" s="854"/>
      <c r="B65" s="863"/>
      <c r="C65" s="863"/>
      <c r="D65" s="863"/>
      <c r="E65" s="863"/>
      <c r="F65" s="857"/>
      <c r="G65" s="872"/>
      <c r="H65" s="860"/>
      <c r="I65" s="875"/>
      <c r="J65" s="878"/>
      <c r="K65" s="881"/>
      <c r="L65" s="863"/>
      <c r="M65" s="863"/>
      <c r="N65" s="627">
        <v>45471</v>
      </c>
      <c r="O65" s="857"/>
      <c r="P65" s="619">
        <v>2283.84</v>
      </c>
      <c r="Q65" s="620">
        <v>45477</v>
      </c>
      <c r="R65" s="621"/>
      <c r="S65" s="622"/>
      <c r="T65" s="622"/>
      <c r="U65" s="860"/>
      <c r="V65" s="866"/>
      <c r="W65" s="869"/>
      <c r="X65" s="110">
        <v>36</v>
      </c>
    </row>
    <row r="66" spans="1:24" s="110" customFormat="1" x14ac:dyDescent="0.25">
      <c r="A66" s="854"/>
      <c r="B66" s="863"/>
      <c r="C66" s="863"/>
      <c r="D66" s="863"/>
      <c r="E66" s="863"/>
      <c r="F66" s="857"/>
      <c r="G66" s="872"/>
      <c r="H66" s="860"/>
      <c r="I66" s="875"/>
      <c r="J66" s="878"/>
      <c r="K66" s="881"/>
      <c r="L66" s="863"/>
      <c r="M66" s="863"/>
      <c r="N66" s="627">
        <v>45504</v>
      </c>
      <c r="O66" s="857"/>
      <c r="P66" s="619">
        <v>2283.84</v>
      </c>
      <c r="Q66" s="620">
        <v>45505</v>
      </c>
      <c r="R66" s="621"/>
      <c r="S66" s="622"/>
      <c r="T66" s="622"/>
      <c r="U66" s="860"/>
      <c r="V66" s="866"/>
      <c r="W66" s="869"/>
      <c r="X66" s="110">
        <v>36</v>
      </c>
    </row>
    <row r="67" spans="1:24" s="110" customFormat="1" x14ac:dyDescent="0.25">
      <c r="A67" s="854"/>
      <c r="B67" s="863"/>
      <c r="C67" s="863"/>
      <c r="D67" s="863"/>
      <c r="E67" s="863"/>
      <c r="F67" s="857"/>
      <c r="G67" s="872"/>
      <c r="H67" s="860"/>
      <c r="I67" s="875"/>
      <c r="J67" s="878"/>
      <c r="K67" s="881"/>
      <c r="L67" s="863"/>
      <c r="M67" s="863"/>
      <c r="N67" s="627">
        <v>45534</v>
      </c>
      <c r="O67" s="857"/>
      <c r="P67" s="619">
        <v>2283.84</v>
      </c>
      <c r="Q67" s="620">
        <v>45545</v>
      </c>
      <c r="R67" s="621"/>
      <c r="S67" s="622"/>
      <c r="T67" s="622"/>
      <c r="U67" s="860"/>
      <c r="V67" s="866"/>
      <c r="W67" s="869"/>
      <c r="X67" s="110">
        <v>36</v>
      </c>
    </row>
    <row r="68" spans="1:24" s="110" customFormat="1" x14ac:dyDescent="0.25">
      <c r="A68" s="855"/>
      <c r="B68" s="864"/>
      <c r="C68" s="864"/>
      <c r="D68" s="864"/>
      <c r="E68" s="864"/>
      <c r="F68" s="858"/>
      <c r="G68" s="873"/>
      <c r="H68" s="861"/>
      <c r="I68" s="876"/>
      <c r="J68" s="879"/>
      <c r="K68" s="882"/>
      <c r="L68" s="864"/>
      <c r="M68" s="864"/>
      <c r="N68" s="628">
        <v>45565</v>
      </c>
      <c r="O68" s="858"/>
      <c r="P68" s="623">
        <v>2283.84</v>
      </c>
      <c r="Q68" s="624"/>
      <c r="R68" s="625"/>
      <c r="S68" s="623"/>
      <c r="T68" s="623"/>
      <c r="U68" s="861"/>
      <c r="V68" s="867"/>
      <c r="W68" s="870"/>
      <c r="X68" s="110">
        <v>36</v>
      </c>
    </row>
    <row r="69" spans="1:24" s="80" customFormat="1" ht="36" customHeight="1" x14ac:dyDescent="0.25">
      <c r="A69" s="940">
        <v>7</v>
      </c>
      <c r="B69" s="943" t="s">
        <v>56</v>
      </c>
      <c r="C69" s="943" t="s">
        <v>147</v>
      </c>
      <c r="D69" s="943" t="s">
        <v>158</v>
      </c>
      <c r="E69" s="943" t="s">
        <v>196</v>
      </c>
      <c r="F69" s="892">
        <v>45289</v>
      </c>
      <c r="G69" s="1063" t="s">
        <v>197</v>
      </c>
      <c r="H69" s="1066">
        <v>21000</v>
      </c>
      <c r="I69" s="1165">
        <f>IF(X69 = 39, H69 + SUM(S69:S71) - SUM(T69:T71) - SUM(P69:P71) - V69,0)</f>
        <v>0</v>
      </c>
      <c r="J69" s="1156">
        <v>235306577600</v>
      </c>
      <c r="K69" s="1162" t="s">
        <v>200</v>
      </c>
      <c r="L69" s="943" t="s">
        <v>147</v>
      </c>
      <c r="M69" s="943" t="s">
        <v>175</v>
      </c>
      <c r="N69" s="527">
        <v>45382</v>
      </c>
      <c r="O69" s="892" t="s">
        <v>198</v>
      </c>
      <c r="P69" s="507">
        <v>9000</v>
      </c>
      <c r="Q69" s="508">
        <v>45384</v>
      </c>
      <c r="R69" s="509"/>
      <c r="S69" s="510"/>
      <c r="T69" s="510"/>
      <c r="U69" s="1066"/>
      <c r="V69" s="883"/>
      <c r="W69" s="1060"/>
      <c r="X69" s="80">
        <v>39</v>
      </c>
    </row>
    <row r="70" spans="1:24" s="110" customFormat="1" x14ac:dyDescent="0.25">
      <c r="A70" s="941"/>
      <c r="B70" s="944"/>
      <c r="C70" s="944"/>
      <c r="D70" s="944"/>
      <c r="E70" s="944"/>
      <c r="F70" s="893"/>
      <c r="G70" s="1064"/>
      <c r="H70" s="1067"/>
      <c r="I70" s="1166"/>
      <c r="J70" s="1157"/>
      <c r="K70" s="1163"/>
      <c r="L70" s="944"/>
      <c r="M70" s="944"/>
      <c r="N70" s="528">
        <v>45473</v>
      </c>
      <c r="O70" s="893"/>
      <c r="P70" s="511">
        <v>9000</v>
      </c>
      <c r="Q70" s="512">
        <v>45476</v>
      </c>
      <c r="R70" s="513"/>
      <c r="S70" s="514"/>
      <c r="T70" s="514"/>
      <c r="U70" s="1067"/>
      <c r="V70" s="884"/>
      <c r="W70" s="1061"/>
      <c r="X70" s="110">
        <v>39</v>
      </c>
    </row>
    <row r="71" spans="1:24" s="110" customFormat="1" x14ac:dyDescent="0.25">
      <c r="A71" s="942"/>
      <c r="B71" s="945"/>
      <c r="C71" s="945"/>
      <c r="D71" s="945"/>
      <c r="E71" s="945"/>
      <c r="F71" s="894"/>
      <c r="G71" s="1065"/>
      <c r="H71" s="1068"/>
      <c r="I71" s="1167"/>
      <c r="J71" s="1158"/>
      <c r="K71" s="1164"/>
      <c r="L71" s="945"/>
      <c r="M71" s="945"/>
      <c r="N71" s="529">
        <v>45504</v>
      </c>
      <c r="O71" s="894"/>
      <c r="P71" s="550">
        <v>3000</v>
      </c>
      <c r="Q71" s="523">
        <v>45510</v>
      </c>
      <c r="R71" s="524"/>
      <c r="S71" s="522"/>
      <c r="T71" s="522"/>
      <c r="U71" s="1068"/>
      <c r="V71" s="885"/>
      <c r="W71" s="1062"/>
      <c r="X71" s="110">
        <v>39</v>
      </c>
    </row>
    <row r="72" spans="1:24" s="80" customFormat="1" ht="56.25" x14ac:dyDescent="0.25">
      <c r="A72" s="111">
        <v>8</v>
      </c>
      <c r="B72" s="109" t="s">
        <v>56</v>
      </c>
      <c r="C72" s="112" t="s">
        <v>147</v>
      </c>
      <c r="D72" s="109" t="s">
        <v>158</v>
      </c>
      <c r="E72" s="112" t="s">
        <v>116</v>
      </c>
      <c r="F72" s="121">
        <v>45289</v>
      </c>
      <c r="G72" s="113" t="s">
        <v>199</v>
      </c>
      <c r="H72" s="114">
        <v>5179.24</v>
      </c>
      <c r="I72" s="115">
        <f>IF(X72 = 40, H72 + SUM(S72:S72) - SUM(T72:T72) - SUM(P72:P72) - V72,0)</f>
        <v>0</v>
      </c>
      <c r="J72" s="116">
        <v>2353023951</v>
      </c>
      <c r="K72" s="117" t="s">
        <v>201</v>
      </c>
      <c r="L72" s="112" t="s">
        <v>147</v>
      </c>
      <c r="M72" s="109" t="s">
        <v>202</v>
      </c>
      <c r="N72" s="121">
        <v>45321</v>
      </c>
      <c r="O72" s="119" t="s">
        <v>203</v>
      </c>
      <c r="P72" s="143">
        <v>5179.24</v>
      </c>
      <c r="Q72" s="113">
        <v>45327</v>
      </c>
      <c r="R72" s="112"/>
      <c r="S72" s="114"/>
      <c r="T72" s="114"/>
      <c r="U72" s="114"/>
      <c r="V72" s="118"/>
      <c r="W72" s="120"/>
      <c r="X72" s="80">
        <v>40</v>
      </c>
    </row>
    <row r="73" spans="1:24" s="80" customFormat="1" ht="108" customHeight="1" x14ac:dyDescent="0.25">
      <c r="A73" s="955">
        <v>9</v>
      </c>
      <c r="B73" s="967" t="s">
        <v>56</v>
      </c>
      <c r="C73" s="967" t="s">
        <v>147</v>
      </c>
      <c r="D73" s="967" t="s">
        <v>158</v>
      </c>
      <c r="E73" s="967" t="s">
        <v>116</v>
      </c>
      <c r="F73" s="988">
        <v>45289</v>
      </c>
      <c r="G73" s="1153" t="s">
        <v>204</v>
      </c>
      <c r="H73" s="991">
        <v>63000</v>
      </c>
      <c r="I73" s="1051">
        <f>IF(X73 = 41, H73 + SUM(S73:S80) - SUM(T73:T80) - SUM(P73:P80) - V73,0)</f>
        <v>23950</v>
      </c>
      <c r="J73" s="1054">
        <v>2353017179</v>
      </c>
      <c r="K73" s="1057" t="s">
        <v>205</v>
      </c>
      <c r="L73" s="967" t="s">
        <v>147</v>
      </c>
      <c r="M73" s="967" t="s">
        <v>175</v>
      </c>
      <c r="N73" s="641">
        <v>45322</v>
      </c>
      <c r="O73" s="988" t="s">
        <v>203</v>
      </c>
      <c r="P73" s="630">
        <v>6950</v>
      </c>
      <c r="Q73" s="631">
        <v>45331</v>
      </c>
      <c r="R73" s="632"/>
      <c r="S73" s="633"/>
      <c r="T73" s="633"/>
      <c r="U73" s="991"/>
      <c r="V73" s="994"/>
      <c r="W73" s="964"/>
      <c r="X73" s="80">
        <v>41</v>
      </c>
    </row>
    <row r="74" spans="1:24" s="110" customFormat="1" x14ac:dyDescent="0.25">
      <c r="A74" s="956"/>
      <c r="B74" s="968"/>
      <c r="C74" s="968"/>
      <c r="D74" s="968"/>
      <c r="E74" s="968"/>
      <c r="F74" s="989"/>
      <c r="G74" s="1154"/>
      <c r="H74" s="992"/>
      <c r="I74" s="1052"/>
      <c r="J74" s="1055"/>
      <c r="K74" s="1058"/>
      <c r="L74" s="968"/>
      <c r="M74" s="968"/>
      <c r="N74" s="642">
        <v>45351</v>
      </c>
      <c r="O74" s="989"/>
      <c r="P74" s="634">
        <v>7200</v>
      </c>
      <c r="Q74" s="635">
        <v>45365</v>
      </c>
      <c r="R74" s="636"/>
      <c r="S74" s="637"/>
      <c r="T74" s="637"/>
      <c r="U74" s="992"/>
      <c r="V74" s="995"/>
      <c r="W74" s="965"/>
      <c r="X74" s="110">
        <v>41</v>
      </c>
    </row>
    <row r="75" spans="1:24" s="110" customFormat="1" x14ac:dyDescent="0.25">
      <c r="A75" s="956"/>
      <c r="B75" s="968"/>
      <c r="C75" s="968"/>
      <c r="D75" s="968"/>
      <c r="E75" s="968"/>
      <c r="F75" s="989"/>
      <c r="G75" s="1154"/>
      <c r="H75" s="992"/>
      <c r="I75" s="1052"/>
      <c r="J75" s="1055"/>
      <c r="K75" s="1058"/>
      <c r="L75" s="968"/>
      <c r="M75" s="968"/>
      <c r="N75" s="642">
        <v>45382</v>
      </c>
      <c r="O75" s="989"/>
      <c r="P75" s="634">
        <v>6900</v>
      </c>
      <c r="Q75" s="635">
        <v>45393</v>
      </c>
      <c r="R75" s="636"/>
      <c r="S75" s="637"/>
      <c r="T75" s="637"/>
      <c r="U75" s="992"/>
      <c r="V75" s="995"/>
      <c r="W75" s="965"/>
      <c r="X75" s="110">
        <v>41</v>
      </c>
    </row>
    <row r="76" spans="1:24" s="110" customFormat="1" x14ac:dyDescent="0.25">
      <c r="A76" s="956"/>
      <c r="B76" s="968"/>
      <c r="C76" s="968"/>
      <c r="D76" s="968"/>
      <c r="E76" s="968"/>
      <c r="F76" s="989"/>
      <c r="G76" s="1154"/>
      <c r="H76" s="992"/>
      <c r="I76" s="1052"/>
      <c r="J76" s="1055"/>
      <c r="K76" s="1058"/>
      <c r="L76" s="968"/>
      <c r="M76" s="968"/>
      <c r="N76" s="642">
        <v>45412</v>
      </c>
      <c r="O76" s="989"/>
      <c r="P76" s="634">
        <v>7200</v>
      </c>
      <c r="Q76" s="635">
        <v>45428</v>
      </c>
      <c r="R76" s="636"/>
      <c r="S76" s="637"/>
      <c r="T76" s="637"/>
      <c r="U76" s="992"/>
      <c r="V76" s="995"/>
      <c r="W76" s="965"/>
      <c r="X76" s="110">
        <v>41</v>
      </c>
    </row>
    <row r="77" spans="1:24" s="110" customFormat="1" x14ac:dyDescent="0.25">
      <c r="A77" s="956"/>
      <c r="B77" s="968"/>
      <c r="C77" s="968"/>
      <c r="D77" s="968"/>
      <c r="E77" s="968"/>
      <c r="F77" s="989"/>
      <c r="G77" s="1154"/>
      <c r="H77" s="992"/>
      <c r="I77" s="1052"/>
      <c r="J77" s="1055"/>
      <c r="K77" s="1058"/>
      <c r="L77" s="968"/>
      <c r="M77" s="968"/>
      <c r="N77" s="642">
        <v>45443</v>
      </c>
      <c r="O77" s="989"/>
      <c r="P77" s="634">
        <v>6000</v>
      </c>
      <c r="Q77" s="635">
        <v>45454</v>
      </c>
      <c r="R77" s="636"/>
      <c r="S77" s="637"/>
      <c r="T77" s="637"/>
      <c r="U77" s="992"/>
      <c r="V77" s="995"/>
      <c r="W77" s="965"/>
      <c r="X77" s="110">
        <v>41</v>
      </c>
    </row>
    <row r="78" spans="1:24" s="110" customFormat="1" x14ac:dyDescent="0.25">
      <c r="A78" s="956"/>
      <c r="B78" s="968"/>
      <c r="C78" s="968"/>
      <c r="D78" s="968"/>
      <c r="E78" s="968"/>
      <c r="F78" s="989"/>
      <c r="G78" s="1154"/>
      <c r="H78" s="992"/>
      <c r="I78" s="1052"/>
      <c r="J78" s="1055"/>
      <c r="K78" s="1058"/>
      <c r="L78" s="968"/>
      <c r="M78" s="968"/>
      <c r="N78" s="642">
        <v>45473</v>
      </c>
      <c r="O78" s="989"/>
      <c r="P78" s="634">
        <v>3900</v>
      </c>
      <c r="Q78" s="635">
        <v>45498</v>
      </c>
      <c r="R78" s="636"/>
      <c r="S78" s="637"/>
      <c r="T78" s="637"/>
      <c r="U78" s="992"/>
      <c r="V78" s="995"/>
      <c r="W78" s="965"/>
      <c r="X78" s="110">
        <v>41</v>
      </c>
    </row>
    <row r="79" spans="1:24" s="110" customFormat="1" x14ac:dyDescent="0.25">
      <c r="A79" s="956"/>
      <c r="B79" s="968"/>
      <c r="C79" s="968"/>
      <c r="D79" s="968"/>
      <c r="E79" s="968"/>
      <c r="F79" s="989"/>
      <c r="G79" s="1154"/>
      <c r="H79" s="992"/>
      <c r="I79" s="1052"/>
      <c r="J79" s="1055"/>
      <c r="K79" s="1058"/>
      <c r="L79" s="968"/>
      <c r="M79" s="968"/>
      <c r="N79" s="642">
        <v>45504</v>
      </c>
      <c r="O79" s="989"/>
      <c r="P79" s="634">
        <v>600</v>
      </c>
      <c r="Q79" s="635">
        <v>45510</v>
      </c>
      <c r="R79" s="636"/>
      <c r="S79" s="637"/>
      <c r="T79" s="637"/>
      <c r="U79" s="992"/>
      <c r="V79" s="995"/>
      <c r="W79" s="965"/>
      <c r="X79" s="110">
        <v>41</v>
      </c>
    </row>
    <row r="80" spans="1:24" s="110" customFormat="1" x14ac:dyDescent="0.25">
      <c r="A80" s="957"/>
      <c r="B80" s="969"/>
      <c r="C80" s="969"/>
      <c r="D80" s="969"/>
      <c r="E80" s="969"/>
      <c r="F80" s="990"/>
      <c r="G80" s="1155"/>
      <c r="H80" s="993"/>
      <c r="I80" s="1053"/>
      <c r="J80" s="1056"/>
      <c r="K80" s="1059"/>
      <c r="L80" s="969"/>
      <c r="M80" s="969"/>
      <c r="N80" s="643">
        <v>45535</v>
      </c>
      <c r="O80" s="990"/>
      <c r="P80" s="674">
        <v>300</v>
      </c>
      <c r="Q80" s="639">
        <v>45546</v>
      </c>
      <c r="R80" s="640"/>
      <c r="S80" s="638"/>
      <c r="T80" s="638"/>
      <c r="U80" s="993"/>
      <c r="V80" s="996"/>
      <c r="W80" s="966"/>
      <c r="X80" s="110">
        <v>41</v>
      </c>
    </row>
    <row r="81" spans="1:24" s="80" customFormat="1" ht="54" customHeight="1" x14ac:dyDescent="0.25">
      <c r="A81" s="958">
        <v>10</v>
      </c>
      <c r="B81" s="961" t="s">
        <v>56</v>
      </c>
      <c r="C81" s="961" t="s">
        <v>147</v>
      </c>
      <c r="D81" s="961" t="s">
        <v>158</v>
      </c>
      <c r="E81" s="961" t="s">
        <v>402</v>
      </c>
      <c r="F81" s="982">
        <v>45289</v>
      </c>
      <c r="G81" s="985" t="s">
        <v>206</v>
      </c>
      <c r="H81" s="1159">
        <v>3600</v>
      </c>
      <c r="I81" s="895">
        <f>IF(X81 = 42, H81 + SUM(S81:S83) - SUM(T81:T83) - SUM(P81:P83) - V81,0)</f>
        <v>900</v>
      </c>
      <c r="J81" s="976">
        <v>2369000660</v>
      </c>
      <c r="K81" s="979" t="s">
        <v>207</v>
      </c>
      <c r="L81" s="961" t="s">
        <v>147</v>
      </c>
      <c r="M81" s="961" t="s">
        <v>175</v>
      </c>
      <c r="N81" s="671">
        <v>45382</v>
      </c>
      <c r="O81" s="982" t="s">
        <v>203</v>
      </c>
      <c r="P81" s="660">
        <v>900</v>
      </c>
      <c r="Q81" s="661">
        <v>45384</v>
      </c>
      <c r="R81" s="662"/>
      <c r="S81" s="663"/>
      <c r="T81" s="663"/>
      <c r="U81" s="1159"/>
      <c r="V81" s="970"/>
      <c r="W81" s="973"/>
      <c r="X81" s="80">
        <v>42</v>
      </c>
    </row>
    <row r="82" spans="1:24" s="110" customFormat="1" x14ac:dyDescent="0.25">
      <c r="A82" s="959"/>
      <c r="B82" s="962"/>
      <c r="C82" s="962"/>
      <c r="D82" s="962"/>
      <c r="E82" s="962"/>
      <c r="F82" s="983"/>
      <c r="G82" s="986"/>
      <c r="H82" s="1160"/>
      <c r="I82" s="896"/>
      <c r="J82" s="977"/>
      <c r="K82" s="980"/>
      <c r="L82" s="962"/>
      <c r="M82" s="962"/>
      <c r="N82" s="672">
        <v>45473</v>
      </c>
      <c r="O82" s="983"/>
      <c r="P82" s="664">
        <v>900</v>
      </c>
      <c r="Q82" s="665">
        <v>45476</v>
      </c>
      <c r="R82" s="666"/>
      <c r="S82" s="667"/>
      <c r="T82" s="667"/>
      <c r="U82" s="1160"/>
      <c r="V82" s="971"/>
      <c r="W82" s="974"/>
      <c r="X82" s="110">
        <v>42</v>
      </c>
    </row>
    <row r="83" spans="1:24" s="110" customFormat="1" x14ac:dyDescent="0.25">
      <c r="A83" s="960"/>
      <c r="B83" s="963"/>
      <c r="C83" s="963"/>
      <c r="D83" s="963"/>
      <c r="E83" s="963"/>
      <c r="F83" s="984"/>
      <c r="G83" s="987"/>
      <c r="H83" s="1161"/>
      <c r="I83" s="897"/>
      <c r="J83" s="978"/>
      <c r="K83" s="981"/>
      <c r="L83" s="963"/>
      <c r="M83" s="963"/>
      <c r="N83" s="673">
        <v>45565</v>
      </c>
      <c r="O83" s="984"/>
      <c r="P83" s="668">
        <v>900</v>
      </c>
      <c r="Q83" s="669"/>
      <c r="R83" s="670"/>
      <c r="S83" s="668"/>
      <c r="T83" s="668"/>
      <c r="U83" s="1161"/>
      <c r="V83" s="972"/>
      <c r="W83" s="975"/>
      <c r="X83" s="110">
        <v>42</v>
      </c>
    </row>
    <row r="84" spans="1:24" s="80" customFormat="1" ht="36" customHeight="1" x14ac:dyDescent="0.25">
      <c r="A84" s="823">
        <v>11</v>
      </c>
      <c r="B84" s="832" t="s">
        <v>56</v>
      </c>
      <c r="C84" s="832" t="s">
        <v>147</v>
      </c>
      <c r="D84" s="832" t="s">
        <v>158</v>
      </c>
      <c r="E84" s="832" t="s">
        <v>211</v>
      </c>
      <c r="F84" s="826">
        <v>45289</v>
      </c>
      <c r="G84" s="841" t="s">
        <v>208</v>
      </c>
      <c r="H84" s="829">
        <v>4500</v>
      </c>
      <c r="I84" s="844">
        <f>IF(X84 = 43, H84 + SUM(S84:S92) - SUM(T84:T92) - SUM(P84:P92) - V84,0)</f>
        <v>1004.4000000000001</v>
      </c>
      <c r="J84" s="847">
        <v>7707049388</v>
      </c>
      <c r="K84" s="850" t="s">
        <v>209</v>
      </c>
      <c r="L84" s="832" t="s">
        <v>210</v>
      </c>
      <c r="M84" s="832" t="s">
        <v>175</v>
      </c>
      <c r="N84" s="695">
        <v>45322</v>
      </c>
      <c r="O84" s="826" t="s">
        <v>203</v>
      </c>
      <c r="P84" s="675">
        <v>375.6</v>
      </c>
      <c r="Q84" s="676">
        <v>45328</v>
      </c>
      <c r="R84" s="677"/>
      <c r="S84" s="678"/>
      <c r="T84" s="678"/>
      <c r="U84" s="829"/>
      <c r="V84" s="835"/>
      <c r="W84" s="838"/>
      <c r="X84" s="80">
        <v>43</v>
      </c>
    </row>
    <row r="85" spans="1:24" s="110" customFormat="1" x14ac:dyDescent="0.25">
      <c r="A85" s="824"/>
      <c r="B85" s="833"/>
      <c r="C85" s="833"/>
      <c r="D85" s="833"/>
      <c r="E85" s="833"/>
      <c r="F85" s="827"/>
      <c r="G85" s="842"/>
      <c r="H85" s="830"/>
      <c r="I85" s="845"/>
      <c r="J85" s="848"/>
      <c r="K85" s="851"/>
      <c r="L85" s="833"/>
      <c r="M85" s="833"/>
      <c r="N85" s="696">
        <v>45351</v>
      </c>
      <c r="O85" s="827"/>
      <c r="P85" s="679">
        <v>390</v>
      </c>
      <c r="Q85" s="680">
        <v>45363</v>
      </c>
      <c r="R85" s="681"/>
      <c r="S85" s="682"/>
      <c r="T85" s="682"/>
      <c r="U85" s="830"/>
      <c r="V85" s="836"/>
      <c r="W85" s="839"/>
      <c r="X85" s="110">
        <v>43</v>
      </c>
    </row>
    <row r="86" spans="1:24" s="110" customFormat="1" x14ac:dyDescent="0.25">
      <c r="A86" s="824"/>
      <c r="B86" s="833"/>
      <c r="C86" s="833"/>
      <c r="D86" s="833"/>
      <c r="E86" s="833"/>
      <c r="F86" s="827"/>
      <c r="G86" s="842"/>
      <c r="H86" s="830"/>
      <c r="I86" s="845"/>
      <c r="J86" s="848"/>
      <c r="K86" s="851"/>
      <c r="L86" s="833"/>
      <c r="M86" s="833"/>
      <c r="N86" s="696">
        <v>45382</v>
      </c>
      <c r="O86" s="827"/>
      <c r="P86" s="679">
        <v>390</v>
      </c>
      <c r="Q86" s="680">
        <v>45391</v>
      </c>
      <c r="R86" s="681"/>
      <c r="S86" s="682"/>
      <c r="T86" s="682"/>
      <c r="U86" s="830"/>
      <c r="V86" s="836"/>
      <c r="W86" s="839"/>
      <c r="X86" s="110">
        <v>43</v>
      </c>
    </row>
    <row r="87" spans="1:24" s="110" customFormat="1" x14ac:dyDescent="0.25">
      <c r="A87" s="824"/>
      <c r="B87" s="833"/>
      <c r="C87" s="833"/>
      <c r="D87" s="833"/>
      <c r="E87" s="833"/>
      <c r="F87" s="827"/>
      <c r="G87" s="842"/>
      <c r="H87" s="830"/>
      <c r="I87" s="845"/>
      <c r="J87" s="848"/>
      <c r="K87" s="851"/>
      <c r="L87" s="833"/>
      <c r="M87" s="833"/>
      <c r="N87" s="696">
        <v>45412</v>
      </c>
      <c r="O87" s="827"/>
      <c r="P87" s="679">
        <v>390</v>
      </c>
      <c r="Q87" s="680">
        <v>45420</v>
      </c>
      <c r="R87" s="681"/>
      <c r="S87" s="682"/>
      <c r="T87" s="682"/>
      <c r="U87" s="830"/>
      <c r="V87" s="836"/>
      <c r="W87" s="839"/>
      <c r="X87" s="110">
        <v>43</v>
      </c>
    </row>
    <row r="88" spans="1:24" s="110" customFormat="1" x14ac:dyDescent="0.25">
      <c r="A88" s="824"/>
      <c r="B88" s="833"/>
      <c r="C88" s="833"/>
      <c r="D88" s="833"/>
      <c r="E88" s="833"/>
      <c r="F88" s="827"/>
      <c r="G88" s="842"/>
      <c r="H88" s="830"/>
      <c r="I88" s="845"/>
      <c r="J88" s="848"/>
      <c r="K88" s="851"/>
      <c r="L88" s="833"/>
      <c r="M88" s="833"/>
      <c r="N88" s="696">
        <v>45443</v>
      </c>
      <c r="O88" s="827"/>
      <c r="P88" s="679">
        <v>390</v>
      </c>
      <c r="Q88" s="680">
        <v>45454</v>
      </c>
      <c r="R88" s="681"/>
      <c r="S88" s="682"/>
      <c r="T88" s="682"/>
      <c r="U88" s="830"/>
      <c r="V88" s="836"/>
      <c r="W88" s="839"/>
      <c r="X88" s="110">
        <v>43</v>
      </c>
    </row>
    <row r="89" spans="1:24" s="110" customFormat="1" x14ac:dyDescent="0.25">
      <c r="A89" s="824"/>
      <c r="B89" s="833"/>
      <c r="C89" s="833"/>
      <c r="D89" s="833"/>
      <c r="E89" s="833"/>
      <c r="F89" s="827"/>
      <c r="G89" s="842"/>
      <c r="H89" s="830"/>
      <c r="I89" s="845"/>
      <c r="J89" s="848"/>
      <c r="K89" s="851"/>
      <c r="L89" s="833"/>
      <c r="M89" s="833"/>
      <c r="N89" s="696">
        <v>45473</v>
      </c>
      <c r="O89" s="827"/>
      <c r="P89" s="679">
        <v>390</v>
      </c>
      <c r="Q89" s="680">
        <v>45477</v>
      </c>
      <c r="R89" s="681"/>
      <c r="S89" s="682"/>
      <c r="T89" s="682"/>
      <c r="U89" s="830"/>
      <c r="V89" s="836"/>
      <c r="W89" s="839"/>
      <c r="X89" s="110">
        <v>43</v>
      </c>
    </row>
    <row r="90" spans="1:24" s="110" customFormat="1" x14ac:dyDescent="0.25">
      <c r="A90" s="824"/>
      <c r="B90" s="833"/>
      <c r="C90" s="833"/>
      <c r="D90" s="833"/>
      <c r="E90" s="833"/>
      <c r="F90" s="827"/>
      <c r="G90" s="842"/>
      <c r="H90" s="830"/>
      <c r="I90" s="845"/>
      <c r="J90" s="848"/>
      <c r="K90" s="851"/>
      <c r="L90" s="833"/>
      <c r="M90" s="833"/>
      <c r="N90" s="696">
        <v>45504</v>
      </c>
      <c r="O90" s="827"/>
      <c r="P90" s="679">
        <v>390</v>
      </c>
      <c r="Q90" s="680">
        <v>45512</v>
      </c>
      <c r="R90" s="681"/>
      <c r="S90" s="682"/>
      <c r="T90" s="682"/>
      <c r="U90" s="830"/>
      <c r="V90" s="836"/>
      <c r="W90" s="839"/>
      <c r="X90" s="110">
        <v>43</v>
      </c>
    </row>
    <row r="91" spans="1:24" s="110" customFormat="1" x14ac:dyDescent="0.25">
      <c r="A91" s="824"/>
      <c r="B91" s="833"/>
      <c r="C91" s="833"/>
      <c r="D91" s="833"/>
      <c r="E91" s="833"/>
      <c r="F91" s="827"/>
      <c r="G91" s="842"/>
      <c r="H91" s="830"/>
      <c r="I91" s="845"/>
      <c r="J91" s="848"/>
      <c r="K91" s="851"/>
      <c r="L91" s="833"/>
      <c r="M91" s="833"/>
      <c r="N91" s="696">
        <v>45535</v>
      </c>
      <c r="O91" s="827"/>
      <c r="P91" s="679">
        <v>390</v>
      </c>
      <c r="Q91" s="680">
        <v>45539</v>
      </c>
      <c r="R91" s="681"/>
      <c r="S91" s="682"/>
      <c r="T91" s="682"/>
      <c r="U91" s="830"/>
      <c r="V91" s="836"/>
      <c r="W91" s="839"/>
      <c r="X91" s="110">
        <v>43</v>
      </c>
    </row>
    <row r="92" spans="1:24" s="110" customFormat="1" x14ac:dyDescent="0.25">
      <c r="A92" s="825"/>
      <c r="B92" s="834"/>
      <c r="C92" s="834"/>
      <c r="D92" s="834"/>
      <c r="E92" s="834"/>
      <c r="F92" s="828"/>
      <c r="G92" s="843"/>
      <c r="H92" s="831"/>
      <c r="I92" s="846"/>
      <c r="J92" s="849"/>
      <c r="K92" s="852"/>
      <c r="L92" s="834"/>
      <c r="M92" s="834"/>
      <c r="N92" s="697">
        <v>45565</v>
      </c>
      <c r="O92" s="828"/>
      <c r="P92" s="690">
        <v>390</v>
      </c>
      <c r="Q92" s="691"/>
      <c r="R92" s="692"/>
      <c r="S92" s="690"/>
      <c r="T92" s="690"/>
      <c r="U92" s="831"/>
      <c r="V92" s="837"/>
      <c r="W92" s="840"/>
      <c r="X92" s="110">
        <v>43</v>
      </c>
    </row>
    <row r="93" spans="1:24" s="80" customFormat="1" ht="56.25" x14ac:dyDescent="0.25">
      <c r="A93" s="131">
        <v>12</v>
      </c>
      <c r="B93" s="109" t="s">
        <v>56</v>
      </c>
      <c r="C93" s="123" t="s">
        <v>147</v>
      </c>
      <c r="D93" s="109" t="s">
        <v>158</v>
      </c>
      <c r="E93" s="123" t="s">
        <v>212</v>
      </c>
      <c r="F93" s="132">
        <v>45289</v>
      </c>
      <c r="G93" s="124" t="s">
        <v>213</v>
      </c>
      <c r="H93" s="125">
        <v>50</v>
      </c>
      <c r="I93" s="126">
        <f>IF(X93 = 44, H93 + SUM(S93:S93) - SUM(T93:T93) - SUM(P93:P93) - V93,0)</f>
        <v>50</v>
      </c>
      <c r="J93" s="127">
        <v>7707049388</v>
      </c>
      <c r="K93" s="128" t="s">
        <v>209</v>
      </c>
      <c r="L93" s="123" t="s">
        <v>147</v>
      </c>
      <c r="M93" s="123" t="s">
        <v>175</v>
      </c>
      <c r="N93" s="132"/>
      <c r="O93" s="122" t="s">
        <v>203</v>
      </c>
      <c r="P93" s="125"/>
      <c r="Q93" s="124"/>
      <c r="R93" s="123"/>
      <c r="S93" s="125"/>
      <c r="T93" s="125"/>
      <c r="U93" s="125"/>
      <c r="V93" s="129"/>
      <c r="W93" s="130"/>
      <c r="X93" s="80">
        <v>44</v>
      </c>
    </row>
    <row r="94" spans="1:24" s="80" customFormat="1" ht="36" customHeight="1" x14ac:dyDescent="0.25">
      <c r="A94" s="853">
        <v>13</v>
      </c>
      <c r="B94" s="862" t="s">
        <v>56</v>
      </c>
      <c r="C94" s="862" t="s">
        <v>147</v>
      </c>
      <c r="D94" s="862" t="s">
        <v>158</v>
      </c>
      <c r="E94" s="862" t="s">
        <v>117</v>
      </c>
      <c r="F94" s="856">
        <v>45323</v>
      </c>
      <c r="G94" s="871" t="s">
        <v>199</v>
      </c>
      <c r="H94" s="859">
        <v>38479.32</v>
      </c>
      <c r="I94" s="874">
        <f>IF(X94 = 45, H94 + SUM(S94:S101) - SUM(T94:T101) - SUM(P94:P101) - V94,0)</f>
        <v>28039.360000000001</v>
      </c>
      <c r="J94" s="877">
        <v>2353023951</v>
      </c>
      <c r="K94" s="880" t="s">
        <v>201</v>
      </c>
      <c r="L94" s="862" t="s">
        <v>147</v>
      </c>
      <c r="M94" s="862" t="s">
        <v>216</v>
      </c>
      <c r="N94" s="626">
        <v>45350</v>
      </c>
      <c r="O94" s="856" t="s">
        <v>203</v>
      </c>
      <c r="P94" s="615">
        <v>173.8</v>
      </c>
      <c r="Q94" s="616">
        <v>45352</v>
      </c>
      <c r="R94" s="617"/>
      <c r="S94" s="618"/>
      <c r="T94" s="618"/>
      <c r="U94" s="859"/>
      <c r="V94" s="865"/>
      <c r="W94" s="868"/>
      <c r="X94" s="80">
        <v>45</v>
      </c>
    </row>
    <row r="95" spans="1:24" s="110" customFormat="1" x14ac:dyDescent="0.25">
      <c r="A95" s="854"/>
      <c r="B95" s="863"/>
      <c r="C95" s="863"/>
      <c r="D95" s="863"/>
      <c r="E95" s="863"/>
      <c r="F95" s="857"/>
      <c r="G95" s="872"/>
      <c r="H95" s="860"/>
      <c r="I95" s="875"/>
      <c r="J95" s="878"/>
      <c r="K95" s="881"/>
      <c r="L95" s="863"/>
      <c r="M95" s="863"/>
      <c r="N95" s="627">
        <v>45380</v>
      </c>
      <c r="O95" s="857"/>
      <c r="P95" s="619">
        <v>729.96</v>
      </c>
      <c r="Q95" s="620">
        <v>45385</v>
      </c>
      <c r="R95" s="621"/>
      <c r="S95" s="622"/>
      <c r="T95" s="622"/>
      <c r="U95" s="860"/>
      <c r="V95" s="866"/>
      <c r="W95" s="869"/>
      <c r="X95" s="110">
        <v>45</v>
      </c>
    </row>
    <row r="96" spans="1:24" s="110" customFormat="1" x14ac:dyDescent="0.25">
      <c r="A96" s="854"/>
      <c r="B96" s="863"/>
      <c r="C96" s="863"/>
      <c r="D96" s="863"/>
      <c r="E96" s="863"/>
      <c r="F96" s="857"/>
      <c r="G96" s="872"/>
      <c r="H96" s="860"/>
      <c r="I96" s="875"/>
      <c r="J96" s="878"/>
      <c r="K96" s="881"/>
      <c r="L96" s="863"/>
      <c r="M96" s="863"/>
      <c r="N96" s="627">
        <v>45412</v>
      </c>
      <c r="O96" s="857"/>
      <c r="P96" s="619">
        <v>1390.4</v>
      </c>
      <c r="Q96" s="620">
        <v>45420</v>
      </c>
      <c r="R96" s="621"/>
      <c r="S96" s="622"/>
      <c r="T96" s="622"/>
      <c r="U96" s="860"/>
      <c r="V96" s="866"/>
      <c r="W96" s="869"/>
      <c r="X96" s="110">
        <v>45</v>
      </c>
    </row>
    <row r="97" spans="1:24" s="110" customFormat="1" x14ac:dyDescent="0.25">
      <c r="A97" s="854"/>
      <c r="B97" s="863"/>
      <c r="C97" s="863"/>
      <c r="D97" s="863"/>
      <c r="E97" s="863"/>
      <c r="F97" s="857"/>
      <c r="G97" s="872"/>
      <c r="H97" s="860"/>
      <c r="I97" s="875"/>
      <c r="J97" s="878"/>
      <c r="K97" s="881"/>
      <c r="L97" s="863"/>
      <c r="M97" s="863"/>
      <c r="N97" s="627">
        <v>45440</v>
      </c>
      <c r="O97" s="857"/>
      <c r="P97" s="619">
        <v>556.16</v>
      </c>
      <c r="Q97" s="620">
        <v>45448</v>
      </c>
      <c r="R97" s="621"/>
      <c r="S97" s="622"/>
      <c r="T97" s="622"/>
      <c r="U97" s="860"/>
      <c r="V97" s="866"/>
      <c r="W97" s="869"/>
      <c r="X97" s="110">
        <v>45</v>
      </c>
    </row>
    <row r="98" spans="1:24" s="110" customFormat="1" x14ac:dyDescent="0.25">
      <c r="A98" s="854"/>
      <c r="B98" s="863"/>
      <c r="C98" s="863"/>
      <c r="D98" s="863"/>
      <c r="E98" s="863"/>
      <c r="F98" s="857"/>
      <c r="G98" s="872"/>
      <c r="H98" s="860"/>
      <c r="I98" s="875"/>
      <c r="J98" s="878"/>
      <c r="K98" s="881"/>
      <c r="L98" s="863"/>
      <c r="M98" s="863"/>
      <c r="N98" s="627">
        <v>45469</v>
      </c>
      <c r="O98" s="857"/>
      <c r="P98" s="619">
        <v>2224.64</v>
      </c>
      <c r="Q98" s="620">
        <v>45477</v>
      </c>
      <c r="R98" s="621"/>
      <c r="S98" s="622"/>
      <c r="T98" s="622"/>
      <c r="U98" s="860"/>
      <c r="V98" s="866"/>
      <c r="W98" s="869"/>
      <c r="X98" s="110">
        <v>45</v>
      </c>
    </row>
    <row r="99" spans="1:24" s="110" customFormat="1" x14ac:dyDescent="0.25">
      <c r="A99" s="854"/>
      <c r="B99" s="863"/>
      <c r="C99" s="863"/>
      <c r="D99" s="863"/>
      <c r="E99" s="863"/>
      <c r="F99" s="857"/>
      <c r="G99" s="872"/>
      <c r="H99" s="860"/>
      <c r="I99" s="875"/>
      <c r="J99" s="878"/>
      <c r="K99" s="881"/>
      <c r="L99" s="863"/>
      <c r="M99" s="863"/>
      <c r="N99" s="627">
        <v>45504</v>
      </c>
      <c r="O99" s="857"/>
      <c r="P99" s="619">
        <v>2035</v>
      </c>
      <c r="Q99" s="620">
        <v>45511</v>
      </c>
      <c r="R99" s="621"/>
      <c r="S99" s="622"/>
      <c r="T99" s="622"/>
      <c r="U99" s="860"/>
      <c r="V99" s="866"/>
      <c r="W99" s="869"/>
      <c r="X99" s="110">
        <v>45</v>
      </c>
    </row>
    <row r="100" spans="1:24" s="110" customFormat="1" x14ac:dyDescent="0.25">
      <c r="A100" s="854"/>
      <c r="B100" s="863"/>
      <c r="C100" s="863"/>
      <c r="D100" s="863"/>
      <c r="E100" s="863"/>
      <c r="F100" s="857"/>
      <c r="G100" s="872"/>
      <c r="H100" s="860"/>
      <c r="I100" s="875"/>
      <c r="J100" s="878"/>
      <c r="K100" s="881"/>
      <c r="L100" s="863"/>
      <c r="M100" s="863"/>
      <c r="N100" s="627">
        <v>45535</v>
      </c>
      <c r="O100" s="857"/>
      <c r="P100" s="619">
        <v>2035</v>
      </c>
      <c r="Q100" s="620">
        <v>45539</v>
      </c>
      <c r="R100" s="621"/>
      <c r="S100" s="622"/>
      <c r="T100" s="622"/>
      <c r="U100" s="860"/>
      <c r="V100" s="866"/>
      <c r="W100" s="869"/>
      <c r="X100" s="110">
        <v>45</v>
      </c>
    </row>
    <row r="101" spans="1:24" s="110" customFormat="1" x14ac:dyDescent="0.25">
      <c r="A101" s="855"/>
      <c r="B101" s="864"/>
      <c r="C101" s="864"/>
      <c r="D101" s="864"/>
      <c r="E101" s="864"/>
      <c r="F101" s="858"/>
      <c r="G101" s="873"/>
      <c r="H101" s="861"/>
      <c r="I101" s="876"/>
      <c r="J101" s="879"/>
      <c r="K101" s="882"/>
      <c r="L101" s="864"/>
      <c r="M101" s="864"/>
      <c r="N101" s="628">
        <v>45562</v>
      </c>
      <c r="O101" s="858"/>
      <c r="P101" s="623">
        <v>1295</v>
      </c>
      <c r="Q101" s="624"/>
      <c r="R101" s="625"/>
      <c r="S101" s="623"/>
      <c r="T101" s="623"/>
      <c r="U101" s="861"/>
      <c r="V101" s="867"/>
      <c r="W101" s="870"/>
      <c r="X101" s="110">
        <v>45</v>
      </c>
    </row>
    <row r="102" spans="1:24" s="80" customFormat="1" ht="42" customHeight="1" x14ac:dyDescent="0.25">
      <c r="A102" s="997">
        <v>14</v>
      </c>
      <c r="B102" s="999" t="s">
        <v>56</v>
      </c>
      <c r="C102" s="999" t="s">
        <v>147</v>
      </c>
      <c r="D102" s="999" t="s">
        <v>158</v>
      </c>
      <c r="E102" s="999" t="s">
        <v>217</v>
      </c>
      <c r="F102" s="1004">
        <v>45289</v>
      </c>
      <c r="G102" s="1006" t="s">
        <v>218</v>
      </c>
      <c r="H102" s="1008">
        <v>12135.8</v>
      </c>
      <c r="I102" s="1027">
        <f>IF(X102 = 46, H102 + SUM(S102:S103) - SUM(T102:T103) - SUM(P102:P103) - V102,0)</f>
        <v>6067.8959999999988</v>
      </c>
      <c r="J102" s="1029">
        <v>2353018870</v>
      </c>
      <c r="K102" s="1038" t="s">
        <v>219</v>
      </c>
      <c r="L102" s="999" t="s">
        <v>147</v>
      </c>
      <c r="M102" s="999" t="s">
        <v>175</v>
      </c>
      <c r="N102" s="422">
        <v>45376</v>
      </c>
      <c r="O102" s="1004" t="s">
        <v>203</v>
      </c>
      <c r="P102" s="415">
        <v>3033.9540000000002</v>
      </c>
      <c r="Q102" s="416">
        <v>45378</v>
      </c>
      <c r="R102" s="417"/>
      <c r="S102" s="418"/>
      <c r="T102" s="418"/>
      <c r="U102" s="1008"/>
      <c r="V102" s="1036"/>
      <c r="W102" s="1034"/>
      <c r="X102" s="80">
        <v>46</v>
      </c>
    </row>
    <row r="103" spans="1:24" s="110" customFormat="1" x14ac:dyDescent="0.25">
      <c r="A103" s="998"/>
      <c r="B103" s="1000"/>
      <c r="C103" s="1000"/>
      <c r="D103" s="1000"/>
      <c r="E103" s="1000"/>
      <c r="F103" s="1005"/>
      <c r="G103" s="1007"/>
      <c r="H103" s="1009"/>
      <c r="I103" s="1028"/>
      <c r="J103" s="1030"/>
      <c r="K103" s="1039"/>
      <c r="L103" s="1000"/>
      <c r="M103" s="1000"/>
      <c r="N103" s="423">
        <v>45471</v>
      </c>
      <c r="O103" s="1005"/>
      <c r="P103" s="499">
        <v>3033.95</v>
      </c>
      <c r="Q103" s="420">
        <v>45475</v>
      </c>
      <c r="R103" s="421"/>
      <c r="S103" s="419"/>
      <c r="T103" s="419"/>
      <c r="U103" s="1009"/>
      <c r="V103" s="1037"/>
      <c r="W103" s="1035"/>
      <c r="X103" s="110">
        <v>46</v>
      </c>
    </row>
    <row r="104" spans="1:24" s="80" customFormat="1" ht="56.25" x14ac:dyDescent="0.25">
      <c r="A104" s="133">
        <v>15</v>
      </c>
      <c r="B104" s="109" t="s">
        <v>56</v>
      </c>
      <c r="C104" s="134" t="s">
        <v>147</v>
      </c>
      <c r="D104" s="109" t="s">
        <v>158</v>
      </c>
      <c r="E104" s="134" t="s">
        <v>111</v>
      </c>
      <c r="F104" s="142">
        <v>45317</v>
      </c>
      <c r="G104" s="135" t="s">
        <v>220</v>
      </c>
      <c r="H104" s="136">
        <v>3000</v>
      </c>
      <c r="I104" s="137">
        <f>IF(X104 = 47, H104 + SUM(S104:S104) - SUM(T104:T104) - SUM(P104:P104) - V104,0)</f>
        <v>0</v>
      </c>
      <c r="J104" s="138">
        <v>2369980106</v>
      </c>
      <c r="K104" s="139" t="s">
        <v>222</v>
      </c>
      <c r="L104" s="134" t="s">
        <v>147</v>
      </c>
      <c r="M104" s="134" t="s">
        <v>223</v>
      </c>
      <c r="N104" s="142">
        <v>45324</v>
      </c>
      <c r="O104" s="122" t="s">
        <v>203</v>
      </c>
      <c r="P104" s="150">
        <v>3000</v>
      </c>
      <c r="Q104" s="135">
        <v>45335</v>
      </c>
      <c r="R104" s="134"/>
      <c r="S104" s="136"/>
      <c r="T104" s="136"/>
      <c r="U104" s="136"/>
      <c r="V104" s="140"/>
      <c r="W104" s="141"/>
      <c r="X104" s="80">
        <v>47</v>
      </c>
    </row>
    <row r="105" spans="1:24" s="80" customFormat="1" ht="56.25" x14ac:dyDescent="0.25">
      <c r="A105" s="133">
        <v>16</v>
      </c>
      <c r="B105" s="109" t="s">
        <v>56</v>
      </c>
      <c r="C105" s="134" t="s">
        <v>147</v>
      </c>
      <c r="D105" s="109" t="s">
        <v>158</v>
      </c>
      <c r="E105" s="134" t="s">
        <v>112</v>
      </c>
      <c r="F105" s="142">
        <v>45320</v>
      </c>
      <c r="G105" s="135" t="s">
        <v>221</v>
      </c>
      <c r="H105" s="136">
        <v>1500</v>
      </c>
      <c r="I105" s="137">
        <f>IF(X105 = 48, H105 + SUM(S105:S105) - SUM(T105:T105) - SUM(P105:P105) - V105,0)</f>
        <v>0</v>
      </c>
      <c r="J105" s="138">
        <v>2369980106</v>
      </c>
      <c r="K105" s="139" t="s">
        <v>222</v>
      </c>
      <c r="L105" s="134" t="s">
        <v>147</v>
      </c>
      <c r="M105" s="134" t="s">
        <v>224</v>
      </c>
      <c r="N105" s="142">
        <v>45324</v>
      </c>
      <c r="O105" s="122" t="s">
        <v>203</v>
      </c>
      <c r="P105" s="150">
        <v>1500</v>
      </c>
      <c r="Q105" s="135">
        <v>45335</v>
      </c>
      <c r="R105" s="134"/>
      <c r="S105" s="136"/>
      <c r="T105" s="136"/>
      <c r="U105" s="136"/>
      <c r="V105" s="140"/>
      <c r="W105" s="141"/>
      <c r="X105" s="80">
        <v>48</v>
      </c>
    </row>
    <row r="106" spans="1:24" s="80" customFormat="1" ht="36" customHeight="1" x14ac:dyDescent="0.25">
      <c r="A106" s="1100">
        <v>17</v>
      </c>
      <c r="B106" s="1001" t="s">
        <v>56</v>
      </c>
      <c r="C106" s="1001" t="s">
        <v>147</v>
      </c>
      <c r="D106" s="1001" t="s">
        <v>158</v>
      </c>
      <c r="E106" s="1001" t="s">
        <v>226</v>
      </c>
      <c r="F106" s="1012">
        <v>45290</v>
      </c>
      <c r="G106" s="1014" t="s">
        <v>227</v>
      </c>
      <c r="H106" s="1016">
        <v>12916.8</v>
      </c>
      <c r="I106" s="1018">
        <f>IF(X106 = 49, H106 + SUM(S106:S108) - SUM(T106:T108) - SUM(P106:P108) - V106,0)</f>
        <v>-1.4779288903810084E-12</v>
      </c>
      <c r="J106" s="1020">
        <v>235300582900</v>
      </c>
      <c r="K106" s="1022" t="s">
        <v>230</v>
      </c>
      <c r="L106" s="1001" t="s">
        <v>147</v>
      </c>
      <c r="M106" s="1001" t="s">
        <v>228</v>
      </c>
      <c r="N106" s="179">
        <v>45324</v>
      </c>
      <c r="O106" s="1012" t="s">
        <v>203</v>
      </c>
      <c r="P106" s="169">
        <v>4222.8</v>
      </c>
      <c r="Q106" s="170">
        <v>45336</v>
      </c>
      <c r="R106" s="171"/>
      <c r="S106" s="172"/>
      <c r="T106" s="172"/>
      <c r="U106" s="1016" t="s">
        <v>262</v>
      </c>
      <c r="V106" s="1045">
        <v>993.6</v>
      </c>
      <c r="W106" s="1010"/>
      <c r="X106" s="80">
        <v>49</v>
      </c>
    </row>
    <row r="107" spans="1:24" s="110" customFormat="1" x14ac:dyDescent="0.25">
      <c r="A107" s="1101"/>
      <c r="B107" s="1002"/>
      <c r="C107" s="1002"/>
      <c r="D107" s="1002"/>
      <c r="E107" s="1002"/>
      <c r="F107" s="1013"/>
      <c r="G107" s="1015"/>
      <c r="H107" s="1017"/>
      <c r="I107" s="1019"/>
      <c r="J107" s="1021"/>
      <c r="K107" s="1023"/>
      <c r="L107" s="1002"/>
      <c r="M107" s="1002"/>
      <c r="N107" s="180">
        <v>45356</v>
      </c>
      <c r="O107" s="1013"/>
      <c r="P107" s="194">
        <v>4843.8</v>
      </c>
      <c r="Q107" s="174">
        <v>45384</v>
      </c>
      <c r="R107" s="175"/>
      <c r="S107" s="173"/>
      <c r="T107" s="173"/>
      <c r="U107" s="1017"/>
      <c r="V107" s="1046"/>
      <c r="W107" s="1011"/>
      <c r="X107" s="110">
        <v>49</v>
      </c>
    </row>
    <row r="108" spans="1:24" s="110" customFormat="1" x14ac:dyDescent="0.25">
      <c r="A108" s="1102"/>
      <c r="B108" s="1003"/>
      <c r="C108" s="1003"/>
      <c r="D108" s="1003"/>
      <c r="E108" s="1003"/>
      <c r="F108" s="1032"/>
      <c r="G108" s="1033"/>
      <c r="H108" s="1024"/>
      <c r="I108" s="1025"/>
      <c r="J108" s="1026"/>
      <c r="K108" s="1084"/>
      <c r="L108" s="1003"/>
      <c r="M108" s="1003"/>
      <c r="N108" s="181">
        <v>45373</v>
      </c>
      <c r="O108" s="1032"/>
      <c r="P108" s="240">
        <v>2856.6</v>
      </c>
      <c r="Q108" s="177">
        <v>45386</v>
      </c>
      <c r="R108" s="178"/>
      <c r="S108" s="176"/>
      <c r="T108" s="176"/>
      <c r="U108" s="1024"/>
      <c r="V108" s="1047"/>
      <c r="W108" s="1031"/>
      <c r="X108" s="110">
        <v>49</v>
      </c>
    </row>
    <row r="109" spans="1:24" s="80" customFormat="1" ht="36" customHeight="1" x14ac:dyDescent="0.25">
      <c r="A109" s="1100">
        <v>18</v>
      </c>
      <c r="B109" s="1001" t="s">
        <v>56</v>
      </c>
      <c r="C109" s="1001" t="s">
        <v>147</v>
      </c>
      <c r="D109" s="1001" t="s">
        <v>158</v>
      </c>
      <c r="E109" s="1001" t="s">
        <v>225</v>
      </c>
      <c r="F109" s="1012">
        <v>45290</v>
      </c>
      <c r="G109" s="1014" t="s">
        <v>229</v>
      </c>
      <c r="H109" s="1016">
        <v>52624</v>
      </c>
      <c r="I109" s="1018">
        <f>IF(X109 = 50, H109 + SUM(S109:S111) - SUM(T109:T111) - SUM(P109:P111) - V109,0)</f>
        <v>1.8189894035458565E-12</v>
      </c>
      <c r="J109" s="1020">
        <v>235300582900</v>
      </c>
      <c r="K109" s="1022" t="s">
        <v>171</v>
      </c>
      <c r="L109" s="1001" t="s">
        <v>147</v>
      </c>
      <c r="M109" s="1001" t="s">
        <v>228</v>
      </c>
      <c r="N109" s="179">
        <v>45324</v>
      </c>
      <c r="O109" s="1012" t="s">
        <v>203</v>
      </c>
      <c r="P109" s="169">
        <v>13787.4</v>
      </c>
      <c r="Q109" s="170">
        <v>45338</v>
      </c>
      <c r="R109" s="171"/>
      <c r="S109" s="172"/>
      <c r="T109" s="172"/>
      <c r="U109" s="1016" t="s">
        <v>262</v>
      </c>
      <c r="V109" s="1045">
        <v>15740.4</v>
      </c>
      <c r="W109" s="1010"/>
      <c r="X109" s="80">
        <v>50</v>
      </c>
    </row>
    <row r="110" spans="1:24" s="110" customFormat="1" x14ac:dyDescent="0.25">
      <c r="A110" s="1101"/>
      <c r="B110" s="1002"/>
      <c r="C110" s="1002"/>
      <c r="D110" s="1002"/>
      <c r="E110" s="1002"/>
      <c r="F110" s="1013"/>
      <c r="G110" s="1015"/>
      <c r="H110" s="1017"/>
      <c r="I110" s="1019"/>
      <c r="J110" s="1021"/>
      <c r="K110" s="1023"/>
      <c r="L110" s="1002"/>
      <c r="M110" s="1002"/>
      <c r="N110" s="180"/>
      <c r="O110" s="1013"/>
      <c r="P110" s="194">
        <v>12618.8</v>
      </c>
      <c r="Q110" s="174">
        <v>45365</v>
      </c>
      <c r="R110" s="175"/>
      <c r="S110" s="173"/>
      <c r="T110" s="173"/>
      <c r="U110" s="1017"/>
      <c r="V110" s="1046"/>
      <c r="W110" s="1011"/>
      <c r="X110" s="110">
        <v>50</v>
      </c>
    </row>
    <row r="111" spans="1:24" s="110" customFormat="1" x14ac:dyDescent="0.25">
      <c r="A111" s="1102"/>
      <c r="B111" s="1003"/>
      <c r="C111" s="1003"/>
      <c r="D111" s="1003"/>
      <c r="E111" s="1003"/>
      <c r="F111" s="1032"/>
      <c r="G111" s="1033"/>
      <c r="H111" s="1024"/>
      <c r="I111" s="1025"/>
      <c r="J111" s="1026"/>
      <c r="K111" s="1084"/>
      <c r="L111" s="1003"/>
      <c r="M111" s="1003"/>
      <c r="N111" s="181">
        <v>45373</v>
      </c>
      <c r="O111" s="1032"/>
      <c r="P111" s="240">
        <v>10477.4</v>
      </c>
      <c r="Q111" s="177">
        <v>45386</v>
      </c>
      <c r="R111" s="178"/>
      <c r="S111" s="176"/>
      <c r="T111" s="176"/>
      <c r="U111" s="1024"/>
      <c r="V111" s="1047"/>
      <c r="W111" s="1031"/>
      <c r="X111" s="110">
        <v>50</v>
      </c>
    </row>
    <row r="112" spans="1:24" s="80" customFormat="1" ht="72" customHeight="1" x14ac:dyDescent="0.25">
      <c r="A112" s="1100">
        <v>19</v>
      </c>
      <c r="B112" s="1001" t="s">
        <v>56</v>
      </c>
      <c r="C112" s="1001" t="s">
        <v>147</v>
      </c>
      <c r="D112" s="1001" t="s">
        <v>158</v>
      </c>
      <c r="E112" s="1001" t="s">
        <v>232</v>
      </c>
      <c r="F112" s="1012">
        <v>45309</v>
      </c>
      <c r="G112" s="1014" t="s">
        <v>233</v>
      </c>
      <c r="H112" s="1016">
        <v>23025.599999999999</v>
      </c>
      <c r="I112" s="1018">
        <f>IF(X112 = 51, H112 + SUM(S112:S113) - SUM(T112:T113) - SUM(P112:P113) - V112,0)</f>
        <v>-1.8189894035458565E-12</v>
      </c>
      <c r="J112" s="1020">
        <v>235300582900</v>
      </c>
      <c r="K112" s="1022" t="s">
        <v>171</v>
      </c>
      <c r="L112" s="1001" t="s">
        <v>147</v>
      </c>
      <c r="M112" s="1001" t="s">
        <v>231</v>
      </c>
      <c r="N112" s="179">
        <v>45324</v>
      </c>
      <c r="O112" s="1012" t="s">
        <v>203</v>
      </c>
      <c r="P112" s="169">
        <v>5412</v>
      </c>
      <c r="Q112" s="170">
        <v>45334</v>
      </c>
      <c r="R112" s="171"/>
      <c r="S112" s="172"/>
      <c r="T112" s="172"/>
      <c r="U112" s="1016" t="s">
        <v>263</v>
      </c>
      <c r="V112" s="1045">
        <v>5928.6</v>
      </c>
      <c r="W112" s="1010"/>
      <c r="X112" s="80">
        <v>51</v>
      </c>
    </row>
    <row r="113" spans="1:24" s="110" customFormat="1" x14ac:dyDescent="0.25">
      <c r="A113" s="1101"/>
      <c r="B113" s="1002"/>
      <c r="C113" s="1002"/>
      <c r="D113" s="1002"/>
      <c r="E113" s="1002"/>
      <c r="F113" s="1013"/>
      <c r="G113" s="1015"/>
      <c r="H113" s="1017"/>
      <c r="I113" s="1019"/>
      <c r="J113" s="1021"/>
      <c r="K113" s="1023"/>
      <c r="L113" s="1002"/>
      <c r="M113" s="1002"/>
      <c r="N113" s="180">
        <v>45356</v>
      </c>
      <c r="O113" s="1013"/>
      <c r="P113" s="194">
        <v>11685</v>
      </c>
      <c r="Q113" s="174">
        <v>45366</v>
      </c>
      <c r="R113" s="175"/>
      <c r="S113" s="173"/>
      <c r="T113" s="173"/>
      <c r="U113" s="1017"/>
      <c r="V113" s="1046"/>
      <c r="W113" s="1011"/>
      <c r="X113" s="110">
        <v>51</v>
      </c>
    </row>
    <row r="114" spans="1:24" s="80" customFormat="1" ht="68.45" customHeight="1" x14ac:dyDescent="0.25">
      <c r="A114" s="151">
        <v>20</v>
      </c>
      <c r="B114" s="152" t="s">
        <v>56</v>
      </c>
      <c r="C114" s="152" t="s">
        <v>147</v>
      </c>
      <c r="D114" s="152" t="s">
        <v>158</v>
      </c>
      <c r="E114" s="152" t="s">
        <v>234</v>
      </c>
      <c r="F114" s="159">
        <v>45351</v>
      </c>
      <c r="G114" s="153" t="s">
        <v>233</v>
      </c>
      <c r="H114" s="154">
        <v>9963</v>
      </c>
      <c r="I114" s="155">
        <f>IF(X114 = 52, H114 + SUM(S114:S114) - SUM(T114:T114) - SUM(P114:P114) - V114,0)</f>
        <v>0</v>
      </c>
      <c r="J114" s="156">
        <v>235300582900</v>
      </c>
      <c r="K114" s="157" t="s">
        <v>171</v>
      </c>
      <c r="L114" s="152" t="s">
        <v>147</v>
      </c>
      <c r="M114" s="152" t="s">
        <v>235</v>
      </c>
      <c r="N114" s="159">
        <v>45373</v>
      </c>
      <c r="O114" s="159" t="s">
        <v>203</v>
      </c>
      <c r="P114" s="242">
        <v>8364</v>
      </c>
      <c r="Q114" s="153">
        <v>45386</v>
      </c>
      <c r="R114" s="152"/>
      <c r="S114" s="154"/>
      <c r="T114" s="154"/>
      <c r="U114" s="154" t="s">
        <v>262</v>
      </c>
      <c r="V114" s="158">
        <v>1599</v>
      </c>
      <c r="W114" s="149"/>
      <c r="X114" s="80">
        <v>52</v>
      </c>
    </row>
    <row r="115" spans="1:24" s="80" customFormat="1" ht="54" customHeight="1" x14ac:dyDescent="0.25">
      <c r="A115" s="1141">
        <v>21</v>
      </c>
      <c r="B115" s="1135" t="s">
        <v>56</v>
      </c>
      <c r="C115" s="1135" t="s">
        <v>147</v>
      </c>
      <c r="D115" s="1135" t="s">
        <v>158</v>
      </c>
      <c r="E115" s="1135" t="s">
        <v>129</v>
      </c>
      <c r="F115" s="1137">
        <v>45380</v>
      </c>
      <c r="G115" s="1139" t="s">
        <v>244</v>
      </c>
      <c r="H115" s="1143">
        <v>275947.56</v>
      </c>
      <c r="I115" s="1145">
        <f>IF(X115 = 53, H115 + SUM(S115:S116) - SUM(T115:T116) - SUM(P115:P116) - V115,0)</f>
        <v>-1.6370904631912708E-11</v>
      </c>
      <c r="J115" s="1147">
        <v>235300582900</v>
      </c>
      <c r="K115" s="1149" t="s">
        <v>171</v>
      </c>
      <c r="L115" s="1135" t="s">
        <v>147</v>
      </c>
      <c r="M115" s="1135" t="s">
        <v>245</v>
      </c>
      <c r="N115" s="275">
        <v>45414</v>
      </c>
      <c r="O115" s="1137" t="s">
        <v>203</v>
      </c>
      <c r="P115" s="301">
        <v>152574.18</v>
      </c>
      <c r="Q115" s="270">
        <v>45429</v>
      </c>
      <c r="R115" s="271"/>
      <c r="S115" s="269"/>
      <c r="T115" s="269"/>
      <c r="U115" s="1143" t="s">
        <v>320</v>
      </c>
      <c r="V115" s="1151">
        <v>15330.42</v>
      </c>
      <c r="W115" s="1133"/>
      <c r="X115" s="80">
        <v>53</v>
      </c>
    </row>
    <row r="116" spans="1:24" s="110" customFormat="1" x14ac:dyDescent="0.25">
      <c r="A116" s="1142"/>
      <c r="B116" s="1136"/>
      <c r="C116" s="1136"/>
      <c r="D116" s="1136"/>
      <c r="E116" s="1136"/>
      <c r="F116" s="1138"/>
      <c r="G116" s="1140"/>
      <c r="H116" s="1144"/>
      <c r="I116" s="1146"/>
      <c r="J116" s="1148"/>
      <c r="K116" s="1150"/>
      <c r="L116" s="1136"/>
      <c r="M116" s="1136"/>
      <c r="N116" s="276">
        <v>45436</v>
      </c>
      <c r="O116" s="1138"/>
      <c r="P116" s="321">
        <v>108042.96</v>
      </c>
      <c r="Q116" s="273">
        <v>45447</v>
      </c>
      <c r="R116" s="274"/>
      <c r="S116" s="272"/>
      <c r="T116" s="272"/>
      <c r="U116" s="1144"/>
      <c r="V116" s="1152"/>
      <c r="W116" s="1134"/>
      <c r="X116" s="110">
        <v>53</v>
      </c>
    </row>
    <row r="117" spans="1:24" s="80" customFormat="1" ht="36" customHeight="1" x14ac:dyDescent="0.25">
      <c r="A117" s="1106">
        <v>22</v>
      </c>
      <c r="B117" s="1115" t="s">
        <v>56</v>
      </c>
      <c r="C117" s="1115" t="s">
        <v>147</v>
      </c>
      <c r="D117" s="1115" t="s">
        <v>158</v>
      </c>
      <c r="E117" s="1115" t="s">
        <v>246</v>
      </c>
      <c r="F117" s="1109">
        <v>45380</v>
      </c>
      <c r="G117" s="1121" t="s">
        <v>229</v>
      </c>
      <c r="H117" s="1112">
        <v>36432</v>
      </c>
      <c r="I117" s="1124">
        <f>IF(X117 = 54, H117 + SUM(S117:S118) - SUM(T117:T118) - SUM(P117:P118) - V117,0)</f>
        <v>-1.8189894035458565E-12</v>
      </c>
      <c r="J117" s="1127">
        <v>235300582900</v>
      </c>
      <c r="K117" s="1130" t="s">
        <v>171</v>
      </c>
      <c r="L117" s="1115" t="s">
        <v>147</v>
      </c>
      <c r="M117" s="1115" t="s">
        <v>245</v>
      </c>
      <c r="N117" s="283">
        <v>45414</v>
      </c>
      <c r="O117" s="1109" t="s">
        <v>203</v>
      </c>
      <c r="P117" s="298">
        <v>14616</v>
      </c>
      <c r="Q117" s="278">
        <v>45427</v>
      </c>
      <c r="R117" s="279"/>
      <c r="S117" s="277"/>
      <c r="T117" s="277"/>
      <c r="U117" s="1112" t="s">
        <v>321</v>
      </c>
      <c r="V117" s="1118">
        <v>12364.6</v>
      </c>
      <c r="W117" s="1103"/>
      <c r="X117" s="80">
        <v>54</v>
      </c>
    </row>
    <row r="118" spans="1:24" s="110" customFormat="1" x14ac:dyDescent="0.25">
      <c r="A118" s="1108"/>
      <c r="B118" s="1117"/>
      <c r="C118" s="1117"/>
      <c r="D118" s="1117"/>
      <c r="E118" s="1117"/>
      <c r="F118" s="1111"/>
      <c r="G118" s="1123"/>
      <c r="H118" s="1114"/>
      <c r="I118" s="1126"/>
      <c r="J118" s="1129"/>
      <c r="K118" s="1132"/>
      <c r="L118" s="1117"/>
      <c r="M118" s="1117"/>
      <c r="N118" s="284">
        <v>45436</v>
      </c>
      <c r="O118" s="1111"/>
      <c r="P118" s="320">
        <v>9451.4</v>
      </c>
      <c r="Q118" s="281">
        <v>45447</v>
      </c>
      <c r="R118" s="282"/>
      <c r="S118" s="280"/>
      <c r="T118" s="280"/>
      <c r="U118" s="1114"/>
      <c r="V118" s="1120"/>
      <c r="W118" s="1105"/>
      <c r="X118" s="110">
        <v>54</v>
      </c>
    </row>
    <row r="119" spans="1:24" s="80" customFormat="1" ht="90" customHeight="1" x14ac:dyDescent="0.25">
      <c r="A119" s="1106">
        <v>23</v>
      </c>
      <c r="B119" s="1115" t="s">
        <v>56</v>
      </c>
      <c r="C119" s="1115" t="s">
        <v>147</v>
      </c>
      <c r="D119" s="1115" t="s">
        <v>158</v>
      </c>
      <c r="E119" s="1115" t="s">
        <v>247</v>
      </c>
      <c r="F119" s="1109">
        <v>45380</v>
      </c>
      <c r="G119" s="1121" t="s">
        <v>248</v>
      </c>
      <c r="H119" s="1112">
        <v>39003.120000000003</v>
      </c>
      <c r="I119" s="1124">
        <f>IF(X119 = 55, H119 + SUM(S119:S124) - SUM(T119:T124) - SUM(P119:P124) - V119,0)</f>
        <v>0</v>
      </c>
      <c r="J119" s="1127">
        <v>235300582900</v>
      </c>
      <c r="K119" s="1130" t="s">
        <v>171</v>
      </c>
      <c r="L119" s="1115" t="s">
        <v>147</v>
      </c>
      <c r="M119" s="1115" t="s">
        <v>245</v>
      </c>
      <c r="N119" s="283">
        <v>45414</v>
      </c>
      <c r="O119" s="1109" t="s">
        <v>351</v>
      </c>
      <c r="P119" s="298">
        <v>3850.2</v>
      </c>
      <c r="Q119" s="278">
        <v>45427</v>
      </c>
      <c r="R119" s="279"/>
      <c r="S119" s="277"/>
      <c r="T119" s="277"/>
      <c r="U119" s="1112" t="s">
        <v>320</v>
      </c>
      <c r="V119" s="1118">
        <v>9913.32</v>
      </c>
      <c r="W119" s="1103"/>
      <c r="X119" s="80">
        <v>55</v>
      </c>
    </row>
    <row r="120" spans="1:24" s="110" customFormat="1" x14ac:dyDescent="0.25">
      <c r="A120" s="1107"/>
      <c r="B120" s="1116"/>
      <c r="C120" s="1116"/>
      <c r="D120" s="1116"/>
      <c r="E120" s="1116"/>
      <c r="F120" s="1110"/>
      <c r="G120" s="1122"/>
      <c r="H120" s="1113"/>
      <c r="I120" s="1125"/>
      <c r="J120" s="1128"/>
      <c r="K120" s="1131"/>
      <c r="L120" s="1116"/>
      <c r="M120" s="1116"/>
      <c r="N120" s="285">
        <v>45414</v>
      </c>
      <c r="O120" s="1110"/>
      <c r="P120" s="299">
        <v>12792</v>
      </c>
      <c r="Q120" s="287">
        <v>45427</v>
      </c>
      <c r="R120" s="288"/>
      <c r="S120" s="286"/>
      <c r="T120" s="286"/>
      <c r="U120" s="1113"/>
      <c r="V120" s="1119"/>
      <c r="W120" s="1104"/>
      <c r="X120" s="110">
        <v>55</v>
      </c>
    </row>
    <row r="121" spans="1:24" s="110" customFormat="1" x14ac:dyDescent="0.25">
      <c r="A121" s="1107"/>
      <c r="B121" s="1116"/>
      <c r="C121" s="1116"/>
      <c r="D121" s="1116"/>
      <c r="E121" s="1116"/>
      <c r="F121" s="1110"/>
      <c r="G121" s="1122"/>
      <c r="H121" s="1113"/>
      <c r="I121" s="1125"/>
      <c r="J121" s="1128"/>
      <c r="K121" s="1131"/>
      <c r="L121" s="1116"/>
      <c r="M121" s="1116"/>
      <c r="N121" s="285">
        <v>45414</v>
      </c>
      <c r="O121" s="1110"/>
      <c r="P121" s="299">
        <v>1484.4</v>
      </c>
      <c r="Q121" s="287">
        <v>45427</v>
      </c>
      <c r="R121" s="288"/>
      <c r="S121" s="286"/>
      <c r="T121" s="286"/>
      <c r="U121" s="1113"/>
      <c r="V121" s="1119"/>
      <c r="W121" s="1104"/>
      <c r="X121" s="110">
        <v>55</v>
      </c>
    </row>
    <row r="122" spans="1:24" s="110" customFormat="1" x14ac:dyDescent="0.25">
      <c r="A122" s="1107"/>
      <c r="B122" s="1116"/>
      <c r="C122" s="1116"/>
      <c r="D122" s="1116"/>
      <c r="E122" s="1116"/>
      <c r="F122" s="1110"/>
      <c r="G122" s="1122"/>
      <c r="H122" s="1113"/>
      <c r="I122" s="1125"/>
      <c r="J122" s="1128"/>
      <c r="K122" s="1131"/>
      <c r="L122" s="1116"/>
      <c r="M122" s="1116"/>
      <c r="N122" s="285">
        <v>45436</v>
      </c>
      <c r="O122" s="1110"/>
      <c r="P122" s="299">
        <v>1242</v>
      </c>
      <c r="Q122" s="287">
        <v>45447</v>
      </c>
      <c r="R122" s="288"/>
      <c r="S122" s="286"/>
      <c r="T122" s="286"/>
      <c r="U122" s="1113"/>
      <c r="V122" s="1119"/>
      <c r="W122" s="1104"/>
      <c r="X122" s="110">
        <v>55</v>
      </c>
    </row>
    <row r="123" spans="1:24" s="110" customFormat="1" x14ac:dyDescent="0.25">
      <c r="A123" s="1107"/>
      <c r="B123" s="1116"/>
      <c r="C123" s="1116"/>
      <c r="D123" s="1116"/>
      <c r="E123" s="1116"/>
      <c r="F123" s="1110"/>
      <c r="G123" s="1122"/>
      <c r="H123" s="1113"/>
      <c r="I123" s="1125"/>
      <c r="J123" s="1128"/>
      <c r="K123" s="1131"/>
      <c r="L123" s="1116"/>
      <c r="M123" s="1116"/>
      <c r="N123" s="285">
        <v>45436</v>
      </c>
      <c r="O123" s="1110"/>
      <c r="P123" s="299">
        <v>8979</v>
      </c>
      <c r="Q123" s="287">
        <v>45447</v>
      </c>
      <c r="R123" s="288"/>
      <c r="S123" s="286"/>
      <c r="T123" s="286"/>
      <c r="U123" s="1113"/>
      <c r="V123" s="1119"/>
      <c r="W123" s="1104"/>
      <c r="X123" s="110">
        <v>55</v>
      </c>
    </row>
    <row r="124" spans="1:24" s="110" customFormat="1" x14ac:dyDescent="0.25">
      <c r="A124" s="1108"/>
      <c r="B124" s="1117"/>
      <c r="C124" s="1117"/>
      <c r="D124" s="1117"/>
      <c r="E124" s="1117"/>
      <c r="F124" s="1111"/>
      <c r="G124" s="1123"/>
      <c r="H124" s="1114"/>
      <c r="I124" s="1126"/>
      <c r="J124" s="1129"/>
      <c r="K124" s="1132"/>
      <c r="L124" s="1117"/>
      <c r="M124" s="1117"/>
      <c r="N124" s="284">
        <v>45436</v>
      </c>
      <c r="O124" s="1111"/>
      <c r="P124" s="320">
        <v>742.2</v>
      </c>
      <c r="Q124" s="281">
        <v>45447</v>
      </c>
      <c r="R124" s="282"/>
      <c r="S124" s="280"/>
      <c r="T124" s="280"/>
      <c r="U124" s="1114"/>
      <c r="V124" s="1120"/>
      <c r="W124" s="1105"/>
      <c r="X124" s="110">
        <v>55</v>
      </c>
    </row>
    <row r="125" spans="1:24" s="80" customFormat="1" ht="55.15" customHeight="1" x14ac:dyDescent="0.25">
      <c r="A125" s="311">
        <v>24</v>
      </c>
      <c r="B125" s="304" t="s">
        <v>56</v>
      </c>
      <c r="C125" s="304" t="s">
        <v>147</v>
      </c>
      <c r="D125" s="304" t="s">
        <v>158</v>
      </c>
      <c r="E125" s="304" t="s">
        <v>291</v>
      </c>
      <c r="F125" s="305">
        <v>45373</v>
      </c>
      <c r="G125" s="306" t="s">
        <v>292</v>
      </c>
      <c r="H125" s="307">
        <v>105225</v>
      </c>
      <c r="I125" s="308">
        <f>IF(X125 = 56, H125 + SUM(S125:S125) - SUM(T125:T125) - SUM(P125:P125) - V125,0)</f>
        <v>0</v>
      </c>
      <c r="J125" s="309">
        <v>233202223786</v>
      </c>
      <c r="K125" s="310" t="s">
        <v>293</v>
      </c>
      <c r="L125" s="304" t="s">
        <v>147</v>
      </c>
      <c r="M125" s="304" t="s">
        <v>294</v>
      </c>
      <c r="N125" s="283">
        <v>45443</v>
      </c>
      <c r="O125" s="305" t="s">
        <v>295</v>
      </c>
      <c r="P125" s="298">
        <v>105225</v>
      </c>
      <c r="Q125" s="278">
        <v>45446</v>
      </c>
      <c r="R125" s="279"/>
      <c r="S125" s="277"/>
      <c r="T125" s="277"/>
      <c r="U125" s="307"/>
      <c r="V125" s="312"/>
      <c r="W125" s="303"/>
      <c r="X125" s="80">
        <v>56</v>
      </c>
    </row>
    <row r="126" spans="1:24" s="80" customFormat="1" ht="75" x14ac:dyDescent="0.25">
      <c r="A126" s="289">
        <v>25</v>
      </c>
      <c r="B126" s="319" t="s">
        <v>56</v>
      </c>
      <c r="C126" s="290" t="s">
        <v>323</v>
      </c>
      <c r="D126" s="319" t="s">
        <v>158</v>
      </c>
      <c r="E126" s="290" t="s">
        <v>36</v>
      </c>
      <c r="F126" s="302">
        <v>45446</v>
      </c>
      <c r="G126" s="291" t="s">
        <v>296</v>
      </c>
      <c r="H126" s="292">
        <v>37746</v>
      </c>
      <c r="I126" s="293">
        <f>IF(X126 = 57, H126 + SUM(S126:S126) - SUM(T126:T126) - SUM(P126:P126) - V126,0)</f>
        <v>0</v>
      </c>
      <c r="J126" s="294">
        <v>140865134602</v>
      </c>
      <c r="K126" s="295" t="s">
        <v>297</v>
      </c>
      <c r="L126" s="290" t="s">
        <v>147</v>
      </c>
      <c r="M126" s="319" t="s">
        <v>298</v>
      </c>
      <c r="N126" s="302">
        <v>45449</v>
      </c>
      <c r="O126" s="318" t="s">
        <v>295</v>
      </c>
      <c r="P126" s="364">
        <v>37746</v>
      </c>
      <c r="Q126" s="291">
        <v>45450</v>
      </c>
      <c r="R126" s="290"/>
      <c r="S126" s="292"/>
      <c r="T126" s="292"/>
      <c r="U126" s="292"/>
      <c r="V126" s="296"/>
      <c r="W126" s="297"/>
      <c r="X126" s="80">
        <v>57</v>
      </c>
    </row>
    <row r="127" spans="1:24" s="80" customFormat="1" ht="56.25" x14ac:dyDescent="0.25">
      <c r="A127" s="317">
        <v>26</v>
      </c>
      <c r="B127" s="337" t="s">
        <v>56</v>
      </c>
      <c r="C127" s="316" t="s">
        <v>147</v>
      </c>
      <c r="D127" s="337" t="s">
        <v>158</v>
      </c>
      <c r="E127" s="316" t="s">
        <v>304</v>
      </c>
      <c r="F127" s="326">
        <v>45436</v>
      </c>
      <c r="G127" s="322" t="s">
        <v>305</v>
      </c>
      <c r="H127" s="314">
        <v>95115</v>
      </c>
      <c r="I127" s="315">
        <f>IF(X127 = 58, H127 + SUM(S127:S127) - SUM(T127:T127) - SUM(P127:P127) - V127,0)</f>
        <v>0</v>
      </c>
      <c r="J127" s="323">
        <v>235300582900</v>
      </c>
      <c r="K127" s="324" t="s">
        <v>171</v>
      </c>
      <c r="L127" s="316" t="s">
        <v>147</v>
      </c>
      <c r="M127" s="316" t="s">
        <v>306</v>
      </c>
      <c r="N127" s="326">
        <v>45459</v>
      </c>
      <c r="O127" s="336" t="s">
        <v>307</v>
      </c>
      <c r="P127" s="378">
        <v>95115</v>
      </c>
      <c r="Q127" s="322">
        <v>45464</v>
      </c>
      <c r="R127" s="316"/>
      <c r="S127" s="314"/>
      <c r="T127" s="314"/>
      <c r="U127" s="314"/>
      <c r="V127" s="325"/>
      <c r="W127" s="313"/>
      <c r="X127" s="80">
        <v>58</v>
      </c>
    </row>
    <row r="128" spans="1:24" s="80" customFormat="1" ht="72" customHeight="1" x14ac:dyDescent="0.25">
      <c r="A128" s="1192">
        <v>27</v>
      </c>
      <c r="B128" s="1171" t="s">
        <v>56</v>
      </c>
      <c r="C128" s="1171" t="s">
        <v>147</v>
      </c>
      <c r="D128" s="1171" t="s">
        <v>158</v>
      </c>
      <c r="E128" s="1171" t="s">
        <v>176</v>
      </c>
      <c r="F128" s="1174">
        <v>45454</v>
      </c>
      <c r="G128" s="1177" t="s">
        <v>177</v>
      </c>
      <c r="H128" s="1180">
        <v>24254.1</v>
      </c>
      <c r="I128" s="1183">
        <f>IF(X128 = 59, H128 + SUM(S128:S130) - SUM(T128:T130) - SUM(P128:P130) - V128,0)</f>
        <v>12127.05</v>
      </c>
      <c r="J128" s="1186">
        <v>2308131994</v>
      </c>
      <c r="K128" s="1189" t="s">
        <v>178</v>
      </c>
      <c r="L128" s="1171" t="s">
        <v>147</v>
      </c>
      <c r="M128" s="1171" t="s">
        <v>324</v>
      </c>
      <c r="N128" s="657">
        <v>45504</v>
      </c>
      <c r="O128" s="1174" t="s">
        <v>325</v>
      </c>
      <c r="P128" s="646">
        <v>4042.35</v>
      </c>
      <c r="Q128" s="647">
        <v>45511</v>
      </c>
      <c r="R128" s="648"/>
      <c r="S128" s="649"/>
      <c r="T128" s="649"/>
      <c r="U128" s="1180"/>
      <c r="V128" s="1195"/>
      <c r="W128" s="1168"/>
      <c r="X128" s="80">
        <v>59</v>
      </c>
    </row>
    <row r="129" spans="1:24" s="110" customFormat="1" x14ac:dyDescent="0.25">
      <c r="A129" s="1193"/>
      <c r="B129" s="1172"/>
      <c r="C129" s="1172"/>
      <c r="D129" s="1172"/>
      <c r="E129" s="1172"/>
      <c r="F129" s="1175"/>
      <c r="G129" s="1178"/>
      <c r="H129" s="1181"/>
      <c r="I129" s="1184"/>
      <c r="J129" s="1187"/>
      <c r="K129" s="1190"/>
      <c r="L129" s="1172"/>
      <c r="M129" s="1172"/>
      <c r="N129" s="658">
        <v>45535</v>
      </c>
      <c r="O129" s="1175"/>
      <c r="P129" s="650">
        <v>4042.35</v>
      </c>
      <c r="Q129" s="651">
        <v>45539</v>
      </c>
      <c r="R129" s="652"/>
      <c r="S129" s="653"/>
      <c r="T129" s="653"/>
      <c r="U129" s="1181"/>
      <c r="V129" s="1196"/>
      <c r="W129" s="1169"/>
      <c r="X129" s="110">
        <v>59</v>
      </c>
    </row>
    <row r="130" spans="1:24" s="110" customFormat="1" x14ac:dyDescent="0.25">
      <c r="A130" s="1194"/>
      <c r="B130" s="1173"/>
      <c r="C130" s="1173"/>
      <c r="D130" s="1173"/>
      <c r="E130" s="1173"/>
      <c r="F130" s="1176"/>
      <c r="G130" s="1179"/>
      <c r="H130" s="1182"/>
      <c r="I130" s="1185"/>
      <c r="J130" s="1188"/>
      <c r="K130" s="1191"/>
      <c r="L130" s="1173"/>
      <c r="M130" s="1173"/>
      <c r="N130" s="659">
        <v>45565</v>
      </c>
      <c r="O130" s="1176"/>
      <c r="P130" s="654">
        <v>4042.35</v>
      </c>
      <c r="Q130" s="655"/>
      <c r="R130" s="656"/>
      <c r="S130" s="654"/>
      <c r="T130" s="654"/>
      <c r="U130" s="1182"/>
      <c r="V130" s="1197"/>
      <c r="W130" s="1170"/>
      <c r="X130" s="110">
        <v>59</v>
      </c>
    </row>
    <row r="131" spans="1:24" s="80" customFormat="1" ht="75" x14ac:dyDescent="0.25">
      <c r="A131" s="434">
        <v>28</v>
      </c>
      <c r="B131" s="446" t="s">
        <v>56</v>
      </c>
      <c r="C131" s="446" t="s">
        <v>147</v>
      </c>
      <c r="D131" s="446" t="s">
        <v>158</v>
      </c>
      <c r="E131" s="446" t="s">
        <v>217</v>
      </c>
      <c r="F131" s="458">
        <v>45483</v>
      </c>
      <c r="G131" s="448" t="s">
        <v>364</v>
      </c>
      <c r="H131" s="449">
        <v>13750</v>
      </c>
      <c r="I131" s="450">
        <f>IF(X131 = 61, H131 + SUM(S131:S131) - SUM(T131:T131) - SUM(P131:P131) - V131,0)</f>
        <v>0</v>
      </c>
      <c r="J131" s="451">
        <v>235305540660</v>
      </c>
      <c r="K131" s="452" t="s">
        <v>349</v>
      </c>
      <c r="L131" s="446" t="s">
        <v>147</v>
      </c>
      <c r="M131" s="446" t="s">
        <v>350</v>
      </c>
      <c r="N131" s="458">
        <v>45483</v>
      </c>
      <c r="O131" s="458" t="s">
        <v>302</v>
      </c>
      <c r="P131" s="502">
        <v>13750</v>
      </c>
      <c r="Q131" s="448">
        <v>45485</v>
      </c>
      <c r="R131" s="446"/>
      <c r="S131" s="449"/>
      <c r="T131" s="449"/>
      <c r="U131" s="449"/>
      <c r="V131" s="454"/>
      <c r="W131" s="447"/>
      <c r="X131" s="80">
        <v>61</v>
      </c>
    </row>
    <row r="132" spans="1:24" s="80" customFormat="1" ht="75" x14ac:dyDescent="0.25">
      <c r="A132" s="459">
        <v>29</v>
      </c>
      <c r="B132" s="470" t="s">
        <v>56</v>
      </c>
      <c r="C132" s="457" t="s">
        <v>147</v>
      </c>
      <c r="D132" s="470" t="s">
        <v>158</v>
      </c>
      <c r="E132" s="457" t="s">
        <v>363</v>
      </c>
      <c r="F132" s="472">
        <v>45488</v>
      </c>
      <c r="G132" s="456" t="s">
        <v>365</v>
      </c>
      <c r="H132" s="455">
        <v>27800</v>
      </c>
      <c r="I132" s="460">
        <f>IF(X132 = 62, H132 + SUM(S132:S132) - SUM(T132:T132) - SUM(P132:P132) - V132,0)</f>
        <v>0</v>
      </c>
      <c r="J132" s="461">
        <v>2311204586</v>
      </c>
      <c r="K132" s="462" t="s">
        <v>380</v>
      </c>
      <c r="L132" s="457" t="s">
        <v>147</v>
      </c>
      <c r="M132" s="470" t="s">
        <v>266</v>
      </c>
      <c r="N132" s="472">
        <v>45498</v>
      </c>
      <c r="O132" s="469" t="s">
        <v>357</v>
      </c>
      <c r="P132" s="503">
        <v>27800</v>
      </c>
      <c r="Q132" s="456">
        <v>45498</v>
      </c>
      <c r="R132" s="457"/>
      <c r="S132" s="455"/>
      <c r="T132" s="455"/>
      <c r="U132" s="455"/>
      <c r="V132" s="463"/>
      <c r="W132" s="464"/>
      <c r="X132" s="80">
        <v>62</v>
      </c>
    </row>
    <row r="133" spans="1:24" s="80" customFormat="1" ht="75" x14ac:dyDescent="0.25">
      <c r="A133" s="515">
        <v>30</v>
      </c>
      <c r="B133" s="505" t="s">
        <v>56</v>
      </c>
      <c r="C133" s="516" t="s">
        <v>147</v>
      </c>
      <c r="D133" s="505" t="s">
        <v>158</v>
      </c>
      <c r="E133" s="516" t="s">
        <v>381</v>
      </c>
      <c r="F133" s="530">
        <v>45510</v>
      </c>
      <c r="G133" s="517" t="s">
        <v>382</v>
      </c>
      <c r="H133" s="518">
        <v>30000</v>
      </c>
      <c r="I133" s="519">
        <f>IF(X133 = 63, H133 + SUM(S133:S133) - SUM(T133:T133) - SUM(P133:P133) - V133,0)</f>
        <v>0</v>
      </c>
      <c r="J133" s="520">
        <v>2369000660</v>
      </c>
      <c r="K133" s="521" t="s">
        <v>383</v>
      </c>
      <c r="L133" s="516" t="s">
        <v>147</v>
      </c>
      <c r="M133" s="505" t="s">
        <v>384</v>
      </c>
      <c r="N133" s="530">
        <v>45510</v>
      </c>
      <c r="O133" s="506" t="s">
        <v>385</v>
      </c>
      <c r="P133" s="550">
        <v>30000</v>
      </c>
      <c r="Q133" s="517">
        <v>45512</v>
      </c>
      <c r="R133" s="516"/>
      <c r="S133" s="518"/>
      <c r="T133" s="518"/>
      <c r="U133" s="518"/>
      <c r="V133" s="525"/>
      <c r="W133" s="526"/>
      <c r="X133" s="80">
        <v>63</v>
      </c>
    </row>
    <row r="134" spans="1:24" s="80" customFormat="1" ht="75" x14ac:dyDescent="0.25">
      <c r="A134" s="515">
        <v>31</v>
      </c>
      <c r="B134" s="505" t="s">
        <v>56</v>
      </c>
      <c r="C134" s="516" t="s">
        <v>147</v>
      </c>
      <c r="D134" s="505" t="s">
        <v>158</v>
      </c>
      <c r="E134" s="516" t="s">
        <v>196</v>
      </c>
      <c r="F134" s="530">
        <v>45505</v>
      </c>
      <c r="G134" s="517" t="s">
        <v>197</v>
      </c>
      <c r="H134" s="518">
        <v>15000</v>
      </c>
      <c r="I134" s="519">
        <f>IF(X134 = 64, H134 + SUM(S134:S134) - SUM(T134:T134) - SUM(P134:P134) - V134,0)</f>
        <v>9000</v>
      </c>
      <c r="J134" s="520">
        <v>235306577600</v>
      </c>
      <c r="K134" s="521" t="s">
        <v>200</v>
      </c>
      <c r="L134" s="516" t="s">
        <v>147</v>
      </c>
      <c r="M134" s="516" t="s">
        <v>403</v>
      </c>
      <c r="N134" s="530">
        <v>45565</v>
      </c>
      <c r="O134" s="506" t="s">
        <v>404</v>
      </c>
      <c r="P134" s="518">
        <v>6000</v>
      </c>
      <c r="Q134" s="517"/>
      <c r="R134" s="516"/>
      <c r="S134" s="518"/>
      <c r="T134" s="518"/>
      <c r="U134" s="518"/>
      <c r="V134" s="525"/>
      <c r="W134" s="526"/>
      <c r="X134" s="80">
        <v>64</v>
      </c>
    </row>
    <row r="135" spans="1:24" s="80" customFormat="1" ht="56.25" x14ac:dyDescent="0.25">
      <c r="A135" s="683">
        <v>32</v>
      </c>
      <c r="B135" s="505" t="s">
        <v>56</v>
      </c>
      <c r="C135" s="684" t="s">
        <v>147</v>
      </c>
      <c r="D135" s="505" t="s">
        <v>158</v>
      </c>
      <c r="E135" s="684" t="s">
        <v>405</v>
      </c>
      <c r="F135" s="698">
        <v>45558</v>
      </c>
      <c r="G135" s="685" t="s">
        <v>154</v>
      </c>
      <c r="H135" s="686">
        <v>21772.799999999999</v>
      </c>
      <c r="I135" s="687">
        <f>IF(X135 = 65, H135 + SUM(S135:S135) - SUM(T135:T135) - SUM(P135:P135) - V135,0)</f>
        <v>9676.7999999999993</v>
      </c>
      <c r="J135" s="688">
        <v>2304067057</v>
      </c>
      <c r="K135" s="689" t="s">
        <v>406</v>
      </c>
      <c r="L135" s="684" t="s">
        <v>147</v>
      </c>
      <c r="M135" s="684" t="s">
        <v>407</v>
      </c>
      <c r="N135" s="698">
        <v>45565</v>
      </c>
      <c r="O135" s="506" t="s">
        <v>404</v>
      </c>
      <c r="P135" s="686">
        <v>12096</v>
      </c>
      <c r="Q135" s="685"/>
      <c r="R135" s="684"/>
      <c r="S135" s="686"/>
      <c r="T135" s="686"/>
      <c r="U135" s="686"/>
      <c r="V135" s="693"/>
      <c r="W135" s="694"/>
      <c r="X135" s="80">
        <v>65</v>
      </c>
    </row>
    <row r="136" spans="1:24" s="80" customFormat="1" x14ac:dyDescent="0.25">
      <c r="A136" s="699">
        <v>33</v>
      </c>
      <c r="B136" s="701"/>
      <c r="C136" s="701"/>
      <c r="D136" s="701"/>
      <c r="E136" s="701"/>
      <c r="F136" s="709"/>
      <c r="G136" s="704"/>
      <c r="H136" s="700"/>
      <c r="I136" s="705">
        <f>IF(X136 = 66, H136 + SUM(S136:S136) - SUM(T136:T136) - SUM(P136:P136) - V136,0)</f>
        <v>0</v>
      </c>
      <c r="J136" s="706"/>
      <c r="K136" s="707"/>
      <c r="L136" s="701"/>
      <c r="M136" s="701"/>
      <c r="N136" s="709"/>
      <c r="O136" s="709"/>
      <c r="P136" s="700"/>
      <c r="Q136" s="704"/>
      <c r="R136" s="701"/>
      <c r="S136" s="700"/>
      <c r="T136" s="700"/>
      <c r="U136" s="700"/>
      <c r="V136" s="702"/>
      <c r="W136" s="703"/>
      <c r="X136" s="80">
        <v>66</v>
      </c>
    </row>
    <row r="137" spans="1:24" x14ac:dyDescent="0.25">
      <c r="X137" s="2">
        <v>67</v>
      </c>
    </row>
  </sheetData>
  <sheetProtection password="EB34" sheet="1" objects="1" scenarios="1" formatCells="0" formatColumns="0" formatRows="0"/>
  <mergeCells count="326">
    <mergeCell ref="A117:A118"/>
    <mergeCell ref="O117:O118"/>
    <mergeCell ref="U117:U118"/>
    <mergeCell ref="B117:B118"/>
    <mergeCell ref="V117:V118"/>
    <mergeCell ref="C117:C118"/>
    <mergeCell ref="A128:A130"/>
    <mergeCell ref="B128:B130"/>
    <mergeCell ref="C128:C130"/>
    <mergeCell ref="M128:M130"/>
    <mergeCell ref="O128:O130"/>
    <mergeCell ref="U128:U130"/>
    <mergeCell ref="V128:V130"/>
    <mergeCell ref="W128:W130"/>
    <mergeCell ref="D128:D130"/>
    <mergeCell ref="E128:E130"/>
    <mergeCell ref="F128:F130"/>
    <mergeCell ref="G128:G130"/>
    <mergeCell ref="H128:H130"/>
    <mergeCell ref="I128:I130"/>
    <mergeCell ref="J128:J130"/>
    <mergeCell ref="K128:K130"/>
    <mergeCell ref="L128:L130"/>
    <mergeCell ref="G73:G80"/>
    <mergeCell ref="L73:L80"/>
    <mergeCell ref="D69:D71"/>
    <mergeCell ref="E69:E71"/>
    <mergeCell ref="J69:J71"/>
    <mergeCell ref="O81:O83"/>
    <mergeCell ref="U81:U83"/>
    <mergeCell ref="H81:H83"/>
    <mergeCell ref="U69:U71"/>
    <mergeCell ref="K69:K71"/>
    <mergeCell ref="I69:I71"/>
    <mergeCell ref="A115:A116"/>
    <mergeCell ref="B115:B116"/>
    <mergeCell ref="C115:C116"/>
    <mergeCell ref="A112:A113"/>
    <mergeCell ref="O112:O113"/>
    <mergeCell ref="U112:U113"/>
    <mergeCell ref="B112:B113"/>
    <mergeCell ref="V112:V113"/>
    <mergeCell ref="C112:C113"/>
    <mergeCell ref="H115:H116"/>
    <mergeCell ref="I115:I116"/>
    <mergeCell ref="J115:J116"/>
    <mergeCell ref="K115:K116"/>
    <mergeCell ref="L115:L116"/>
    <mergeCell ref="M115:M116"/>
    <mergeCell ref="O115:O116"/>
    <mergeCell ref="U115:U116"/>
    <mergeCell ref="V115:V116"/>
    <mergeCell ref="A109:A111"/>
    <mergeCell ref="O109:O111"/>
    <mergeCell ref="B109:B111"/>
    <mergeCell ref="V109:V111"/>
    <mergeCell ref="C109:C111"/>
    <mergeCell ref="L109:L111"/>
    <mergeCell ref="M109:M111"/>
    <mergeCell ref="K109:K111"/>
    <mergeCell ref="W117:W118"/>
    <mergeCell ref="D117:D118"/>
    <mergeCell ref="E117:E118"/>
    <mergeCell ref="F117:F118"/>
    <mergeCell ref="G117:G118"/>
    <mergeCell ref="H117:H118"/>
    <mergeCell ref="I117:I118"/>
    <mergeCell ref="J117:J118"/>
    <mergeCell ref="K117:K118"/>
    <mergeCell ref="L117:L118"/>
    <mergeCell ref="M117:M118"/>
    <mergeCell ref="W115:W116"/>
    <mergeCell ref="D115:D116"/>
    <mergeCell ref="E115:E116"/>
    <mergeCell ref="F115:F116"/>
    <mergeCell ref="G115:G116"/>
    <mergeCell ref="W119:W124"/>
    <mergeCell ref="A119:A124"/>
    <mergeCell ref="O119:O124"/>
    <mergeCell ref="U119:U124"/>
    <mergeCell ref="B119:B124"/>
    <mergeCell ref="V119:V124"/>
    <mergeCell ref="C119:C124"/>
    <mergeCell ref="D119:D124"/>
    <mergeCell ref="E119:E124"/>
    <mergeCell ref="F119:F124"/>
    <mergeCell ref="G119:G124"/>
    <mergeCell ref="H119:H124"/>
    <mergeCell ref="I119:I124"/>
    <mergeCell ref="J119:J124"/>
    <mergeCell ref="K119:K124"/>
    <mergeCell ref="L119:L124"/>
    <mergeCell ref="M119:M124"/>
    <mergeCell ref="A9:A16"/>
    <mergeCell ref="B9:B16"/>
    <mergeCell ref="C9:C16"/>
    <mergeCell ref="M9:M16"/>
    <mergeCell ref="O9:O16"/>
    <mergeCell ref="U9:U16"/>
    <mergeCell ref="V9:V16"/>
    <mergeCell ref="H106:H108"/>
    <mergeCell ref="I106:I108"/>
    <mergeCell ref="J106:J108"/>
    <mergeCell ref="K106:K108"/>
    <mergeCell ref="D9:D16"/>
    <mergeCell ref="E9:E16"/>
    <mergeCell ref="F9:F16"/>
    <mergeCell ref="G9:G16"/>
    <mergeCell ref="H9:H16"/>
    <mergeCell ref="I9:I16"/>
    <mergeCell ref="J9:J16"/>
    <mergeCell ref="K9:K16"/>
    <mergeCell ref="L9:L16"/>
    <mergeCell ref="A36:A41"/>
    <mergeCell ref="E106:E108"/>
    <mergeCell ref="A106:A108"/>
    <mergeCell ref="B106:B108"/>
    <mergeCell ref="S2:U2"/>
    <mergeCell ref="F2:G2"/>
    <mergeCell ref="N2:O2"/>
    <mergeCell ref="W9:W16"/>
    <mergeCell ref="V106:V108"/>
    <mergeCell ref="W106:W108"/>
    <mergeCell ref="L106:L108"/>
    <mergeCell ref="M106:M108"/>
    <mergeCell ref="O106:O108"/>
    <mergeCell ref="O36:O41"/>
    <mergeCell ref="U36:U41"/>
    <mergeCell ref="F106:F108"/>
    <mergeCell ref="G106:G108"/>
    <mergeCell ref="W36:W41"/>
    <mergeCell ref="H73:H80"/>
    <mergeCell ref="I73:I80"/>
    <mergeCell ref="J73:J80"/>
    <mergeCell ref="K73:K80"/>
    <mergeCell ref="W69:W71"/>
    <mergeCell ref="G69:G71"/>
    <mergeCell ref="H69:H71"/>
    <mergeCell ref="O69:O71"/>
    <mergeCell ref="L69:L71"/>
    <mergeCell ref="M69:M71"/>
    <mergeCell ref="G109:G111"/>
    <mergeCell ref="U109:U111"/>
    <mergeCell ref="U106:U108"/>
    <mergeCell ref="W102:W103"/>
    <mergeCell ref="M102:M103"/>
    <mergeCell ref="O102:O103"/>
    <mergeCell ref="U102:U103"/>
    <mergeCell ref="V102:V103"/>
    <mergeCell ref="K102:K103"/>
    <mergeCell ref="L102:L103"/>
    <mergeCell ref="F102:F103"/>
    <mergeCell ref="G102:G103"/>
    <mergeCell ref="H102:H103"/>
    <mergeCell ref="C102:C103"/>
    <mergeCell ref="W112:W113"/>
    <mergeCell ref="D112:D113"/>
    <mergeCell ref="E112:E113"/>
    <mergeCell ref="F112:F113"/>
    <mergeCell ref="G112:G113"/>
    <mergeCell ref="H112:H113"/>
    <mergeCell ref="I112:I113"/>
    <mergeCell ref="J112:J113"/>
    <mergeCell ref="K112:K113"/>
    <mergeCell ref="L112:L113"/>
    <mergeCell ref="M112:M113"/>
    <mergeCell ref="H109:H111"/>
    <mergeCell ref="I109:I111"/>
    <mergeCell ref="J109:J111"/>
    <mergeCell ref="I102:I103"/>
    <mergeCell ref="J102:J103"/>
    <mergeCell ref="W109:W111"/>
    <mergeCell ref="D109:D111"/>
    <mergeCell ref="E109:E111"/>
    <mergeCell ref="F109:F111"/>
    <mergeCell ref="A102:A103"/>
    <mergeCell ref="B102:B103"/>
    <mergeCell ref="A94:A101"/>
    <mergeCell ref="B94:B101"/>
    <mergeCell ref="C94:C101"/>
    <mergeCell ref="C106:C108"/>
    <mergeCell ref="D106:D108"/>
    <mergeCell ref="D102:D103"/>
    <mergeCell ref="E102:E103"/>
    <mergeCell ref="A73:A80"/>
    <mergeCell ref="A81:A83"/>
    <mergeCell ref="B81:B83"/>
    <mergeCell ref="W73:W80"/>
    <mergeCell ref="M73:M80"/>
    <mergeCell ref="V81:V83"/>
    <mergeCell ref="W81:W83"/>
    <mergeCell ref="J81:J83"/>
    <mergeCell ref="K81:K83"/>
    <mergeCell ref="L81:L83"/>
    <mergeCell ref="M81:M83"/>
    <mergeCell ref="C81:C83"/>
    <mergeCell ref="D81:D83"/>
    <mergeCell ref="E81:E83"/>
    <mergeCell ref="F81:F83"/>
    <mergeCell ref="G81:G83"/>
    <mergeCell ref="O73:O80"/>
    <mergeCell ref="U73:U80"/>
    <mergeCell ref="B73:B80"/>
    <mergeCell ref="V73:V80"/>
    <mergeCell ref="C73:C80"/>
    <mergeCell ref="D73:D80"/>
    <mergeCell ref="E73:E80"/>
    <mergeCell ref="F73:F80"/>
    <mergeCell ref="A17:A35"/>
    <mergeCell ref="O17:O35"/>
    <mergeCell ref="U17:U35"/>
    <mergeCell ref="B17:B35"/>
    <mergeCell ref="K36:K41"/>
    <mergeCell ref="L36:L41"/>
    <mergeCell ref="A69:A71"/>
    <mergeCell ref="B69:B71"/>
    <mergeCell ref="C69:C71"/>
    <mergeCell ref="H36:H41"/>
    <mergeCell ref="I36:I41"/>
    <mergeCell ref="J36:J41"/>
    <mergeCell ref="M60:M68"/>
    <mergeCell ref="A42:A50"/>
    <mergeCell ref="O42:O50"/>
    <mergeCell ref="U42:U50"/>
    <mergeCell ref="B42:B50"/>
    <mergeCell ref="A60:A68"/>
    <mergeCell ref="O60:O68"/>
    <mergeCell ref="U60:U68"/>
    <mergeCell ref="B36:B41"/>
    <mergeCell ref="B60:B68"/>
    <mergeCell ref="I60:I68"/>
    <mergeCell ref="J60:J68"/>
    <mergeCell ref="V17:V35"/>
    <mergeCell ref="C17:C35"/>
    <mergeCell ref="W17:W35"/>
    <mergeCell ref="D17:D35"/>
    <mergeCell ref="E17:E35"/>
    <mergeCell ref="F17:F35"/>
    <mergeCell ref="G17:G35"/>
    <mergeCell ref="H17:H35"/>
    <mergeCell ref="I17:I35"/>
    <mergeCell ref="J17:J35"/>
    <mergeCell ref="K17:K35"/>
    <mergeCell ref="L17:L35"/>
    <mergeCell ref="M17:M35"/>
    <mergeCell ref="V36:V41"/>
    <mergeCell ref="C36:C41"/>
    <mergeCell ref="M36:M41"/>
    <mergeCell ref="D36:D41"/>
    <mergeCell ref="E36:E41"/>
    <mergeCell ref="W94:W101"/>
    <mergeCell ref="D94:D101"/>
    <mergeCell ref="E94:E101"/>
    <mergeCell ref="F94:F101"/>
    <mergeCell ref="G94:G101"/>
    <mergeCell ref="H94:H101"/>
    <mergeCell ref="I94:I101"/>
    <mergeCell ref="J94:J101"/>
    <mergeCell ref="K94:K101"/>
    <mergeCell ref="L94:L101"/>
    <mergeCell ref="M94:M101"/>
    <mergeCell ref="O94:O101"/>
    <mergeCell ref="U94:U101"/>
    <mergeCell ref="V94:V101"/>
    <mergeCell ref="F69:F71"/>
    <mergeCell ref="I81:I83"/>
    <mergeCell ref="V42:V50"/>
    <mergeCell ref="F36:F41"/>
    <mergeCell ref="G36:G41"/>
    <mergeCell ref="V60:V68"/>
    <mergeCell ref="V69:V71"/>
    <mergeCell ref="K60:K68"/>
    <mergeCell ref="L60:L68"/>
    <mergeCell ref="M51:M59"/>
    <mergeCell ref="C60:C68"/>
    <mergeCell ref="C42:C50"/>
    <mergeCell ref="W42:W50"/>
    <mergeCell ref="D42:D50"/>
    <mergeCell ref="E42:E50"/>
    <mergeCell ref="F42:F50"/>
    <mergeCell ref="G42:G50"/>
    <mergeCell ref="H42:H50"/>
    <mergeCell ref="I42:I50"/>
    <mergeCell ref="J42:J50"/>
    <mergeCell ref="K42:K50"/>
    <mergeCell ref="L42:L50"/>
    <mergeCell ref="M42:M50"/>
    <mergeCell ref="W60:W68"/>
    <mergeCell ref="D60:D68"/>
    <mergeCell ref="E60:E68"/>
    <mergeCell ref="F60:F68"/>
    <mergeCell ref="G60:G68"/>
    <mergeCell ref="H60:H68"/>
    <mergeCell ref="A51:A59"/>
    <mergeCell ref="O51:O59"/>
    <mergeCell ref="U51:U59"/>
    <mergeCell ref="B51:B59"/>
    <mergeCell ref="V51:V59"/>
    <mergeCell ref="C51:C59"/>
    <mergeCell ref="W51:W59"/>
    <mergeCell ref="D51:D59"/>
    <mergeCell ref="E51:E59"/>
    <mergeCell ref="F51:F59"/>
    <mergeCell ref="G51:G59"/>
    <mergeCell ref="H51:H59"/>
    <mergeCell ref="I51:I59"/>
    <mergeCell ref="J51:J59"/>
    <mergeCell ref="K51:K59"/>
    <mergeCell ref="L51:L59"/>
    <mergeCell ref="A84:A92"/>
    <mergeCell ref="O84:O92"/>
    <mergeCell ref="U84:U92"/>
    <mergeCell ref="B84:B92"/>
    <mergeCell ref="V84:V92"/>
    <mergeCell ref="C84:C92"/>
    <mergeCell ref="W84:W92"/>
    <mergeCell ref="D84:D92"/>
    <mergeCell ref="E84:E92"/>
    <mergeCell ref="F84:F92"/>
    <mergeCell ref="G84:G92"/>
    <mergeCell ref="H84:H92"/>
    <mergeCell ref="I84:I92"/>
    <mergeCell ref="J84:J92"/>
    <mergeCell ref="K84:K92"/>
    <mergeCell ref="L84:L92"/>
    <mergeCell ref="M84:M9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1"/>
  <sheetViews>
    <sheetView showGridLines="0" topLeftCell="D1" zoomScale="50" zoomScaleNormal="50" workbookViewId="0">
      <pane ySplit="8" topLeftCell="A9" activePane="bottomLeft" state="frozen"/>
      <selection pane="bottomLeft" activeCell="K41" sqref="K41"/>
    </sheetView>
  </sheetViews>
  <sheetFormatPr defaultColWidth="0" defaultRowHeight="18.75" x14ac:dyDescent="0.25"/>
  <cols>
    <col min="1" max="1" width="8.28515625" style="3" customWidth="1"/>
    <col min="2" max="2" width="28.5703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5"/>
      <c r="C2" s="65"/>
      <c r="D2" s="65"/>
      <c r="E2" s="1040" t="s">
        <v>24</v>
      </c>
      <c r="F2" s="1041"/>
      <c r="G2" s="75">
        <f>SUM(G9:G9999)</f>
        <v>587944.5</v>
      </c>
      <c r="L2" s="1212" t="s">
        <v>137</v>
      </c>
      <c r="M2" s="1213"/>
      <c r="N2" s="66">
        <f>SUM(N9:N9999)</f>
        <v>587944.5</v>
      </c>
      <c r="P2" s="65"/>
      <c r="Q2" s="789" t="s">
        <v>45</v>
      </c>
      <c r="R2" s="790"/>
      <c r="S2" s="791"/>
      <c r="T2" s="67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68" t="s">
        <v>46</v>
      </c>
      <c r="J6" s="68" t="s">
        <v>5</v>
      </c>
      <c r="K6" s="23" t="s">
        <v>39</v>
      </c>
      <c r="L6" s="22" t="s">
        <v>37</v>
      </c>
      <c r="M6" s="23" t="s">
        <v>6</v>
      </c>
      <c r="N6" s="68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68" t="s">
        <v>43</v>
      </c>
      <c r="U6" s="13" t="s">
        <v>42</v>
      </c>
    </row>
    <row r="7" spans="1:22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</row>
    <row r="8" spans="1:22" s="14" customFormat="1" ht="131.25" hidden="1" x14ac:dyDescent="0.25">
      <c r="A8" s="69" t="s">
        <v>36</v>
      </c>
      <c r="B8" s="69" t="s">
        <v>67</v>
      </c>
      <c r="C8" s="69" t="s">
        <v>66</v>
      </c>
      <c r="D8" s="69" t="s">
        <v>48</v>
      </c>
      <c r="E8" s="73">
        <v>43823</v>
      </c>
      <c r="F8" s="70" t="s">
        <v>65</v>
      </c>
      <c r="G8" s="71">
        <v>100000</v>
      </c>
      <c r="H8" s="71">
        <v>90000</v>
      </c>
      <c r="I8" s="74">
        <v>2308091759</v>
      </c>
      <c r="J8" s="69" t="s">
        <v>68</v>
      </c>
      <c r="K8" s="69" t="s">
        <v>69</v>
      </c>
      <c r="L8" s="70">
        <v>43801</v>
      </c>
      <c r="M8" s="69" t="s">
        <v>70</v>
      </c>
      <c r="N8" s="71">
        <v>10000</v>
      </c>
      <c r="O8" s="70">
        <v>43489</v>
      </c>
      <c r="P8" s="70"/>
      <c r="Q8" s="70"/>
      <c r="R8" s="70"/>
      <c r="S8" s="70"/>
      <c r="T8" s="71"/>
      <c r="U8" s="72" t="s">
        <v>64</v>
      </c>
    </row>
    <row r="9" spans="1:22" s="80" customFormat="1" ht="54" customHeight="1" x14ac:dyDescent="0.25">
      <c r="A9" s="1214">
        <v>1</v>
      </c>
      <c r="B9" s="1200" t="s">
        <v>280</v>
      </c>
      <c r="C9" s="1200" t="s">
        <v>158</v>
      </c>
      <c r="D9" s="1200" t="s">
        <v>275</v>
      </c>
      <c r="E9" s="1204">
        <v>45366</v>
      </c>
      <c r="F9" s="1206" t="s">
        <v>276</v>
      </c>
      <c r="G9" s="1198">
        <v>587944.5</v>
      </c>
      <c r="H9" s="1208">
        <f>IF(V9 = 2, G9 + SUM(Q9:Q10) - SUM(R9:R10) - SUM(N9:N10) - T9,0)</f>
        <v>0</v>
      </c>
      <c r="I9" s="1210">
        <v>7715995942</v>
      </c>
      <c r="J9" s="1200" t="s">
        <v>277</v>
      </c>
      <c r="K9" s="1200" t="s">
        <v>278</v>
      </c>
      <c r="L9" s="374">
        <v>45406</v>
      </c>
      <c r="M9" s="1200" t="s">
        <v>279</v>
      </c>
      <c r="N9" s="366">
        <v>549485.19999999995</v>
      </c>
      <c r="O9" s="374">
        <v>45419</v>
      </c>
      <c r="P9" s="379"/>
      <c r="Q9" s="380"/>
      <c r="R9" s="380"/>
      <c r="S9" s="1206"/>
      <c r="T9" s="1198"/>
      <c r="U9" s="1202"/>
      <c r="V9" s="80">
        <v>2</v>
      </c>
    </row>
    <row r="10" spans="1:22" s="110" customFormat="1" x14ac:dyDescent="0.25">
      <c r="A10" s="1215"/>
      <c r="B10" s="1201"/>
      <c r="C10" s="1201"/>
      <c r="D10" s="1201"/>
      <c r="E10" s="1205"/>
      <c r="F10" s="1207"/>
      <c r="G10" s="1199"/>
      <c r="H10" s="1209"/>
      <c r="I10" s="1211"/>
      <c r="J10" s="1201"/>
      <c r="K10" s="1201"/>
      <c r="L10" s="376">
        <v>45461</v>
      </c>
      <c r="M10" s="1201"/>
      <c r="N10" s="382">
        <v>38459.300000000003</v>
      </c>
      <c r="O10" s="376">
        <v>45463</v>
      </c>
      <c r="P10" s="381"/>
      <c r="Q10" s="372"/>
      <c r="R10" s="372"/>
      <c r="S10" s="1207"/>
      <c r="T10" s="1199"/>
      <c r="U10" s="1203"/>
      <c r="V10" s="110">
        <v>2</v>
      </c>
    </row>
    <row r="11" spans="1:22" x14ac:dyDescent="0.25">
      <c r="V11" s="2">
        <v>3</v>
      </c>
    </row>
  </sheetData>
  <sheetProtection password="EB34" sheet="1" objects="1" scenarios="1" formatCells="0" formatColumns="0" formatRows="0"/>
  <mergeCells count="18">
    <mergeCell ref="Q2:S2"/>
    <mergeCell ref="E2:F2"/>
    <mergeCell ref="L2:M2"/>
    <mergeCell ref="A9:A10"/>
    <mergeCell ref="M9:M10"/>
    <mergeCell ref="S9:S10"/>
    <mergeCell ref="B9:B10"/>
    <mergeCell ref="T9:T10"/>
    <mergeCell ref="C9:C10"/>
    <mergeCell ref="U9:U10"/>
    <mergeCell ref="D9:D10"/>
    <mergeCell ref="E9:E10"/>
    <mergeCell ref="F9:F10"/>
    <mergeCell ref="G9:G10"/>
    <mergeCell ref="H9:H10"/>
    <mergeCell ref="I9:I10"/>
    <mergeCell ref="J9:J10"/>
    <mergeCell ref="K9:K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9"/>
  <sheetViews>
    <sheetView showGridLines="0" topLeftCell="H1" zoomScale="50" zoomScaleNormal="50" workbookViewId="0">
      <pane ySplit="8" topLeftCell="A9" activePane="bottomLeft" state="frozen"/>
      <selection pane="bottomLeft" activeCell="V16" sqref="V16"/>
    </sheetView>
  </sheetViews>
  <sheetFormatPr defaultColWidth="0" defaultRowHeight="18.75" x14ac:dyDescent="0.25"/>
  <cols>
    <col min="1" max="1" width="9.140625" style="8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1040" t="s">
        <v>139</v>
      </c>
      <c r="F2" s="1041"/>
      <c r="G2" s="77">
        <f>SUM(G9:G9999)</f>
        <v>1548849.06</v>
      </c>
      <c r="O2" s="1040" t="s">
        <v>24</v>
      </c>
      <c r="P2" s="1041"/>
      <c r="Q2" s="75">
        <f>SUM(Q9:Q9999)</f>
        <v>1071537.3400000001</v>
      </c>
      <c r="T2" s="789" t="s">
        <v>137</v>
      </c>
      <c r="U2" s="791"/>
      <c r="V2" s="66">
        <f>SUM(V9:V9999)</f>
        <v>588888.48999999987</v>
      </c>
      <c r="X2" s="65"/>
      <c r="Y2" s="789" t="s">
        <v>45</v>
      </c>
      <c r="Z2" s="790"/>
      <c r="AA2" s="791"/>
      <c r="AB2" s="67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s="82" customFormat="1" ht="150" x14ac:dyDescent="0.25">
      <c r="A6" s="84" t="s">
        <v>8</v>
      </c>
      <c r="B6" s="84" t="s">
        <v>47</v>
      </c>
      <c r="C6" s="84" t="s">
        <v>33</v>
      </c>
      <c r="D6" s="84" t="s">
        <v>10</v>
      </c>
      <c r="E6" s="84" t="s">
        <v>11</v>
      </c>
      <c r="F6" s="84" t="s">
        <v>12</v>
      </c>
      <c r="G6" s="90" t="s">
        <v>13</v>
      </c>
      <c r="H6" s="90" t="s">
        <v>34</v>
      </c>
      <c r="I6" s="92" t="s">
        <v>16</v>
      </c>
      <c r="J6" s="92" t="s">
        <v>17</v>
      </c>
      <c r="K6" s="84" t="s">
        <v>14</v>
      </c>
      <c r="L6" s="84" t="s">
        <v>32</v>
      </c>
      <c r="M6" s="84" t="s">
        <v>15</v>
      </c>
      <c r="N6" s="86" t="s">
        <v>0</v>
      </c>
      <c r="O6" s="84" t="s">
        <v>46</v>
      </c>
      <c r="P6" s="84" t="s">
        <v>5</v>
      </c>
      <c r="Q6" s="90" t="s">
        <v>18</v>
      </c>
      <c r="R6" s="90" t="s">
        <v>22</v>
      </c>
      <c r="S6" s="84" t="s">
        <v>19</v>
      </c>
      <c r="T6" s="86" t="s">
        <v>37</v>
      </c>
      <c r="U6" s="86" t="s">
        <v>20</v>
      </c>
      <c r="V6" s="90" t="s">
        <v>23</v>
      </c>
      <c r="W6" s="86" t="s">
        <v>9</v>
      </c>
      <c r="X6" s="88" t="s">
        <v>40</v>
      </c>
      <c r="Y6" s="88" t="s">
        <v>103</v>
      </c>
      <c r="Z6" s="88" t="s">
        <v>104</v>
      </c>
      <c r="AA6" s="89" t="s">
        <v>41</v>
      </c>
      <c r="AB6" s="90" t="s">
        <v>43</v>
      </c>
      <c r="AC6" s="84" t="s">
        <v>42</v>
      </c>
    </row>
    <row r="7" spans="1:30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  <c r="X7" s="81" t="s">
        <v>132</v>
      </c>
      <c r="Y7" s="81" t="s">
        <v>133</v>
      </c>
      <c r="Z7" s="81" t="s">
        <v>134</v>
      </c>
      <c r="AA7" s="81" t="s">
        <v>135</v>
      </c>
      <c r="AB7" s="81" t="s">
        <v>136</v>
      </c>
      <c r="AC7" s="81" t="s">
        <v>138</v>
      </c>
    </row>
    <row r="8" spans="1:30" ht="168.75" hidden="1" x14ac:dyDescent="0.25">
      <c r="A8" s="85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3"/>
      <c r="Z8" s="53"/>
      <c r="AA8" s="20"/>
      <c r="AB8" s="19"/>
      <c r="AC8" s="21" t="s">
        <v>64</v>
      </c>
    </row>
    <row r="9" spans="1:30" s="80" customFormat="1" ht="52.15" customHeight="1" x14ac:dyDescent="0.25">
      <c r="A9" s="1226">
        <v>1</v>
      </c>
      <c r="B9" s="1200" t="s">
        <v>56</v>
      </c>
      <c r="C9" s="1200" t="s">
        <v>161</v>
      </c>
      <c r="D9" s="1200" t="s">
        <v>158</v>
      </c>
      <c r="E9" s="1200" t="s">
        <v>162</v>
      </c>
      <c r="F9" s="1200" t="s">
        <v>154</v>
      </c>
      <c r="G9" s="1198">
        <v>740465.76</v>
      </c>
      <c r="H9" s="1208">
        <f>IF(AD9 = 1, G9 - Q9,0)</f>
        <v>348018.92</v>
      </c>
      <c r="I9" s="1198">
        <v>5</v>
      </c>
      <c r="J9" s="1198">
        <v>0</v>
      </c>
      <c r="K9" s="1200" t="s">
        <v>194</v>
      </c>
      <c r="L9" s="1200" t="s">
        <v>163</v>
      </c>
      <c r="M9" s="1200" t="s">
        <v>164</v>
      </c>
      <c r="N9" s="1204">
        <v>45286</v>
      </c>
      <c r="O9" s="1200" t="s">
        <v>155</v>
      </c>
      <c r="P9" s="1200" t="s">
        <v>156</v>
      </c>
      <c r="Q9" s="1198">
        <v>392446.84</v>
      </c>
      <c r="R9" s="1208">
        <f>IF(AD9 = 1, Q9 + SUM(Y9:Y14) - SUM(Z9:Z14) - SUM(V9:V14) - AB9,0)</f>
        <v>5.8207660913467407E-11</v>
      </c>
      <c r="S9" s="1200" t="s">
        <v>165</v>
      </c>
      <c r="T9" s="374">
        <v>45323</v>
      </c>
      <c r="U9" s="1206" t="s">
        <v>157</v>
      </c>
      <c r="V9" s="366">
        <v>68347.48</v>
      </c>
      <c r="W9" s="374">
        <v>45327</v>
      </c>
      <c r="X9" s="367"/>
      <c r="Y9" s="368"/>
      <c r="Z9" s="368"/>
      <c r="AA9" s="1230"/>
      <c r="AB9" s="1216"/>
      <c r="AC9" s="1220"/>
      <c r="AD9" s="80">
        <v>1</v>
      </c>
    </row>
    <row r="10" spans="1:30" s="110" customFormat="1" x14ac:dyDescent="0.25">
      <c r="A10" s="1227"/>
      <c r="B10" s="1219"/>
      <c r="C10" s="1219"/>
      <c r="D10" s="1219"/>
      <c r="E10" s="1219"/>
      <c r="F10" s="1219"/>
      <c r="G10" s="1223"/>
      <c r="H10" s="1224"/>
      <c r="I10" s="1223"/>
      <c r="J10" s="1223"/>
      <c r="K10" s="1219"/>
      <c r="L10" s="1219"/>
      <c r="M10" s="1219"/>
      <c r="N10" s="1225"/>
      <c r="O10" s="1219"/>
      <c r="P10" s="1219"/>
      <c r="Q10" s="1223"/>
      <c r="R10" s="1224"/>
      <c r="S10" s="1219"/>
      <c r="T10" s="375">
        <v>45352</v>
      </c>
      <c r="U10" s="1229"/>
      <c r="V10" s="369">
        <v>63937.97</v>
      </c>
      <c r="W10" s="375">
        <v>45356</v>
      </c>
      <c r="X10" s="370"/>
      <c r="Y10" s="371"/>
      <c r="Z10" s="371"/>
      <c r="AA10" s="1231"/>
      <c r="AB10" s="1217"/>
      <c r="AC10" s="1221"/>
      <c r="AD10" s="110">
        <v>1</v>
      </c>
    </row>
    <row r="11" spans="1:30" s="110" customFormat="1" x14ac:dyDescent="0.25">
      <c r="A11" s="1227"/>
      <c r="B11" s="1219"/>
      <c r="C11" s="1219"/>
      <c r="D11" s="1219"/>
      <c r="E11" s="1219"/>
      <c r="F11" s="1219"/>
      <c r="G11" s="1223"/>
      <c r="H11" s="1224"/>
      <c r="I11" s="1223"/>
      <c r="J11" s="1223"/>
      <c r="K11" s="1219"/>
      <c r="L11" s="1219"/>
      <c r="M11" s="1219"/>
      <c r="N11" s="1225"/>
      <c r="O11" s="1219"/>
      <c r="P11" s="1219"/>
      <c r="Q11" s="1223"/>
      <c r="R11" s="1224"/>
      <c r="S11" s="1219"/>
      <c r="T11" s="375">
        <v>45384</v>
      </c>
      <c r="U11" s="1229"/>
      <c r="V11" s="369">
        <v>68347.48</v>
      </c>
      <c r="W11" s="375">
        <v>45384</v>
      </c>
      <c r="X11" s="370"/>
      <c r="Y11" s="371"/>
      <c r="Z11" s="371"/>
      <c r="AA11" s="1231"/>
      <c r="AB11" s="1217"/>
      <c r="AC11" s="1221"/>
      <c r="AD11" s="110">
        <v>1</v>
      </c>
    </row>
    <row r="12" spans="1:30" s="110" customFormat="1" x14ac:dyDescent="0.25">
      <c r="A12" s="1227"/>
      <c r="B12" s="1219"/>
      <c r="C12" s="1219"/>
      <c r="D12" s="1219"/>
      <c r="E12" s="1219"/>
      <c r="F12" s="1219"/>
      <c r="G12" s="1223"/>
      <c r="H12" s="1224"/>
      <c r="I12" s="1223"/>
      <c r="J12" s="1223"/>
      <c r="K12" s="1219"/>
      <c r="L12" s="1219"/>
      <c r="M12" s="1219"/>
      <c r="N12" s="1225"/>
      <c r="O12" s="1219"/>
      <c r="P12" s="1219"/>
      <c r="Q12" s="1223"/>
      <c r="R12" s="1224"/>
      <c r="S12" s="1219"/>
      <c r="T12" s="375">
        <v>45414</v>
      </c>
      <c r="U12" s="1229"/>
      <c r="V12" s="369">
        <v>66142.73</v>
      </c>
      <c r="W12" s="375">
        <v>45419</v>
      </c>
      <c r="X12" s="370"/>
      <c r="Y12" s="371"/>
      <c r="Z12" s="371"/>
      <c r="AA12" s="1231"/>
      <c r="AB12" s="1217"/>
      <c r="AC12" s="1221"/>
      <c r="AD12" s="110">
        <v>1</v>
      </c>
    </row>
    <row r="13" spans="1:30" s="110" customFormat="1" x14ac:dyDescent="0.25">
      <c r="A13" s="1227"/>
      <c r="B13" s="1219"/>
      <c r="C13" s="1219"/>
      <c r="D13" s="1219"/>
      <c r="E13" s="1219"/>
      <c r="F13" s="1219"/>
      <c r="G13" s="1223"/>
      <c r="H13" s="1224"/>
      <c r="I13" s="1223"/>
      <c r="J13" s="1223"/>
      <c r="K13" s="1219"/>
      <c r="L13" s="1219"/>
      <c r="M13" s="1219"/>
      <c r="N13" s="1225"/>
      <c r="O13" s="1219"/>
      <c r="P13" s="1219"/>
      <c r="Q13" s="1223"/>
      <c r="R13" s="1224"/>
      <c r="S13" s="1219"/>
      <c r="T13" s="375">
        <v>45445</v>
      </c>
      <c r="U13" s="1229"/>
      <c r="V13" s="369">
        <v>68347.48</v>
      </c>
      <c r="W13" s="375">
        <v>45449</v>
      </c>
      <c r="X13" s="370"/>
      <c r="Y13" s="371"/>
      <c r="Z13" s="371"/>
      <c r="AA13" s="1231"/>
      <c r="AB13" s="1217"/>
      <c r="AC13" s="1221"/>
      <c r="AD13" s="110">
        <v>1</v>
      </c>
    </row>
    <row r="14" spans="1:30" s="110" customFormat="1" x14ac:dyDescent="0.25">
      <c r="A14" s="1228"/>
      <c r="B14" s="1201"/>
      <c r="C14" s="1201"/>
      <c r="D14" s="1201"/>
      <c r="E14" s="1201"/>
      <c r="F14" s="1201"/>
      <c r="G14" s="1199"/>
      <c r="H14" s="1209"/>
      <c r="I14" s="1199"/>
      <c r="J14" s="1199"/>
      <c r="K14" s="1201"/>
      <c r="L14" s="1201"/>
      <c r="M14" s="1201"/>
      <c r="N14" s="1205"/>
      <c r="O14" s="1201"/>
      <c r="P14" s="1201"/>
      <c r="Q14" s="1199"/>
      <c r="R14" s="1209"/>
      <c r="S14" s="1201"/>
      <c r="T14" s="376">
        <v>45470</v>
      </c>
      <c r="U14" s="1207"/>
      <c r="V14" s="382">
        <v>57323.7</v>
      </c>
      <c r="W14" s="376">
        <v>45477</v>
      </c>
      <c r="X14" s="373"/>
      <c r="Y14" s="372"/>
      <c r="Z14" s="372"/>
      <c r="AA14" s="1232"/>
      <c r="AB14" s="1218"/>
      <c r="AC14" s="1222"/>
      <c r="AD14" s="110">
        <v>1</v>
      </c>
    </row>
    <row r="15" spans="1:30" s="80" customFormat="1" ht="90" customHeight="1" x14ac:dyDescent="0.25">
      <c r="A15" s="1233">
        <v>2</v>
      </c>
      <c r="B15" s="1239" t="s">
        <v>56</v>
      </c>
      <c r="C15" s="1239" t="s">
        <v>310</v>
      </c>
      <c r="D15" s="1239" t="s">
        <v>158</v>
      </c>
      <c r="E15" s="1239" t="s">
        <v>311</v>
      </c>
      <c r="F15" s="1239" t="s">
        <v>154</v>
      </c>
      <c r="G15" s="1242">
        <v>349440</v>
      </c>
      <c r="H15" s="1245">
        <f>IF(AD15 = 2, G15 - Q15,0)</f>
        <v>129292.79999999999</v>
      </c>
      <c r="I15" s="1242">
        <v>5</v>
      </c>
      <c r="J15" s="1242">
        <v>0</v>
      </c>
      <c r="K15" s="1248" t="s">
        <v>75</v>
      </c>
      <c r="L15" s="1239" t="s">
        <v>312</v>
      </c>
      <c r="M15" s="1239" t="s">
        <v>313</v>
      </c>
      <c r="N15" s="1251">
        <v>45470</v>
      </c>
      <c r="O15" s="1239" t="s">
        <v>314</v>
      </c>
      <c r="P15" s="1239" t="s">
        <v>156</v>
      </c>
      <c r="Q15" s="1242">
        <v>220147.20000000001</v>
      </c>
      <c r="R15" s="1245">
        <f>IF(AD15 = 2, Q15 + SUM(Y15:Y17) - SUM(Z15:Z17) - SUM(V15:V17) - AB15,0)</f>
        <v>60480</v>
      </c>
      <c r="S15" s="1239" t="s">
        <v>319</v>
      </c>
      <c r="T15" s="556">
        <v>45473</v>
      </c>
      <c r="U15" s="1236" t="s">
        <v>157</v>
      </c>
      <c r="V15" s="551">
        <v>9676.7999999999993</v>
      </c>
      <c r="W15" s="556">
        <v>45477</v>
      </c>
      <c r="X15" s="552"/>
      <c r="Y15" s="553"/>
      <c r="Z15" s="553"/>
      <c r="AA15" s="1236"/>
      <c r="AB15" s="1242"/>
      <c r="AC15" s="1239"/>
      <c r="AD15" s="80">
        <v>2</v>
      </c>
    </row>
    <row r="16" spans="1:30" s="110" customFormat="1" x14ac:dyDescent="0.25">
      <c r="A16" s="1234"/>
      <c r="B16" s="1240"/>
      <c r="C16" s="1240"/>
      <c r="D16" s="1240"/>
      <c r="E16" s="1240"/>
      <c r="F16" s="1240"/>
      <c r="G16" s="1243"/>
      <c r="H16" s="1246"/>
      <c r="I16" s="1243"/>
      <c r="J16" s="1243"/>
      <c r="K16" s="1249"/>
      <c r="L16" s="1240"/>
      <c r="M16" s="1240"/>
      <c r="N16" s="1252"/>
      <c r="O16" s="1240"/>
      <c r="P16" s="1240"/>
      <c r="Q16" s="1243"/>
      <c r="R16" s="1246"/>
      <c r="S16" s="1240"/>
      <c r="T16" s="558">
        <v>45504</v>
      </c>
      <c r="U16" s="1237"/>
      <c r="V16" s="559">
        <v>74995.199999999997</v>
      </c>
      <c r="W16" s="558">
        <v>45511</v>
      </c>
      <c r="X16" s="560"/>
      <c r="Y16" s="561"/>
      <c r="Z16" s="561"/>
      <c r="AA16" s="1237"/>
      <c r="AB16" s="1243"/>
      <c r="AC16" s="1240"/>
      <c r="AD16" s="110">
        <v>2</v>
      </c>
    </row>
    <row r="17" spans="1:30" s="110" customFormat="1" x14ac:dyDescent="0.25">
      <c r="A17" s="1235"/>
      <c r="B17" s="1241"/>
      <c r="C17" s="1241"/>
      <c r="D17" s="1241"/>
      <c r="E17" s="1241"/>
      <c r="F17" s="1241"/>
      <c r="G17" s="1244"/>
      <c r="H17" s="1247"/>
      <c r="I17" s="1244"/>
      <c r="J17" s="1244"/>
      <c r="K17" s="1250"/>
      <c r="L17" s="1241"/>
      <c r="M17" s="1241"/>
      <c r="N17" s="1253"/>
      <c r="O17" s="1241"/>
      <c r="P17" s="1241"/>
      <c r="Q17" s="1244"/>
      <c r="R17" s="1247"/>
      <c r="S17" s="1241"/>
      <c r="T17" s="557">
        <v>45535</v>
      </c>
      <c r="U17" s="1238"/>
      <c r="V17" s="601">
        <v>74995.199999999997</v>
      </c>
      <c r="W17" s="557">
        <v>45539</v>
      </c>
      <c r="X17" s="555"/>
      <c r="Y17" s="554"/>
      <c r="Z17" s="554"/>
      <c r="AA17" s="1238"/>
      <c r="AB17" s="1244"/>
      <c r="AC17" s="1241"/>
      <c r="AD17" s="110">
        <v>2</v>
      </c>
    </row>
    <row r="18" spans="1:30" s="80" customFormat="1" ht="93.75" x14ac:dyDescent="0.25">
      <c r="A18" s="359">
        <v>3</v>
      </c>
      <c r="B18" s="360" t="s">
        <v>56</v>
      </c>
      <c r="C18" s="360" t="s">
        <v>315</v>
      </c>
      <c r="D18" s="360" t="s">
        <v>158</v>
      </c>
      <c r="E18" s="360" t="s">
        <v>316</v>
      </c>
      <c r="F18" s="360" t="s">
        <v>174</v>
      </c>
      <c r="G18" s="362">
        <v>458943.3</v>
      </c>
      <c r="H18" s="363">
        <f>IF(AD18 = 3, G18 - Q18,0)</f>
        <v>0</v>
      </c>
      <c r="I18" s="362">
        <v>25</v>
      </c>
      <c r="J18" s="362">
        <v>0</v>
      </c>
      <c r="K18" s="383" t="s">
        <v>194</v>
      </c>
      <c r="L18" s="360" t="s">
        <v>317</v>
      </c>
      <c r="M18" s="360" t="s">
        <v>318</v>
      </c>
      <c r="N18" s="365">
        <v>45473</v>
      </c>
      <c r="O18" s="360" t="s">
        <v>170</v>
      </c>
      <c r="P18" s="360" t="s">
        <v>171</v>
      </c>
      <c r="Q18" s="362">
        <v>458943.3</v>
      </c>
      <c r="R18" s="363">
        <f>IF(AD18 = 3, Q18 + SUM(Y18:Y18) - SUM(Z18:Z18) - SUM(V18:V18) - AB18,0)</f>
        <v>422168.85</v>
      </c>
      <c r="S18" s="360" t="s">
        <v>392</v>
      </c>
      <c r="T18" s="365">
        <v>45554</v>
      </c>
      <c r="U18" s="361" t="s">
        <v>157</v>
      </c>
      <c r="V18" s="645">
        <v>36774.449999999997</v>
      </c>
      <c r="W18" s="365">
        <v>45561</v>
      </c>
      <c r="X18" s="360"/>
      <c r="Y18" s="362"/>
      <c r="Z18" s="362"/>
      <c r="AA18" s="361"/>
      <c r="AB18" s="362"/>
      <c r="AC18" s="360"/>
      <c r="AD18" s="80">
        <v>3</v>
      </c>
    </row>
    <row r="19" spans="1:30" x14ac:dyDescent="0.25">
      <c r="AD19" s="2">
        <v>4</v>
      </c>
    </row>
  </sheetData>
  <sheetProtection password="EB34" sheet="1" objects="1" scenarios="1" formatCells="0" formatColumns="0" formatRows="0"/>
  <mergeCells count="50">
    <mergeCell ref="AC15:AC17"/>
    <mergeCell ref="D15:D17"/>
    <mergeCell ref="E15:E17"/>
    <mergeCell ref="F15:F17"/>
    <mergeCell ref="G15:G17"/>
    <mergeCell ref="H15:H17"/>
    <mergeCell ref="I15:I17"/>
    <mergeCell ref="J15:J17"/>
    <mergeCell ref="K15:K17"/>
    <mergeCell ref="L15:L17"/>
    <mergeCell ref="M15:M17"/>
    <mergeCell ref="N15:N17"/>
    <mergeCell ref="O15:O17"/>
    <mergeCell ref="P15:P17"/>
    <mergeCell ref="Q15:Q17"/>
    <mergeCell ref="R15:R17"/>
    <mergeCell ref="A15:A17"/>
    <mergeCell ref="U15:U17"/>
    <mergeCell ref="AA15:AA17"/>
    <mergeCell ref="B15:B17"/>
    <mergeCell ref="AB15:AB17"/>
    <mergeCell ref="C15:C17"/>
    <mergeCell ref="S15:S17"/>
    <mergeCell ref="A9:A14"/>
    <mergeCell ref="B9:B14"/>
    <mergeCell ref="U9:U14"/>
    <mergeCell ref="AA9:AA14"/>
    <mergeCell ref="E2:F2"/>
    <mergeCell ref="O2:P2"/>
    <mergeCell ref="Y2:AA2"/>
    <mergeCell ref="T2:U2"/>
    <mergeCell ref="Q9:Q14"/>
    <mergeCell ref="R9:R14"/>
    <mergeCell ref="S9:S14"/>
    <mergeCell ref="AB9:AB14"/>
    <mergeCell ref="C9:C14"/>
    <mergeCell ref="AC9:AC14"/>
    <mergeCell ref="D9:D14"/>
    <mergeCell ref="E9:E14"/>
    <mergeCell ref="F9:F14"/>
    <mergeCell ref="G9:G14"/>
    <mergeCell ref="H9:H14"/>
    <mergeCell ref="I9:I14"/>
    <mergeCell ref="J9:J14"/>
    <mergeCell ref="K9:K14"/>
    <mergeCell ref="L9:L14"/>
    <mergeCell ref="M9:M14"/>
    <mergeCell ref="N9:N14"/>
    <mergeCell ref="O9:O14"/>
    <mergeCell ref="P9:P1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14"/>
  <sheetViews>
    <sheetView showGridLines="0" tabSelected="1" topLeftCell="N1" zoomScale="50" zoomScaleNormal="50" workbookViewId="0">
      <pane ySplit="8" topLeftCell="A9" activePane="bottomLeft" state="frozen"/>
      <selection pane="bottomLeft" activeCell="O40" sqref="O40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1040" t="s">
        <v>139</v>
      </c>
      <c r="F2" s="1041"/>
      <c r="G2" s="77">
        <f>SUM(G9:G9999)</f>
        <v>359413.18</v>
      </c>
      <c r="H2" s="10"/>
      <c r="O2" s="1040" t="s">
        <v>24</v>
      </c>
      <c r="P2" s="1041"/>
      <c r="Q2" s="75">
        <f>SUM(Q9:Q9999)</f>
        <v>359413.18</v>
      </c>
      <c r="T2" s="789" t="s">
        <v>137</v>
      </c>
      <c r="U2" s="791"/>
      <c r="V2" s="66">
        <f>SUM(V9:V9999)</f>
        <v>354059.69999999995</v>
      </c>
      <c r="X2" s="65"/>
      <c r="Y2" s="789" t="s">
        <v>45</v>
      </c>
      <c r="Z2" s="790"/>
      <c r="AA2" s="791"/>
      <c r="AB2" s="67">
        <f>SUM(AB9:AB9999)</f>
        <v>5353.48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29" t="s">
        <v>16</v>
      </c>
      <c r="J6" s="29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57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57" t="s">
        <v>131</v>
      </c>
      <c r="X7" s="57" t="s">
        <v>132</v>
      </c>
      <c r="Y7" s="57" t="s">
        <v>133</v>
      </c>
      <c r="Z7" s="57" t="s">
        <v>134</v>
      </c>
      <c r="AA7" s="57" t="s">
        <v>135</v>
      </c>
      <c r="AB7" s="57" t="s">
        <v>136</v>
      </c>
      <c r="AC7" s="57" t="s">
        <v>138</v>
      </c>
    </row>
    <row r="8" spans="1:30" ht="169.5" hidden="1" thickBot="1" x14ac:dyDescent="0.3">
      <c r="A8" s="144" t="s">
        <v>36</v>
      </c>
      <c r="B8" s="144"/>
      <c r="C8" s="144" t="s">
        <v>73</v>
      </c>
      <c r="D8" s="144" t="s">
        <v>74</v>
      </c>
      <c r="E8" s="144" t="s">
        <v>71</v>
      </c>
      <c r="F8" s="144" t="s">
        <v>72</v>
      </c>
      <c r="G8" s="145">
        <v>15500.01</v>
      </c>
      <c r="H8" s="145">
        <f t="shared" ref="H8" si="0">G8-Q8</f>
        <v>6725</v>
      </c>
      <c r="I8" s="146">
        <v>6</v>
      </c>
      <c r="J8" s="146">
        <v>0</v>
      </c>
      <c r="K8" s="144" t="s">
        <v>75</v>
      </c>
      <c r="L8" s="144" t="s">
        <v>76</v>
      </c>
      <c r="M8" s="144" t="s">
        <v>77</v>
      </c>
      <c r="N8" s="147">
        <v>43655</v>
      </c>
      <c r="O8" s="144" t="s">
        <v>79</v>
      </c>
      <c r="P8" s="144" t="s">
        <v>78</v>
      </c>
      <c r="Q8" s="145">
        <v>8775.01</v>
      </c>
      <c r="R8" s="145">
        <f>Q8-V8</f>
        <v>0</v>
      </c>
      <c r="S8" s="144" t="s">
        <v>80</v>
      </c>
      <c r="T8" s="147">
        <v>43677</v>
      </c>
      <c r="U8" s="144" t="s">
        <v>81</v>
      </c>
      <c r="V8" s="145">
        <v>8775.01</v>
      </c>
      <c r="W8" s="147">
        <v>43696</v>
      </c>
      <c r="X8" s="144"/>
      <c r="Y8" s="144"/>
      <c r="Z8" s="144"/>
      <c r="AA8" s="144"/>
      <c r="AB8" s="145"/>
      <c r="AC8" s="148" t="s">
        <v>64</v>
      </c>
    </row>
    <row r="9" spans="1:30" s="80" customFormat="1" ht="54.6" customHeight="1" x14ac:dyDescent="0.25">
      <c r="A9" s="1272">
        <v>1</v>
      </c>
      <c r="B9" s="1257" t="s">
        <v>56</v>
      </c>
      <c r="C9" s="1257" t="s">
        <v>166</v>
      </c>
      <c r="D9" s="1257" t="s">
        <v>158</v>
      </c>
      <c r="E9" s="1257" t="s">
        <v>167</v>
      </c>
      <c r="F9" s="1257" t="s">
        <v>174</v>
      </c>
      <c r="G9" s="1254">
        <v>359413.18</v>
      </c>
      <c r="H9" s="1263">
        <f>IF(AD9 = 1, G9 - Q9,0)</f>
        <v>0</v>
      </c>
      <c r="I9" s="1254">
        <v>1</v>
      </c>
      <c r="J9" s="1254">
        <v>0</v>
      </c>
      <c r="K9" s="1257" t="s">
        <v>194</v>
      </c>
      <c r="L9" s="1266" t="s">
        <v>169</v>
      </c>
      <c r="M9" s="1257" t="s">
        <v>168</v>
      </c>
      <c r="N9" s="1269">
        <v>45285</v>
      </c>
      <c r="O9" s="1257" t="s">
        <v>170</v>
      </c>
      <c r="P9" s="1257" t="s">
        <v>171</v>
      </c>
      <c r="Q9" s="1254">
        <v>359413.18</v>
      </c>
      <c r="R9" s="1263">
        <f>IF(AD9 = 1, Q9 + SUM(Y9:Y13) - SUM(Z9:Z13) - SUM(V9:V13) - AB9,0)</f>
        <v>4.0017766878008842E-11</v>
      </c>
      <c r="S9" s="1257" t="s">
        <v>172</v>
      </c>
      <c r="T9" s="190">
        <v>45324</v>
      </c>
      <c r="U9" s="1257" t="s">
        <v>173</v>
      </c>
      <c r="V9" s="182">
        <v>64120.09</v>
      </c>
      <c r="W9" s="190">
        <v>45338</v>
      </c>
      <c r="X9" s="183"/>
      <c r="Y9" s="184"/>
      <c r="Z9" s="184"/>
      <c r="AA9" s="1257" t="s">
        <v>281</v>
      </c>
      <c r="AB9" s="1254">
        <v>5353.48</v>
      </c>
      <c r="AC9" s="1260"/>
      <c r="AD9" s="80">
        <v>1</v>
      </c>
    </row>
    <row r="10" spans="1:30" s="110" customFormat="1" x14ac:dyDescent="0.25">
      <c r="A10" s="1273"/>
      <c r="B10" s="1258"/>
      <c r="C10" s="1258"/>
      <c r="D10" s="1258"/>
      <c r="E10" s="1258"/>
      <c r="F10" s="1258"/>
      <c r="G10" s="1255"/>
      <c r="H10" s="1264"/>
      <c r="I10" s="1255"/>
      <c r="J10" s="1255"/>
      <c r="K10" s="1258"/>
      <c r="L10" s="1267"/>
      <c r="M10" s="1258"/>
      <c r="N10" s="1270"/>
      <c r="O10" s="1258"/>
      <c r="P10" s="1258"/>
      <c r="Q10" s="1255"/>
      <c r="R10" s="1264"/>
      <c r="S10" s="1258"/>
      <c r="T10" s="191">
        <v>45324</v>
      </c>
      <c r="U10" s="1258"/>
      <c r="V10" s="185">
        <v>51101.4</v>
      </c>
      <c r="W10" s="191">
        <v>45338</v>
      </c>
      <c r="X10" s="186"/>
      <c r="Y10" s="187"/>
      <c r="Z10" s="187"/>
      <c r="AA10" s="1258"/>
      <c r="AB10" s="1255"/>
      <c r="AC10" s="1261"/>
      <c r="AD10" s="110">
        <v>1</v>
      </c>
    </row>
    <row r="11" spans="1:30" s="110" customFormat="1" x14ac:dyDescent="0.25">
      <c r="A11" s="1273"/>
      <c r="B11" s="1258"/>
      <c r="C11" s="1258"/>
      <c r="D11" s="1258"/>
      <c r="E11" s="1258"/>
      <c r="F11" s="1258"/>
      <c r="G11" s="1255"/>
      <c r="H11" s="1264"/>
      <c r="I11" s="1255"/>
      <c r="J11" s="1255"/>
      <c r="K11" s="1258"/>
      <c r="L11" s="1267"/>
      <c r="M11" s="1258"/>
      <c r="N11" s="1270"/>
      <c r="O11" s="1258"/>
      <c r="P11" s="1258"/>
      <c r="Q11" s="1255"/>
      <c r="R11" s="1264"/>
      <c r="S11" s="1258"/>
      <c r="T11" s="191">
        <v>45342</v>
      </c>
      <c r="U11" s="1258"/>
      <c r="V11" s="185">
        <v>60956.67</v>
      </c>
      <c r="W11" s="191">
        <v>45344</v>
      </c>
      <c r="X11" s="186"/>
      <c r="Y11" s="187"/>
      <c r="Z11" s="187"/>
      <c r="AA11" s="1258"/>
      <c r="AB11" s="1255"/>
      <c r="AC11" s="1261"/>
      <c r="AD11" s="110">
        <v>1</v>
      </c>
    </row>
    <row r="12" spans="1:30" s="110" customFormat="1" x14ac:dyDescent="0.25">
      <c r="A12" s="1273"/>
      <c r="B12" s="1258"/>
      <c r="C12" s="1258"/>
      <c r="D12" s="1258"/>
      <c r="E12" s="1258"/>
      <c r="F12" s="1258"/>
      <c r="G12" s="1255"/>
      <c r="H12" s="1264"/>
      <c r="I12" s="1255"/>
      <c r="J12" s="1255"/>
      <c r="K12" s="1258"/>
      <c r="L12" s="1267"/>
      <c r="M12" s="1258"/>
      <c r="N12" s="1270"/>
      <c r="O12" s="1258"/>
      <c r="P12" s="1258"/>
      <c r="Q12" s="1255"/>
      <c r="R12" s="1264"/>
      <c r="S12" s="1258"/>
      <c r="T12" s="191">
        <v>45357</v>
      </c>
      <c r="U12" s="1258"/>
      <c r="V12" s="185">
        <v>72515.320000000007</v>
      </c>
      <c r="W12" s="191">
        <v>45371</v>
      </c>
      <c r="X12" s="186"/>
      <c r="Y12" s="187"/>
      <c r="Z12" s="187"/>
      <c r="AA12" s="1258"/>
      <c r="AB12" s="1255"/>
      <c r="AC12" s="1261"/>
      <c r="AD12" s="110">
        <v>1</v>
      </c>
    </row>
    <row r="13" spans="1:30" s="110" customFormat="1" x14ac:dyDescent="0.25">
      <c r="A13" s="1274"/>
      <c r="B13" s="1259"/>
      <c r="C13" s="1259"/>
      <c r="D13" s="1259"/>
      <c r="E13" s="1259"/>
      <c r="F13" s="1259"/>
      <c r="G13" s="1256"/>
      <c r="H13" s="1265"/>
      <c r="I13" s="1256"/>
      <c r="J13" s="1256"/>
      <c r="K13" s="1259"/>
      <c r="L13" s="1268"/>
      <c r="M13" s="1259"/>
      <c r="N13" s="1271"/>
      <c r="O13" s="1259"/>
      <c r="P13" s="1259"/>
      <c r="Q13" s="1256"/>
      <c r="R13" s="1265"/>
      <c r="S13" s="1259"/>
      <c r="T13" s="192">
        <v>45373</v>
      </c>
      <c r="U13" s="1259"/>
      <c r="V13" s="253">
        <v>105366.22</v>
      </c>
      <c r="W13" s="192">
        <v>45394</v>
      </c>
      <c r="X13" s="189"/>
      <c r="Y13" s="188"/>
      <c r="Z13" s="188"/>
      <c r="AA13" s="1259"/>
      <c r="AB13" s="1256"/>
      <c r="AC13" s="1262"/>
      <c r="AD13" s="110">
        <v>1</v>
      </c>
    </row>
    <row r="14" spans="1:30" x14ac:dyDescent="0.25">
      <c r="AD14" s="2">
        <v>2</v>
      </c>
    </row>
  </sheetData>
  <sheetProtection password="EB34" sheet="1" objects="1" scenarios="1" formatCells="0" formatColumns="0" formatRows="0"/>
  <mergeCells count="27">
    <mergeCell ref="A9:A13"/>
    <mergeCell ref="B9:B13"/>
    <mergeCell ref="E2:F2"/>
    <mergeCell ref="O2:P2"/>
    <mergeCell ref="Y2:AA2"/>
    <mergeCell ref="T2:U2"/>
    <mergeCell ref="U9:U13"/>
    <mergeCell ref="AA9:AA13"/>
    <mergeCell ref="Q9:Q13"/>
    <mergeCell ref="R9:R13"/>
    <mergeCell ref="S9:S13"/>
    <mergeCell ref="AB9:AB13"/>
    <mergeCell ref="C9:C13"/>
    <mergeCell ref="AC9:A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N9:N13"/>
    <mergeCell ref="O9:O13"/>
    <mergeCell ref="P9:P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17"/>
  <sheetViews>
    <sheetView showGridLines="0" topLeftCell="I1" zoomScale="50" zoomScaleNormal="50" workbookViewId="0">
      <pane ySplit="8" topLeftCell="A22" activePane="bottomLeft" state="frozen"/>
      <selection pane="bottomLeft" activeCell="O51" sqref="O51:O53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5.7109375" style="2" customWidth="1"/>
    <col min="14" max="14" width="24.42578125" style="2" bestFit="1" customWidth="1"/>
    <col min="15" max="15" width="24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1040" t="s">
        <v>139</v>
      </c>
      <c r="F2" s="1041"/>
      <c r="G2" s="77">
        <f>SUM(G9:G9999)</f>
        <v>0</v>
      </c>
      <c r="H2" s="10"/>
      <c r="O2" s="1040" t="s">
        <v>24</v>
      </c>
      <c r="P2" s="1041"/>
      <c r="Q2" s="75">
        <f>SUM(Q9:Q9999)</f>
        <v>0</v>
      </c>
      <c r="T2" s="789" t="s">
        <v>137</v>
      </c>
      <c r="U2" s="791"/>
      <c r="V2" s="66">
        <f>SUM(V9:V9999)</f>
        <v>0</v>
      </c>
      <c r="X2" s="65"/>
      <c r="Y2" s="789" t="s">
        <v>45</v>
      </c>
      <c r="Z2" s="790"/>
      <c r="AA2" s="791"/>
      <c r="AB2" s="67">
        <f>SUM(AB9:AB9999)</f>
        <v>0</v>
      </c>
    </row>
    <row r="4" spans="1:30" ht="39.950000000000003" customHeight="1" x14ac:dyDescent="0.25">
      <c r="P4" s="788"/>
      <c r="Q4" s="788"/>
      <c r="R4" s="788"/>
      <c r="T4" s="65"/>
      <c r="U4" s="65"/>
    </row>
    <row r="6" spans="1:30" s="82" customFormat="1" ht="150" x14ac:dyDescent="0.25">
      <c r="A6" s="91" t="s">
        <v>8</v>
      </c>
      <c r="B6" s="91" t="s">
        <v>47</v>
      </c>
      <c r="C6" s="91" t="s">
        <v>33</v>
      </c>
      <c r="D6" s="91" t="s">
        <v>10</v>
      </c>
      <c r="E6" s="91" t="s">
        <v>11</v>
      </c>
      <c r="F6" s="91" t="s">
        <v>12</v>
      </c>
      <c r="G6" s="91" t="s">
        <v>13</v>
      </c>
      <c r="H6" s="91" t="s">
        <v>34</v>
      </c>
      <c r="I6" s="91" t="s">
        <v>16</v>
      </c>
      <c r="J6" s="91" t="s">
        <v>17</v>
      </c>
      <c r="K6" s="91" t="s">
        <v>14</v>
      </c>
      <c r="L6" s="91" t="s">
        <v>32</v>
      </c>
      <c r="M6" s="91" t="s">
        <v>15</v>
      </c>
      <c r="N6" s="91" t="s">
        <v>0</v>
      </c>
      <c r="O6" s="91" t="s">
        <v>46</v>
      </c>
      <c r="P6" s="91" t="s">
        <v>5</v>
      </c>
      <c r="Q6" s="91" t="s">
        <v>18</v>
      </c>
      <c r="R6" s="91" t="s">
        <v>22</v>
      </c>
      <c r="S6" s="91" t="s">
        <v>19</v>
      </c>
      <c r="T6" s="91" t="s">
        <v>37</v>
      </c>
      <c r="U6" s="91" t="s">
        <v>20</v>
      </c>
      <c r="V6" s="91" t="s">
        <v>23</v>
      </c>
      <c r="W6" s="91" t="s">
        <v>9</v>
      </c>
      <c r="X6" s="97" t="s">
        <v>40</v>
      </c>
      <c r="Y6" s="97" t="s">
        <v>103</v>
      </c>
      <c r="Z6" s="97" t="s">
        <v>104</v>
      </c>
      <c r="AA6" s="97" t="s">
        <v>41</v>
      </c>
      <c r="AB6" s="91" t="s">
        <v>43</v>
      </c>
      <c r="AC6" s="91" t="s">
        <v>42</v>
      </c>
    </row>
    <row r="7" spans="1:30" s="82" customFormat="1" x14ac:dyDescent="0.25">
      <c r="A7" s="96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  <c r="R7" s="96">
        <v>18</v>
      </c>
      <c r="S7" s="96">
        <v>19</v>
      </c>
      <c r="T7" s="96">
        <v>20</v>
      </c>
      <c r="U7" s="96">
        <v>21</v>
      </c>
      <c r="V7" s="96">
        <v>22</v>
      </c>
      <c r="W7" s="96">
        <v>23</v>
      </c>
      <c r="X7" s="96">
        <v>24</v>
      </c>
      <c r="Y7" s="96">
        <v>25</v>
      </c>
      <c r="Z7" s="96">
        <v>26</v>
      </c>
      <c r="AA7" s="96">
        <v>27</v>
      </c>
      <c r="AB7" s="96">
        <v>28</v>
      </c>
      <c r="AC7" s="96">
        <v>29</v>
      </c>
    </row>
    <row r="8" spans="1:30" ht="168.75" hidden="1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3"/>
      <c r="Z8" s="53"/>
      <c r="AA8" s="21"/>
      <c r="AB8" s="19"/>
      <c r="AC8" s="12" t="s">
        <v>64</v>
      </c>
    </row>
    <row r="9" spans="1:30" hidden="1" x14ac:dyDescent="0.25">
      <c r="M9" s="3"/>
      <c r="AD9" s="2">
        <v>2</v>
      </c>
    </row>
    <row r="10" spans="1:30" hidden="1" x14ac:dyDescent="0.25">
      <c r="M10" s="3"/>
    </row>
    <row r="11" spans="1:30" hidden="1" x14ac:dyDescent="0.25">
      <c r="M11" s="3"/>
    </row>
    <row r="12" spans="1:30" hidden="1" x14ac:dyDescent="0.25">
      <c r="M12" s="3"/>
    </row>
    <row r="13" spans="1:30" hidden="1" x14ac:dyDescent="0.25">
      <c r="M13" s="3"/>
    </row>
    <row r="14" spans="1:30" hidden="1" x14ac:dyDescent="0.25">
      <c r="M14" s="3"/>
    </row>
    <row r="15" spans="1:30" hidden="1" x14ac:dyDescent="0.25">
      <c r="M15" s="3"/>
    </row>
    <row r="16" spans="1:30" hidden="1" x14ac:dyDescent="0.25">
      <c r="M16" s="3"/>
    </row>
    <row r="17" spans="13:13" hidden="1" x14ac:dyDescent="0.25">
      <c r="M17" s="3"/>
    </row>
  </sheetData>
  <sheetProtection password="EB34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2" customWidth="1"/>
    <col min="2" max="2" width="17.42578125" style="32" customWidth="1"/>
    <col min="3" max="3" width="17.28515625" style="32" customWidth="1"/>
    <col min="4" max="4" width="38.85546875" style="32" customWidth="1"/>
    <col min="5" max="5" width="15.5703125" style="32" bestFit="1" customWidth="1"/>
    <col min="6" max="11" width="16.140625" style="32" customWidth="1"/>
    <col min="12" max="16384" width="9.140625" style="32"/>
  </cols>
  <sheetData>
    <row r="1" spans="1:11" x14ac:dyDescent="0.25">
      <c r="A1" s="46">
        <v>44</v>
      </c>
      <c r="B1" s="46">
        <v>31</v>
      </c>
      <c r="C1" s="46">
        <v>9</v>
      </c>
      <c r="D1" s="1277" t="s">
        <v>50</v>
      </c>
      <c r="E1" s="31"/>
      <c r="F1" s="59" t="s">
        <v>108</v>
      </c>
      <c r="G1" s="63" t="s">
        <v>108</v>
      </c>
      <c r="H1" s="62" t="s">
        <v>108</v>
      </c>
      <c r="I1" s="61" t="s">
        <v>108</v>
      </c>
      <c r="J1" s="60" t="s">
        <v>108</v>
      </c>
      <c r="K1" s="64" t="s">
        <v>108</v>
      </c>
    </row>
    <row r="2" spans="1:11" x14ac:dyDescent="0.25">
      <c r="A2" s="47" t="s">
        <v>84</v>
      </c>
      <c r="B2" s="46" t="s">
        <v>85</v>
      </c>
      <c r="C2" s="46" t="s">
        <v>86</v>
      </c>
      <c r="D2" s="1278"/>
      <c r="E2" s="31"/>
      <c r="F2" s="59">
        <v>103</v>
      </c>
      <c r="G2" s="63">
        <v>66</v>
      </c>
      <c r="H2" s="62">
        <v>2</v>
      </c>
      <c r="I2" s="61">
        <v>3</v>
      </c>
      <c r="J2" s="60">
        <v>1</v>
      </c>
      <c r="K2" s="64">
        <v>1</v>
      </c>
    </row>
    <row r="3" spans="1:11" x14ac:dyDescent="0.25">
      <c r="A3" s="33"/>
      <c r="B3" s="31"/>
      <c r="C3" s="31"/>
      <c r="D3" s="31"/>
      <c r="E3" s="31"/>
      <c r="F3" s="59" t="s">
        <v>109</v>
      </c>
      <c r="G3" s="63" t="s">
        <v>109</v>
      </c>
      <c r="H3" s="62" t="s">
        <v>109</v>
      </c>
      <c r="I3" s="61" t="s">
        <v>109</v>
      </c>
      <c r="J3" s="60" t="s">
        <v>109</v>
      </c>
      <c r="K3" s="64" t="s">
        <v>109</v>
      </c>
    </row>
    <row r="4" spans="1:11" x14ac:dyDescent="0.25">
      <c r="A4" s="42">
        <v>136</v>
      </c>
      <c r="B4" s="43">
        <v>33</v>
      </c>
      <c r="C4" s="43">
        <v>9</v>
      </c>
      <c r="D4" s="1279" t="s">
        <v>102</v>
      </c>
      <c r="E4" s="31"/>
      <c r="F4" s="59">
        <v>104</v>
      </c>
      <c r="G4" s="63">
        <v>67</v>
      </c>
      <c r="H4" s="62">
        <v>3</v>
      </c>
      <c r="I4" s="61">
        <v>4</v>
      </c>
      <c r="J4" s="60">
        <v>2</v>
      </c>
      <c r="K4" s="64">
        <v>2</v>
      </c>
    </row>
    <row r="5" spans="1:11" x14ac:dyDescent="0.25">
      <c r="A5" s="42" t="s">
        <v>89</v>
      </c>
      <c r="B5" s="43" t="s">
        <v>88</v>
      </c>
      <c r="C5" s="43" t="s">
        <v>87</v>
      </c>
      <c r="D5" s="1280"/>
      <c r="E5" s="31"/>
      <c r="F5" s="31"/>
      <c r="G5" s="31"/>
    </row>
    <row r="6" spans="1:11" x14ac:dyDescent="0.25">
      <c r="A6" s="33"/>
      <c r="B6" s="31"/>
      <c r="C6" s="31"/>
      <c r="D6" s="31"/>
      <c r="E6" s="31"/>
      <c r="F6" s="31"/>
      <c r="G6" s="31"/>
    </row>
    <row r="7" spans="1:11" x14ac:dyDescent="0.25">
      <c r="A7" s="44">
        <v>10</v>
      </c>
      <c r="B7" s="45">
        <v>1</v>
      </c>
      <c r="C7" s="45">
        <v>9</v>
      </c>
      <c r="D7" s="1281" t="s">
        <v>52</v>
      </c>
      <c r="E7" s="31"/>
      <c r="F7" s="31"/>
      <c r="G7" s="31"/>
    </row>
    <row r="8" spans="1:11" x14ac:dyDescent="0.25">
      <c r="A8" s="44" t="s">
        <v>90</v>
      </c>
      <c r="B8" s="45" t="s">
        <v>91</v>
      </c>
      <c r="C8" s="45" t="s">
        <v>92</v>
      </c>
      <c r="D8" s="1282"/>
      <c r="E8" s="31"/>
      <c r="F8" s="31"/>
      <c r="G8" s="31"/>
    </row>
    <row r="9" spans="1:11" x14ac:dyDescent="0.25">
      <c r="A9" s="33"/>
      <c r="B9" s="31"/>
      <c r="C9" s="31"/>
      <c r="D9" s="31"/>
      <c r="E9" s="31"/>
      <c r="F9" s="31"/>
      <c r="G9" s="31"/>
    </row>
    <row r="10" spans="1:11" x14ac:dyDescent="0.25">
      <c r="A10" s="40">
        <v>18</v>
      </c>
      <c r="B10" s="41">
        <v>3</v>
      </c>
      <c r="C10" s="41">
        <v>9</v>
      </c>
      <c r="D10" s="1283" t="s">
        <v>31</v>
      </c>
      <c r="E10" s="31"/>
      <c r="F10" s="31"/>
      <c r="G10" s="31"/>
    </row>
    <row r="11" spans="1:11" x14ac:dyDescent="0.25">
      <c r="A11" s="40" t="s">
        <v>93</v>
      </c>
      <c r="B11" s="41" t="s">
        <v>94</v>
      </c>
      <c r="C11" s="41" t="s">
        <v>95</v>
      </c>
      <c r="D11" s="1284"/>
      <c r="E11" s="31"/>
      <c r="F11" s="31"/>
      <c r="G11" s="31"/>
    </row>
    <row r="12" spans="1:11" x14ac:dyDescent="0.25">
      <c r="A12" s="33"/>
      <c r="B12" s="31"/>
      <c r="C12" s="31"/>
      <c r="D12" s="31"/>
      <c r="E12" s="31"/>
      <c r="F12" s="31"/>
      <c r="G12" s="31"/>
    </row>
    <row r="13" spans="1:11" x14ac:dyDescent="0.25">
      <c r="A13" s="38">
        <v>13</v>
      </c>
      <c r="B13" s="39">
        <v>1</v>
      </c>
      <c r="C13" s="39">
        <v>9</v>
      </c>
      <c r="D13" s="1285" t="s">
        <v>49</v>
      </c>
      <c r="E13" s="31"/>
      <c r="F13" s="31"/>
      <c r="G13" s="31"/>
    </row>
    <row r="14" spans="1:11" x14ac:dyDescent="0.25">
      <c r="A14" s="38" t="s">
        <v>96</v>
      </c>
      <c r="B14" s="39" t="s">
        <v>97</v>
      </c>
      <c r="C14" s="39" t="s">
        <v>98</v>
      </c>
      <c r="D14" s="1286"/>
      <c r="E14" s="31"/>
      <c r="F14" s="31"/>
      <c r="G14" s="31"/>
    </row>
    <row r="15" spans="1:11" x14ac:dyDescent="0.25">
      <c r="A15" s="33"/>
      <c r="B15" s="31"/>
      <c r="C15" s="31"/>
      <c r="D15" s="31"/>
      <c r="E15" s="31"/>
      <c r="F15" s="31"/>
      <c r="G15" s="31"/>
    </row>
    <row r="16" spans="1:11" x14ac:dyDescent="0.25">
      <c r="A16" s="36">
        <v>8</v>
      </c>
      <c r="B16" s="37">
        <v>0</v>
      </c>
      <c r="C16" s="37">
        <v>9</v>
      </c>
      <c r="D16" s="1275" t="s">
        <v>83</v>
      </c>
      <c r="E16" s="31"/>
      <c r="F16" s="31"/>
      <c r="G16" s="31"/>
    </row>
    <row r="17" spans="1:4" x14ac:dyDescent="0.25">
      <c r="A17" s="36" t="s">
        <v>99</v>
      </c>
      <c r="B17" s="37" t="s">
        <v>100</v>
      </c>
      <c r="C17" s="37" t="s">
        <v>101</v>
      </c>
      <c r="D17" s="1276"/>
    </row>
    <row r="18" spans="1:4" x14ac:dyDescent="0.25">
      <c r="A18" s="33"/>
    </row>
    <row r="19" spans="1:4" x14ac:dyDescent="0.25">
      <c r="A19" s="33"/>
    </row>
    <row r="20" spans="1:4" x14ac:dyDescent="0.25">
      <c r="A20" s="33"/>
    </row>
    <row r="21" spans="1:4" x14ac:dyDescent="0.25">
      <c r="A21" s="33"/>
    </row>
    <row r="22" spans="1:4" x14ac:dyDescent="0.25">
      <c r="A22" s="33"/>
    </row>
    <row r="23" spans="1:4" x14ac:dyDescent="0.25">
      <c r="A23" s="33"/>
    </row>
    <row r="24" spans="1:4" x14ac:dyDescent="0.25">
      <c r="A24" s="33"/>
    </row>
    <row r="25" spans="1:4" x14ac:dyDescent="0.25">
      <c r="A25" s="33"/>
    </row>
    <row r="26" spans="1:4" x14ac:dyDescent="0.25">
      <c r="A26" s="33"/>
    </row>
    <row r="27" spans="1:4" x14ac:dyDescent="0.25">
      <c r="A27" s="33"/>
    </row>
    <row r="28" spans="1:4" x14ac:dyDescent="0.25">
      <c r="A28" s="33"/>
    </row>
    <row r="29" spans="1:4" x14ac:dyDescent="0.25">
      <c r="A29" s="33"/>
    </row>
    <row r="30" spans="1:4" x14ac:dyDescent="0.25">
      <c r="A30" s="33"/>
    </row>
    <row r="31" spans="1:4" x14ac:dyDescent="0.25">
      <c r="A31" s="33"/>
    </row>
    <row r="32" spans="1:4" x14ac:dyDescent="0.25">
      <c r="A32" s="33"/>
    </row>
    <row r="33" spans="1:1" x14ac:dyDescent="0.25">
      <c r="A33" s="33"/>
    </row>
    <row r="34" spans="1:1" x14ac:dyDescent="0.25">
      <c r="A34" s="33"/>
    </row>
    <row r="35" spans="1:1" x14ac:dyDescent="0.25">
      <c r="A35" s="33"/>
    </row>
    <row r="36" spans="1:1" x14ac:dyDescent="0.25">
      <c r="A36" s="33"/>
    </row>
    <row r="37" spans="1:1" x14ac:dyDescent="0.25">
      <c r="A37" s="33"/>
    </row>
    <row r="38" spans="1:1" x14ac:dyDescent="0.25">
      <c r="A38" s="33"/>
    </row>
    <row r="39" spans="1:1" x14ac:dyDescent="0.25">
      <c r="A39" s="33"/>
    </row>
    <row r="40" spans="1:1" x14ac:dyDescent="0.25">
      <c r="A40" s="33"/>
    </row>
    <row r="41" spans="1:1" x14ac:dyDescent="0.25">
      <c r="A41" s="33"/>
    </row>
    <row r="42" spans="1:1" x14ac:dyDescent="0.25">
      <c r="A42" s="33"/>
    </row>
    <row r="43" spans="1:1" x14ac:dyDescent="0.25">
      <c r="A43" s="33"/>
    </row>
    <row r="44" spans="1:1" x14ac:dyDescent="0.25">
      <c r="A44" s="33"/>
    </row>
    <row r="45" spans="1:1" x14ac:dyDescent="0.25">
      <c r="A45" s="33"/>
    </row>
    <row r="81" spans="1:1" x14ac:dyDescent="0.25">
      <c r="A81" s="34"/>
    </row>
    <row r="82" spans="1:1" x14ac:dyDescent="0.25">
      <c r="A82" s="34"/>
    </row>
    <row r="83" spans="1:1" x14ac:dyDescent="0.25">
      <c r="A83" s="35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Admin</cp:lastModifiedBy>
  <cp:lastPrinted>2019-09-24T06:31:40Z</cp:lastPrinted>
  <dcterms:created xsi:type="dcterms:W3CDTF">2017-01-25T04:28:39Z</dcterms:created>
  <dcterms:modified xsi:type="dcterms:W3CDTF">2024-10-03T13:35:03Z</dcterms:modified>
</cp:coreProperties>
</file>