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Рабочий стол\Реестры закупок 2024\"/>
    </mc:Choice>
  </mc:AlternateContent>
  <workbookProtection workbookPassword="EB34" lockStructure="1"/>
  <bookViews>
    <workbookView xWindow="-120" yWindow="-120" windowWidth="20730" windowHeight="11160" tabRatio="603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/>
</workbook>
</file>

<file path=xl/calcChain.xml><?xml version="1.0" encoding="utf-8"?>
<calcChain xmlns="http://schemas.openxmlformats.org/spreadsheetml/2006/main">
  <c r="H2" i="27" l="1"/>
  <c r="P2" i="27"/>
  <c r="V2" i="27"/>
  <c r="H2" i="31"/>
  <c r="P2" i="31"/>
  <c r="V2" i="31"/>
  <c r="G2" i="19"/>
  <c r="N2" i="19"/>
  <c r="T2" i="19"/>
  <c r="G2" i="17"/>
  <c r="Q2" i="17"/>
  <c r="V2" i="17"/>
  <c r="AB2" i="17"/>
  <c r="G2" i="22"/>
  <c r="Q2" i="22"/>
  <c r="V2" i="22"/>
  <c r="AB2" i="22"/>
  <c r="G2" i="20"/>
  <c r="Q2" i="20"/>
  <c r="V2" i="20"/>
  <c r="AB2" i="20"/>
  <c r="I93" i="31"/>
  <c r="H9" i="17"/>
  <c r="R9" i="17"/>
  <c r="I64" i="31" l="1"/>
  <c r="I46" i="31"/>
  <c r="I41" i="31"/>
  <c r="I36" i="31"/>
  <c r="I58" i="31" l="1"/>
  <c r="I31" i="31"/>
  <c r="I82" i="31" l="1"/>
  <c r="I84" i="31"/>
  <c r="I90" i="31"/>
  <c r="I80" i="31"/>
  <c r="I53" i="31" l="1"/>
  <c r="I17" i="31" l="1"/>
  <c r="I9" i="31" l="1"/>
  <c r="I13" i="27" l="1"/>
  <c r="H9" i="19" l="1"/>
  <c r="I21" i="27" l="1"/>
  <c r="I20" i="27" l="1"/>
  <c r="I19" i="27"/>
  <c r="I18" i="27"/>
  <c r="I17" i="27" l="1"/>
  <c r="I16" i="27"/>
  <c r="I15" i="27" l="1"/>
  <c r="I12" i="27" l="1"/>
  <c r="I11" i="27" l="1"/>
  <c r="H9" i="22" l="1"/>
  <c r="R9" i="22"/>
  <c r="I74" i="31" l="1"/>
  <c r="I77" i="31"/>
  <c r="I71" i="31"/>
  <c r="I9" i="27" l="1"/>
  <c r="I79" i="31" l="1"/>
  <c r="I70" i="31" l="1"/>
  <c r="I69" i="31"/>
  <c r="I68" i="31"/>
  <c r="I63" i="31" l="1"/>
  <c r="I57" i="31" l="1"/>
  <c r="I52" i="31" l="1"/>
  <c r="I51" i="31" l="1"/>
  <c r="I22" i="27" l="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<sst xmlns="http://schemas.openxmlformats.org/spreadsheetml/2006/main" count="772" uniqueCount="296">
  <si>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</si>
  <si>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</si>
  <si>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</si>
  <si>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</si>
  <si>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</si>
  <si>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</si>
  <si>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</si>
  <si>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</si>
  <si>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</si>
  <si>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</si>
  <si>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</si>
  <si>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</si>
  <si>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</si>
  <si>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</si>
  <si>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</si>
  <si>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</si>
  <si>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</si>
  <si>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</si>
  <si>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</si>
  <si>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</si>
  <si>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</si>
  <si>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</si>
  <si>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</si>
  <si>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</si>
  <si>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</si>
  <si>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</si>
  <si>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</si>
  <si>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</si>
  <si>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</si>
  <si>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</si>
  <si>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</si>
  <si>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</si>
  <si>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</si>
  <si>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</si>
  <si>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</si>
  <si>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</si>
  <si>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</si>
  <si>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</si>
  <si>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</si>
  <si>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</si>
  <si>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</si>
  <si>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</si>
  <si>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</si>
  <si>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</si>
  <si>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</si>
  <si>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</si>
  <si>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</si>
  <si>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</si>
  <si>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</si>
  <si>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</si>
  <si>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</si>
  <si>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</si>
  <si>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</si>
  <si>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</si>
  <si>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</si>
  <si>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</si>
  <si>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</si>
  <si>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</si>
  <si>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</si>
  <si>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</si>
  <si>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</si>
  <si>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</si>
  <si>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</si>
  <si>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</si>
  <si>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</si>
  <si>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</si>
  <si>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</si>
  <si>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</si>
  <si>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</si>
  <si>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</si>
  <si>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</si>
  <si>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</si>
  <si>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</si>
  <si>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</si>
  <si>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</si>
  <si>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</si>
  <si>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</si>
  <si>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</si>
  <si>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</si>
  <si>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</si>
  <si>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</si>
  <si>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</si>
  <si>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</si>
  <si>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</si>
  <si>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</si>
  <si>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</si>
  <si>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</si>
  <si>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</si>
  <si>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</si>
  <si>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</si>
  <si>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</si>
  <si>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</si>
  <si>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</si>
  <si>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</si>
  <si>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</si>
  <si>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</si>
  <si>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</si>
  <si>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</si>
  <si>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</si>
  <si>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</si>
  <si>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</si>
  <si>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</si>
  <si>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</si>
  <si>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</si>
  <si>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</si>
  <si>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</si>
  <si>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</si>
  <si>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</si>
  <si>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</si>
  <si>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</si>
  <si>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</si>
  <si>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</si>
  <si>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</si>
  <si>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</si>
  <si>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</si>
  <si>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</si>
  <si>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</si>
  <si>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</si>
  <si>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</si>
  <si>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</si>
  <si>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</si>
  <si>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</si>
  <si>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</si>
  <si>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</si>
  <si>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</si>
  <si>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</si>
  <si>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</si>
  <si>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</si>
  <si>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</si>
  <si>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</si>
  <si>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</si>
  <si>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</si>
  <si>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</si>
  <si>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</si>
  <si>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</si>
  <si>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</si>
  <si>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</si>
  <si>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</si>
  <si>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</si>
  <si>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</si>
  <si>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</si>
  <si>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</si>
  <si>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</si>
  <si>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</si>
  <si>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</si>
  <si>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Муниципальное бюджетное общеобразовательное учреждение основная общеобразовательная школа № 21 имени Коломийца Василия Терентьевича муниципального образования Тимашевский район</t>
  </si>
  <si>
    <t>Всего:</t>
  </si>
  <si>
    <t>нет</t>
  </si>
  <si>
    <t>Поставка газа</t>
  </si>
  <si>
    <t xml:space="preserve">ООО "Газпром межрегионгаз Краснодар" </t>
  </si>
  <si>
    <t>23070500320</t>
  </si>
  <si>
    <t>Оказание услуги по передаче электрической энергии</t>
  </si>
  <si>
    <t xml:space="preserve">ПАО "ТНС энерго Кубань" </t>
  </si>
  <si>
    <t>30% стоимости электрической энергии в подлежащем оплате объеме покупки в месяце, за который осуществляется оплата, вносится до 10-го числа этого месяца; 40% стоимости электрической энергии в подлежащем оплате объеме покупки в месяце, за который осуществляется оплата, вносится до 25-го числа этого месяца; стоимость объема покупки электрической энергии в месяце, за который осуществляется оплата, за вычетом средств, внесенных в качестве оплаты в течение этого месяца, оплачивается до 18-го числа месяца, следующего за месяцем, за который осуществляется оплата</t>
  </si>
  <si>
    <t>Оказание охранных услуг</t>
  </si>
  <si>
    <t xml:space="preserve">2304067057 </t>
  </si>
  <si>
    <t xml:space="preserve">ООО ЧОО "ЛЕГИОН" </t>
  </si>
  <si>
    <t>в течение не более чем 7 рабочих дней с даты подписания Заказчиком документа о приемке</t>
  </si>
  <si>
    <t>925 0000 0000000000 244</t>
  </si>
  <si>
    <t>30% плановой общей стоимости планового объема потребления природного газа в месяце, за который осуществляется оплата, вносится в срок до 18-го числа этого месяца; фактически потребленный в истекшем месяце природный газ с учетом средств, ранее внесенных, оплачивается в срок до 10-го числа месяца, следующего за месяцем, за который осуществляется оплата</t>
  </si>
  <si>
    <t>925 0000 0000000000 247</t>
  </si>
  <si>
    <t>233235301533323530100100100018010244</t>
  </si>
  <si>
    <t xml:space="preserve">0818300019923000374 </t>
  </si>
  <si>
    <t>3235301533324000002</t>
  </si>
  <si>
    <t>0818300019923000374-21</t>
  </si>
  <si>
    <t>с 01 января 2024 г. по 26 июня 2024 г. до 24 ч.00 мин  (включительно)</t>
  </si>
  <si>
    <t>233235301533323530100100110015629244</t>
  </si>
  <si>
    <t>0818300019923000373</t>
  </si>
  <si>
    <t>0818300019923000373-01</t>
  </si>
  <si>
    <t>3235301533324000001 </t>
  </si>
  <si>
    <t>235300582900</t>
  </si>
  <si>
    <t>ИП Эжбаев Ю.Н.</t>
  </si>
  <si>
    <t>с 09.01.2024 по 22.03.2024г</t>
  </si>
  <si>
    <t>В течение 7 рабочих дней после подписания документа о приемке</t>
  </si>
  <si>
    <t>Услуги по организации питания</t>
  </si>
  <si>
    <t>с 01.01.2024 по 31.12.2024</t>
  </si>
  <si>
    <t>20517/ТМ</t>
  </si>
  <si>
    <t>Услуги по обращению с твердыми коммунальными отходами</t>
  </si>
  <si>
    <t>АО "Мусороуборочная компания"</t>
  </si>
  <si>
    <t xml:space="preserve">до 10-го числа месяца, следующего за месяцем, в котором была оказана услуга
</t>
  </si>
  <si>
    <t>А-178</t>
  </si>
  <si>
    <t>Техническое обслуживание автоматических установок пожарной сигнализации</t>
  </si>
  <si>
    <t>ООО "Сигнал"</t>
  </si>
  <si>
    <t>в течение 10 рабочих дней с даты подписания акта сдачи-приемки выполненных работ</t>
  </si>
  <si>
    <t>А-179</t>
  </si>
  <si>
    <t>Работы по  техническому обслуживанию установки системы пожарного мониторинга "Стрелец-мониторинг"</t>
  </si>
  <si>
    <t>34000959</t>
  </si>
  <si>
    <t>Централизованная охрана объекта, оборудованного комплексом технических средств охраны с выводом на пульт централизованного наблюдения</t>
  </si>
  <si>
    <t xml:space="preserve">ФГКУ "УВО ВНГ России по Краснодарскому краю" </t>
  </si>
  <si>
    <t>в срок не превышающий 10 рабочих дней с даты подписания документов о приемке оказанных услуг</t>
  </si>
  <si>
    <t>34550723/046326</t>
  </si>
  <si>
    <t>ООО "РН-Карт"</t>
  </si>
  <si>
    <t>с 01.01.2024 по 29.04.2024</t>
  </si>
  <si>
    <t>7743529527</t>
  </si>
  <si>
    <t>Да</t>
  </si>
  <si>
    <t>25-11-02524/24</t>
  </si>
  <si>
    <t>б/н</t>
  </si>
  <si>
    <t>Базирование транспортных средств</t>
  </si>
  <si>
    <t>Не более 10 рабочих дней со дня подписания акта оказанных услуг</t>
  </si>
  <si>
    <t>Холодное водоснабжение</t>
  </si>
  <si>
    <t>ИП Лукоянов Ю.В.</t>
  </si>
  <si>
    <t>ООО "Водоснабжение"</t>
  </si>
  <si>
    <t>с 01.01.2024 по 24.07.2024</t>
  </si>
  <si>
    <t>в течение 10 рабочих дней с даты подписания акта оказанных услуг</t>
  </si>
  <si>
    <t>Услуги по выполнению предрейсового и послерейсового медицинского осмотра водитителей и предрейсового и послерейсового  технического осмотра транспортного средства</t>
  </si>
  <si>
    <t>Тимашевская РО КРО ОО "ВОА"</t>
  </si>
  <si>
    <t>Услуги по тех. сопровождению программного обеспечения спутниковой навигации</t>
  </si>
  <si>
    <t>ООО "КАНкорт"</t>
  </si>
  <si>
    <t>Услуги связи</t>
  </si>
  <si>
    <t>ПАО "Ростелеком"</t>
  </si>
  <si>
    <t xml:space="preserve">нет </t>
  </si>
  <si>
    <t>172</t>
  </si>
  <si>
    <t>172-Б2</t>
  </si>
  <si>
    <t>Услуги связи (межгород)</t>
  </si>
  <si>
    <t>в срок не превышающий 10 рабочих дней с даты подписания отчетных документов</t>
  </si>
  <si>
    <t>Бензин</t>
  </si>
  <si>
    <t>с 01.02.2024 по 31.12.2024</t>
  </si>
  <si>
    <t>21/24</t>
  </si>
  <si>
    <t>Систематическая дератизация</t>
  </si>
  <si>
    <t>ООО "Дезинфекция"</t>
  </si>
  <si>
    <t>Услуги по обучению охране труда</t>
  </si>
  <si>
    <t>Услуги по обучению ответственных за пожарную безопасность</t>
  </si>
  <si>
    <t>ЧОУ ДПО "Сигнал"</t>
  </si>
  <si>
    <t>с 29.01.2024 по 02.02.2024</t>
  </si>
  <si>
    <t>с 29.01.2024 по 30.01.2024</t>
  </si>
  <si>
    <t>21-ОШ</t>
  </si>
  <si>
    <t>21-ОВЗ</t>
  </si>
  <si>
    <t>Услуги по организации горячего питания обучающихся  с ОВЗ</t>
  </si>
  <si>
    <t>с 09.01.2024 по 22.03.2024</t>
  </si>
  <si>
    <t xml:space="preserve">Услуги по организации горячего питания обучающихся </t>
  </si>
  <si>
    <t>ИП Эжьбаев Ю.Н.</t>
  </si>
  <si>
    <t>с 09.01.2024 по 22.03.2025</t>
  </si>
  <si>
    <t>21-СВО</t>
  </si>
  <si>
    <t xml:space="preserve">Услуги по организации горячего питания обучающихся  из семей граждан, призванных на военную службу по мобилизации </t>
  </si>
  <si>
    <t>21-СВО/1</t>
  </si>
  <si>
    <t>с 01.03.2024 по 22.03.2024</t>
  </si>
  <si>
    <t xml:space="preserve">б/н от </t>
  </si>
  <si>
    <t>ООО "РООС"</t>
  </si>
  <si>
    <t>2369007754</t>
  </si>
  <si>
    <t>Откачка и вывоз ЖБО</t>
  </si>
  <si>
    <t>с 01.04.2024 по 31.12.2024</t>
  </si>
  <si>
    <t>в срок не превышающий 10 рабочих дней с даты подписания акта оказанных услуг</t>
  </si>
  <si>
    <t>2310132554</t>
  </si>
  <si>
    <t>ООО "Краснодарский учколлектор"</t>
  </si>
  <si>
    <t>до 12.08.2024г</t>
  </si>
  <si>
    <t>Услуги по организации горячего питания обучающихся 1- 4 классов</t>
  </si>
  <si>
    <t>с 01.04.2024 по 24.05.2024г.</t>
  </si>
  <si>
    <t>21-ош/1</t>
  </si>
  <si>
    <t>21/1</t>
  </si>
  <si>
    <t xml:space="preserve">Услуги по организации горячего питания обучающихся  с ОВЗ, инвалидов, обучающихся  из семей граждан, призванных на военную службу по мобилизации </t>
  </si>
  <si>
    <t>34550724/010040</t>
  </si>
  <si>
    <t>с 01.03.2024 по 30.06.2024</t>
  </si>
  <si>
    <t>Оказание услуг по подготовке журналов движения отходов на 2024 год</t>
  </si>
  <si>
    <t>2353023292</t>
  </si>
  <si>
    <t>ООО "Экопроект"</t>
  </si>
  <si>
    <t>Проверка работы и очистка вентиляции  пищеблока на объекте</t>
  </si>
  <si>
    <t>2353002302</t>
  </si>
  <si>
    <t>с момента заключения контракта по 31.12.2024г.</t>
  </si>
  <si>
    <t>с 17.04.2024г по 26.04.2024г.</t>
  </si>
  <si>
    <t>Неисключительное право использования программы для ЭВМ</t>
  </si>
  <si>
    <t>234602203000</t>
  </si>
  <si>
    <t>ИП Архангельский А.А.</t>
  </si>
  <si>
    <t>18.04.2024</t>
  </si>
  <si>
    <t>б/н от 04.04.2024</t>
  </si>
  <si>
    <t>б/н от 01.04.2024</t>
  </si>
  <si>
    <t>235304188742</t>
  </si>
  <si>
    <t>ИП Кушнаренко Л.В.</t>
  </si>
  <si>
    <t>В течение 10 рабочих дней со дня заключения договора</t>
  </si>
  <si>
    <t>Баннер</t>
  </si>
  <si>
    <t>В течение 10  с момента подписания документа о приемке оказанных услуг</t>
  </si>
  <si>
    <t>В течение 10  с момента подписания документа о приемке поставленного товара</t>
  </si>
  <si>
    <t>В течение 7 дней с момента подписания документа о приемке оказанных услуг</t>
  </si>
  <si>
    <t>Учебно-педагогическая документация</t>
  </si>
  <si>
    <t>АТ00-022374</t>
  </si>
  <si>
    <t>ЭП ФИС "ФРС о документах об обучении"</t>
  </si>
  <si>
    <t>2311187588</t>
  </si>
  <si>
    <t>ООО "АйТи Мониторинг"</t>
  </si>
  <si>
    <t>В течение 12 месяцев с момента передачи сертификата</t>
  </si>
  <si>
    <t xml:space="preserve">В течение 10  с момента подписания документа о приемке </t>
  </si>
  <si>
    <t>А0099331</t>
  </si>
  <si>
    <t>Учебная литература</t>
  </si>
  <si>
    <t>АО Издательство "Просвещение"</t>
  </si>
  <si>
    <t>До 30.07.2024</t>
  </si>
  <si>
    <t>В течение 10 рабочих  дней со дня подписания акта о приемке товара</t>
  </si>
  <si>
    <t xml:space="preserve"> 3235301533324000003 </t>
  </si>
  <si>
    <t>б/н от 15.04.2024</t>
  </si>
  <si>
    <t>23-11474</t>
  </si>
  <si>
    <t>Полтграфическая прдукция</t>
  </si>
  <si>
    <t>7706526550</t>
  </si>
  <si>
    <t>ООО "СпецБланк-Москва"</t>
  </si>
  <si>
    <t>В течение 40 календарных дней после получения Поставщиком подписанного еонтракта от Заказчика</t>
  </si>
  <si>
    <t>21-24-К</t>
  </si>
  <si>
    <t>Профилактическая дезинсекция открытой территории школы апртив клешей и блох</t>
  </si>
  <si>
    <t>2353018870</t>
  </si>
  <si>
    <t>ООО "Дезинсекция"</t>
  </si>
  <si>
    <t>24.05.2024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</si>
</sst>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  <numFmt numFmtId="169" formatCode="dd/mm/yyyy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2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FFF8F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/>
  </cellStyleXfs>
  <cellXfs count="77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0" fillId="7" borderId="1" xfId="4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8" borderId="1" xfId="4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0" fillId="9" borderId="1" xfId="4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10" fillId="10" borderId="1" xfId="1" applyFont="1" applyFill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0" fillId="7" borderId="14" xfId="1" applyFont="1" applyFill="1" applyBorder="1" applyAlignment="1">
      <alignment horizontal="center" vertical="center" wrapText="1"/>
    </xf>
    <xf numFmtId="0" fontId="10" fillId="9" borderId="14" xfId="1" applyFont="1" applyFill="1" applyBorder="1" applyAlignment="1">
      <alignment horizontal="center" vertical="center" wrapText="1"/>
    </xf>
    <xf numFmtId="0" fontId="10" fillId="8" borderId="14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7" fontId="15" fillId="2" borderId="1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165" fontId="15" fillId="2" borderId="1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Border="1" applyAlignment="1" applyProtection="1">
      <alignment horizontal="center" vertical="center" wrapText="1"/>
      <protection locked="0"/>
    </xf>
    <xf numFmtId="7" fontId="1" fillId="0" borderId="21" xfId="0" applyNumberFormat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49" fontId="15" fillId="18" borderId="22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5" fillId="18" borderId="23" xfId="0" applyNumberFormat="1" applyFont="1" applyFill="1" applyBorder="1" applyAlignment="1">
      <alignment horizontal="center" vertical="center" wrapText="1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4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165" fontId="1" fillId="3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4" fontId="1" fillId="19" borderId="2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5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9" fontId="15" fillId="18" borderId="40" xfId="0" applyNumberFormat="1" applyFont="1" applyFill="1" applyBorder="1" applyAlignment="1">
      <alignment horizontal="center" vertical="center" wrapText="1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9" fontId="15" fillId="18" borderId="40" xfId="0" applyNumberFormat="1" applyFont="1" applyFill="1" applyBorder="1" applyAlignment="1">
      <alignment horizontal="center" vertical="center" wrapText="1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5" fillId="18" borderId="41" xfId="0" applyNumberFormat="1" applyFont="1" applyFill="1" applyBorder="1" applyAlignment="1">
      <alignment horizontal="center" vertical="center" wrapText="1"/>
    </xf>
    <xf numFmtId="4" fontId="1" fillId="19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1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0" xfId="0" applyNumberFormat="1" applyFont="1" applyFill="1" applyBorder="1" applyAlignment="1">
      <alignment horizontal="center" vertical="center" wrapText="1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>
      <alignment horizontal="center" vertical="center" wrapText="1"/>
    </xf>
    <xf numFmtId="16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9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69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4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6" fillId="17" borderId="3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13" fillId="17" borderId="3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center"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49" fontId="15" fillId="18" borderId="43" xfId="0" applyNumberFormat="1" applyFont="1" applyFill="1" applyBorder="1" applyAlignment="1">
      <alignment horizontal="center" vertical="center" wrapText="1"/>
    </xf>
    <xf numFmtId="49" fontId="15" fillId="18" borderId="44" xfId="0" applyNumberFormat="1" applyFont="1" applyFill="1" applyBorder="1" applyAlignment="1">
      <alignment horizontal="center" vertical="center" wrapText="1"/>
    </xf>
    <xf numFmtId="168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26" xfId="0" applyFont="1" applyFill="1" applyBorder="1" applyAlignment="1" applyProtection="1">
      <alignment horizontal="center" vertical="center" wrapText="1"/>
      <protection locked="0"/>
    </xf>
    <xf numFmtId="0" fontId="1" fillId="4" borderId="27" xfId="0" applyFont="1" applyFill="1" applyBorder="1" applyAlignment="1" applyProtection="1">
      <alignment horizontal="center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>
      <alignment horizontal="center" vertical="center" wrapText="1"/>
    </xf>
    <xf numFmtId="4" fontId="1" fillId="4" borderId="27" xfId="0" applyNumberFormat="1" applyFont="1" applyFill="1" applyBorder="1" applyAlignment="1">
      <alignment horizontal="center" vertical="center" wrapText="1"/>
    </xf>
    <xf numFmtId="49" fontId="15" fillId="4" borderId="26" xfId="0" applyNumberFormat="1" applyFont="1" applyFill="1" applyBorder="1" applyAlignment="1">
      <alignment horizontal="center" vertical="center" wrapText="1"/>
    </xf>
    <xf numFmtId="49" fontId="15" fillId="4" borderId="27" xfId="0" applyNumberFormat="1" applyFont="1" applyFill="1" applyBorder="1" applyAlignment="1">
      <alignment horizontal="center" vertical="center" wrapText="1"/>
    </xf>
    <xf numFmtId="168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5" fillId="18" borderId="65" xfId="0" applyNumberFormat="1" applyFont="1" applyFill="1" applyBorder="1" applyAlignment="1">
      <alignment horizontal="center" vertical="center" wrapText="1"/>
    </xf>
    <xf numFmtId="49" fontId="15" fillId="18" borderId="66" xfId="0" applyNumberFormat="1" applyFont="1" applyFill="1" applyBorder="1" applyAlignment="1">
      <alignment horizontal="center" vertical="center" wrapText="1"/>
    </xf>
    <xf numFmtId="49" fontId="15" fillId="18" borderId="67" xfId="0" applyNumberFormat="1" applyFont="1" applyFill="1" applyBorder="1" applyAlignment="1">
      <alignment horizontal="center" vertical="center" wrapText="1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5" xfId="0" applyFont="1" applyFill="1" applyBorder="1" applyAlignment="1" applyProtection="1">
      <alignment horizontal="center" vertical="center" wrapText="1"/>
      <protection locked="0"/>
    </xf>
    <xf numFmtId="0" fontId="1" fillId="18" borderId="66" xfId="0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165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>
      <alignment horizontal="center" vertical="center" wrapText="1"/>
    </xf>
    <xf numFmtId="4" fontId="1" fillId="18" borderId="66" xfId="0" applyNumberFormat="1" applyFont="1" applyFill="1" applyBorder="1" applyAlignment="1">
      <alignment horizontal="center" vertical="center" wrapText="1"/>
    </xf>
    <xf numFmtId="4" fontId="1" fillId="18" borderId="67" xfId="0" applyNumberFormat="1" applyFont="1" applyFill="1" applyBorder="1" applyAlignment="1">
      <alignment horizontal="center" vertical="center" wrapText="1"/>
    </xf>
    <xf numFmtId="167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1" xfId="0" applyNumberFormat="1" applyFont="1" applyFill="1" applyBorder="1" applyAlignment="1">
      <alignment horizontal="center" vertical="center" wrapText="1"/>
    </xf>
    <xf numFmtId="49" fontId="15" fillId="18" borderId="52" xfId="0" applyNumberFormat="1" applyFont="1" applyFill="1" applyBorder="1" applyAlignment="1">
      <alignment horizontal="center" vertical="center" wrapText="1"/>
    </xf>
    <xf numFmtId="49" fontId="15" fillId="18" borderId="53" xfId="0" applyNumberFormat="1" applyFont="1" applyFill="1" applyBorder="1" applyAlignment="1">
      <alignment horizontal="center" vertical="center" wrapText="1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48" xfId="0" applyNumberFormat="1" applyFont="1" applyFill="1" applyBorder="1" applyAlignment="1">
      <alignment horizontal="center" vertical="center" wrapText="1"/>
    </xf>
    <xf numFmtId="49" fontId="15" fillId="4" borderId="49" xfId="0" applyNumberFormat="1" applyFont="1" applyFill="1" applyBorder="1" applyAlignment="1">
      <alignment horizontal="center" vertical="center" wrapText="1"/>
    </xf>
    <xf numFmtId="49" fontId="15" fillId="4" borderId="50" xfId="0" applyNumberFormat="1" applyFont="1" applyFill="1" applyBorder="1" applyAlignment="1">
      <alignment horizontal="center" vertical="center" wrapText="1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68" xfId="0" applyNumberFormat="1" applyFont="1" applyFill="1" applyBorder="1" applyAlignment="1">
      <alignment horizontal="center" vertical="center" wrapText="1"/>
    </xf>
    <xf numFmtId="49" fontId="15" fillId="18" borderId="69" xfId="0" applyNumberFormat="1" applyFont="1" applyFill="1" applyBorder="1" applyAlignment="1">
      <alignment horizontal="center" vertical="center" wrapText="1"/>
    </xf>
    <xf numFmtId="49" fontId="15" fillId="18" borderId="70" xfId="0" applyNumberFormat="1" applyFont="1" applyFill="1" applyBorder="1" applyAlignment="1">
      <alignment horizontal="center" vertical="center" wrapText="1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4" fontId="1" fillId="18" borderId="52" xfId="0" applyNumberFormat="1" applyFont="1" applyFill="1" applyBorder="1" applyAlignment="1">
      <alignment horizontal="center" vertical="center" wrapText="1"/>
    </xf>
    <xf numFmtId="4" fontId="1" fillId="18" borderId="53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5" fillId="4" borderId="45" xfId="0" applyNumberFormat="1" applyFont="1" applyFill="1" applyBorder="1" applyAlignment="1">
      <alignment horizontal="center" vertical="center" wrapText="1"/>
    </xf>
    <xf numFmtId="49" fontId="15" fillId="4" borderId="46" xfId="0" applyNumberFormat="1" applyFont="1" applyFill="1" applyBorder="1" applyAlignment="1">
      <alignment horizontal="center" vertical="center" wrapText="1"/>
    </xf>
    <xf numFmtId="49" fontId="15" fillId="4" borderId="47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4" fontId="1" fillId="18" borderId="46" xfId="0" applyNumberFormat="1" applyFont="1" applyFill="1" applyBorder="1" applyAlignment="1">
      <alignment horizontal="center" vertical="center" wrapText="1"/>
    </xf>
    <xf numFmtId="4" fontId="1" fillId="18" borderId="47" xfId="0" applyNumberFormat="1" applyFont="1" applyFill="1" applyBorder="1" applyAlignment="1">
      <alignment horizontal="center" vertical="center" wrapText="1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4" xfId="0" applyNumberFormat="1" applyFont="1" applyFill="1" applyBorder="1" applyAlignment="1">
      <alignment horizontal="center" vertical="center" wrapText="1"/>
    </xf>
    <xf numFmtId="49" fontId="15" fillId="18" borderId="55" xfId="0" applyNumberFormat="1" applyFont="1" applyFill="1" applyBorder="1" applyAlignment="1">
      <alignment horizontal="center" vertical="center" wrapText="1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8" xfId="0" applyNumberFormat="1" applyFont="1" applyFill="1" applyBorder="1" applyAlignment="1">
      <alignment horizontal="center" vertical="center" wrapText="1"/>
    </xf>
    <xf numFmtId="49" fontId="15" fillId="18" borderId="29" xfId="0" applyNumberFormat="1" applyFont="1" applyFill="1" applyBorder="1" applyAlignment="1">
      <alignment horizontal="center" vertical="center" wrapText="1"/>
    </xf>
    <xf numFmtId="49" fontId="15" fillId="18" borderId="30" xfId="0" applyNumberFormat="1" applyFont="1" applyFill="1" applyBorder="1" applyAlignment="1">
      <alignment horizontal="center" vertical="center" wrapText="1"/>
    </xf>
    <xf numFmtId="164" fontId="1" fillId="4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49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5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4" fontId="1" fillId="18" borderId="50" xfId="0" applyNumberFormat="1" applyFont="1" applyFill="1" applyBorder="1" applyAlignment="1">
      <alignment horizontal="center" vertical="center" wrapText="1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4" fontId="1" fillId="18" borderId="55" xfId="0" applyNumberFormat="1" applyFont="1" applyFill="1" applyBorder="1" applyAlignment="1">
      <alignment horizontal="center" vertical="center" wrapText="1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>
      <alignment horizontal="center" vertical="center" wrapText="1"/>
    </xf>
    <xf numFmtId="4" fontId="1" fillId="18" borderId="63" xfId="0" applyNumberFormat="1" applyFont="1" applyFill="1" applyBorder="1" applyAlignment="1">
      <alignment horizontal="center" vertical="center" wrapText="1"/>
    </xf>
    <xf numFmtId="4" fontId="1" fillId="18" borderId="60" xfId="0" applyNumberFormat="1" applyFont="1" applyFill="1" applyBorder="1" applyAlignment="1">
      <alignment horizontal="center" vertical="center" wrapText="1"/>
    </xf>
    <xf numFmtId="16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6" xfId="0" applyNumberFormat="1" applyFont="1" applyFill="1" applyBorder="1" applyAlignment="1">
      <alignment horizontal="center" vertical="center" wrapText="1"/>
    </xf>
    <xf numFmtId="49" fontId="15" fillId="18" borderId="62" xfId="0" applyNumberFormat="1" applyFont="1" applyFill="1" applyBorder="1" applyAlignment="1">
      <alignment horizontal="center" vertical="center" wrapText="1"/>
    </xf>
    <xf numFmtId="49" fontId="15" fillId="18" borderId="59" xfId="0" applyNumberFormat="1" applyFont="1" applyFill="1" applyBorder="1" applyAlignment="1">
      <alignment horizontal="center" vertical="center" wrapText="1"/>
    </xf>
    <xf numFmtId="16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8" xfId="0" applyFont="1" applyFill="1" applyBorder="1" applyAlignment="1" applyProtection="1">
      <alignment horizontal="center" vertical="center" wrapText="1"/>
      <protection locked="0"/>
    </xf>
    <xf numFmtId="0" fontId="1" fillId="18" borderId="69" xfId="0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165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>
      <alignment horizontal="center" vertical="center" wrapText="1"/>
    </xf>
    <xf numFmtId="4" fontId="1" fillId="18" borderId="69" xfId="0" applyNumberFormat="1" applyFont="1" applyFill="1" applyBorder="1" applyAlignment="1">
      <alignment horizontal="center" vertical="center" wrapText="1"/>
    </xf>
    <xf numFmtId="4" fontId="1" fillId="18" borderId="70" xfId="0" applyNumberFormat="1" applyFont="1" applyFill="1" applyBorder="1" applyAlignment="1">
      <alignment horizontal="center" vertical="center" wrapText="1"/>
    </xf>
    <xf numFmtId="167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" fontId="1" fillId="18" borderId="72" xfId="0" applyNumberFormat="1" applyFont="1" applyFill="1" applyBorder="1" applyAlignment="1">
      <alignment horizontal="center" vertical="center" wrapText="1"/>
    </xf>
    <xf numFmtId="4" fontId="1" fillId="18" borderId="75" xfId="0" applyNumberFormat="1" applyFont="1" applyFill="1" applyBorder="1" applyAlignment="1">
      <alignment horizontal="center" vertical="center" wrapText="1"/>
    </xf>
    <xf numFmtId="4" fontId="1" fillId="18" borderId="78" xfId="0" applyNumberFormat="1" applyFont="1" applyFill="1" applyBorder="1" applyAlignment="1">
      <alignment horizontal="center" vertical="center" wrapText="1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71" xfId="0" applyNumberFormat="1" applyFont="1" applyFill="1" applyBorder="1" applyAlignment="1">
      <alignment horizontal="center" vertical="center" wrapText="1"/>
    </xf>
    <xf numFmtId="49" fontId="15" fillId="3" borderId="74" xfId="0" applyNumberFormat="1" applyFont="1" applyFill="1" applyBorder="1" applyAlignment="1">
      <alignment horizontal="center" vertical="center" wrapText="1"/>
    </xf>
    <xf numFmtId="49" fontId="15" fillId="3" borderId="77" xfId="0" applyNumberFormat="1" applyFont="1" applyFill="1" applyBorder="1" applyAlignment="1">
      <alignment horizontal="center" vertical="center" wrapText="1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0" fontId="16" fillId="0" borderId="32" xfId="0" applyFont="1" applyBorder="1" applyAlignment="1" applyProtection="1">
      <alignment vertical="center" wrapText="1"/>
      <protection locked="0"/>
    </xf>
    <xf numFmtId="0" fontId="16" fillId="0" borderId="35" xfId="0" applyFont="1" applyBorder="1" applyAlignment="1" applyProtection="1">
      <alignment vertical="center" wrapText="1"/>
      <protection locked="0"/>
    </xf>
    <xf numFmtId="0" fontId="16" fillId="0" borderId="38" xfId="0" applyFont="1" applyBorder="1" applyAlignment="1" applyProtection="1">
      <alignment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10" borderId="13" xfId="1" applyFont="1" applyFill="1" applyBorder="1" applyAlignment="1">
      <alignment horizontal="center" vertical="center" wrapText="1"/>
    </xf>
    <xf numFmtId="0" fontId="10" fillId="10" borderId="2" xfId="1" applyFont="1" applyFill="1" applyBorder="1" applyAlignment="1">
      <alignment horizontal="center" vertical="center" wrapText="1"/>
    </xf>
    <xf numFmtId="0" fontId="10" fillId="8" borderId="13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10" fillId="9" borderId="13" xfId="1" applyFont="1" applyFill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center" vertical="center" wrapText="1"/>
    </xf>
    <xf numFmtId="0" fontId="10" fillId="7" borderId="13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8FFF8F"/>
      <color rgb="FF00FF00"/>
      <color rgb="FFFF9999"/>
      <color rgb="FFA30101"/>
      <color rgb="FFFF6D6D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330776</xdr:colOff>
      <xdr:row>3</xdr:row>
      <xdr:rowOff>6924</xdr:rowOff>
    </xdr:from>
    <xdr:to>
      <xdr:col>13</xdr:col>
      <xdr:colOff>1061576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175778</xdr:colOff>
      <xdr:row>3</xdr:row>
      <xdr:rowOff>0</xdr:rowOff>
    </xdr:from>
    <xdr:to>
      <xdr:col>8</xdr:col>
      <xdr:colOff>1401878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2327562</xdr:colOff>
      <xdr:row>3</xdr:row>
      <xdr:rowOff>0</xdr:rowOff>
    </xdr:from>
    <xdr:to>
      <xdr:col>18</xdr:col>
      <xdr:colOff>600912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179790</xdr:colOff>
      <xdr:row>3</xdr:row>
      <xdr:rowOff>0</xdr:rowOff>
    </xdr:from>
    <xdr:to>
      <xdr:col>7</xdr:col>
      <xdr:colOff>110490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167640</xdr:colOff>
      <xdr:row>3</xdr:row>
      <xdr:rowOff>0</xdr:rowOff>
    </xdr:from>
    <xdr:to>
      <xdr:col>19</xdr:col>
      <xdr:colOff>726990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174566</xdr:colOff>
      <xdr:row>3</xdr:row>
      <xdr:rowOff>0</xdr:rowOff>
    </xdr:from>
    <xdr:to>
      <xdr:col>13</xdr:col>
      <xdr:colOff>848216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abSelected="1" zoomScale="70" zoomScaleNormal="70" workbookViewId="0">
      <selection activeCell="M5" sqref="M5:N5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73.5" customHeight="1" thickBot="1" x14ac:dyDescent="0.3">
      <c r="A1" s="425" t="s">
        <v>141</v>
      </c>
      <c r="B1" s="426"/>
      <c r="C1" s="426"/>
      <c r="D1" s="426"/>
      <c r="E1" s="427" t="s">
        <v>145</v>
      </c>
      <c r="F1" s="428"/>
      <c r="G1" s="428"/>
      <c r="H1" s="428"/>
      <c r="I1" s="428"/>
      <c r="J1" s="428"/>
      <c r="K1" s="428"/>
      <c r="L1" s="428"/>
      <c r="M1" s="428"/>
      <c r="N1" s="429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401" t="s">
        <v>25</v>
      </c>
      <c r="B4" s="402"/>
      <c r="C4" s="4">
        <v>6467753.04</v>
      </c>
      <c r="D4" s="5"/>
      <c r="E4" s="403" t="s">
        <v>140</v>
      </c>
      <c r="F4" s="404"/>
      <c r="G4" s="405"/>
      <c r="H4" s="406">
        <v>1818249.5</v>
      </c>
      <c r="I4" s="407"/>
      <c r="J4" s="408"/>
      <c r="K4" s="17"/>
      <c r="L4" s="76" t="s">
        <v>55</v>
      </c>
      <c r="M4" s="403">
        <v>2514312.7599999998</v>
      </c>
      <c r="N4" s="405"/>
    </row>
    <row r="5" spans="1:14" ht="30.75" customHeight="1" thickBot="1" x14ac:dyDescent="0.3">
      <c r="A5" s="401" t="s">
        <v>26</v>
      </c>
      <c r="B5" s="402"/>
      <c r="C5" s="6">
        <f>C4-G15+J15</f>
        <v>3366192.9899999998</v>
      </c>
      <c r="D5" s="5"/>
      <c r="E5" s="403" t="s">
        <v>53</v>
      </c>
      <c r="F5" s="404"/>
      <c r="G5" s="405"/>
      <c r="H5" s="393">
        <f>H4-G12</f>
        <v>1509349.0899999999</v>
      </c>
      <c r="I5" s="394"/>
      <c r="J5" s="395"/>
      <c r="K5" s="17"/>
      <c r="L5" s="76" t="s">
        <v>54</v>
      </c>
      <c r="M5" s="396">
        <f>M4-G13</f>
        <v>1015760.0599999996</v>
      </c>
      <c r="N5" s="397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409" t="s">
        <v>27</v>
      </c>
      <c r="B8" s="410"/>
      <c r="C8" s="411"/>
      <c r="D8" s="409" t="s">
        <v>28</v>
      </c>
      <c r="E8" s="410"/>
      <c r="F8" s="411"/>
      <c r="G8" s="412" t="s">
        <v>29</v>
      </c>
      <c r="H8" s="413"/>
      <c r="I8" s="414"/>
      <c r="J8" s="412" t="s">
        <v>142</v>
      </c>
      <c r="K8" s="413"/>
      <c r="L8" s="414"/>
      <c r="M8" s="409" t="s">
        <v>30</v>
      </c>
      <c r="N8" s="411"/>
    </row>
    <row r="9" spans="1:14" ht="41.25" customHeight="1" thickBot="1" x14ac:dyDescent="0.3">
      <c r="A9" s="415" t="s">
        <v>31</v>
      </c>
      <c r="B9" s="416"/>
      <c r="C9" s="417"/>
      <c r="D9" s="418">
        <f>'Состоявшиеся аукционы'!G2</f>
        <v>740465.76</v>
      </c>
      <c r="E9" s="418"/>
      <c r="F9" s="418"/>
      <c r="G9" s="418">
        <f>'Состоявшиеся аукционы'!Q2</f>
        <v>392446.84</v>
      </c>
      <c r="H9" s="418"/>
      <c r="I9" s="418"/>
      <c r="J9" s="398">
        <f>'Состоявшиеся аукционы'!AB2</f>
        <v>0</v>
      </c>
      <c r="K9" s="400"/>
      <c r="L9" s="399"/>
      <c r="M9" s="418">
        <f t="shared" ref="M9:M15" si="0">D9-G9</f>
        <v>348018.92</v>
      </c>
      <c r="N9" s="418"/>
    </row>
    <row r="10" spans="1:14" ht="78.75" customHeight="1" thickBot="1" x14ac:dyDescent="0.3">
      <c r="A10" s="415" t="s">
        <v>49</v>
      </c>
      <c r="B10" s="416"/>
      <c r="C10" s="417"/>
      <c r="D10" s="418">
        <f>'Несостоявшиеся аукционы'!G2</f>
        <v>359413.18</v>
      </c>
      <c r="E10" s="418"/>
      <c r="F10" s="418"/>
      <c r="G10" s="418">
        <f>'Несостоявшиеся аукционы'!Q2</f>
        <v>359413.18</v>
      </c>
      <c r="H10" s="418"/>
      <c r="I10" s="418"/>
      <c r="J10" s="398">
        <f>'Несостоявшиеся аукционы'!AB2</f>
        <v>5353.48</v>
      </c>
      <c r="K10" s="400"/>
      <c r="L10" s="399"/>
      <c r="M10" s="418">
        <f t="shared" si="0"/>
        <v>0</v>
      </c>
      <c r="N10" s="418"/>
    </row>
    <row r="11" spans="1:14" ht="40.5" customHeight="1" thickBot="1" x14ac:dyDescent="0.3">
      <c r="A11" s="415" t="s">
        <v>83</v>
      </c>
      <c r="B11" s="416"/>
      <c r="C11" s="417"/>
      <c r="D11" s="398">
        <f>'Иные конкурентные закупки'!G2</f>
        <v>0</v>
      </c>
      <c r="E11" s="400"/>
      <c r="F11" s="399"/>
      <c r="G11" s="398">
        <f>'Иные конкурентные закупки'!Q2</f>
        <v>0</v>
      </c>
      <c r="H11" s="400"/>
      <c r="I11" s="399"/>
      <c r="J11" s="398">
        <f>'Иные конкурентные закупки'!AB2</f>
        <v>0</v>
      </c>
      <c r="K11" s="400"/>
      <c r="L11" s="399"/>
      <c r="M11" s="398">
        <f t="shared" si="0"/>
        <v>0</v>
      </c>
      <c r="N11" s="399"/>
    </row>
    <row r="12" spans="1:14" ht="54.75" customHeight="1" thickBot="1" x14ac:dyDescent="0.3">
      <c r="A12" s="422" t="s">
        <v>50</v>
      </c>
      <c r="B12" s="423"/>
      <c r="C12" s="424"/>
      <c r="D12" s="418">
        <f>'Ед. поставщик п.4 ч.1'!H2</f>
        <v>308900.41000000003</v>
      </c>
      <c r="E12" s="418"/>
      <c r="F12" s="418"/>
      <c r="G12" s="418">
        <f>D12</f>
        <v>308900.41000000003</v>
      </c>
      <c r="H12" s="418"/>
      <c r="I12" s="418"/>
      <c r="J12" s="398">
        <f>'Ед. поставщик п.4 ч.1'!V2</f>
        <v>16082.5</v>
      </c>
      <c r="K12" s="400"/>
      <c r="L12" s="399"/>
      <c r="M12" s="418">
        <f t="shared" si="0"/>
        <v>0</v>
      </c>
      <c r="N12" s="418"/>
    </row>
    <row r="13" spans="1:14" ht="45.75" customHeight="1" thickBot="1" x14ac:dyDescent="0.3">
      <c r="A13" s="422" t="s">
        <v>51</v>
      </c>
      <c r="B13" s="423"/>
      <c r="C13" s="424"/>
      <c r="D13" s="418">
        <f>'Ед. поставщик п.5 ч.1'!H2</f>
        <v>1498552.7000000002</v>
      </c>
      <c r="E13" s="418"/>
      <c r="F13" s="418"/>
      <c r="G13" s="418">
        <f>D13</f>
        <v>1498552.7000000002</v>
      </c>
      <c r="H13" s="418"/>
      <c r="I13" s="418"/>
      <c r="J13" s="398">
        <f>'Ед. поставщик п.5 ч.1'!V2</f>
        <v>24261.599999999999</v>
      </c>
      <c r="K13" s="400"/>
      <c r="L13" s="399"/>
      <c r="M13" s="418">
        <f t="shared" si="0"/>
        <v>0</v>
      </c>
      <c r="N13" s="418"/>
    </row>
    <row r="14" spans="1:14" ht="45.75" customHeight="1" thickBot="1" x14ac:dyDescent="0.3">
      <c r="A14" s="442" t="s">
        <v>52</v>
      </c>
      <c r="B14" s="443"/>
      <c r="C14" s="444"/>
      <c r="D14" s="398">
        <f>'Ед.поставщик за искл. п.4,5 ч.1'!G2</f>
        <v>587944.5</v>
      </c>
      <c r="E14" s="400"/>
      <c r="F14" s="399"/>
      <c r="G14" s="398">
        <f>D14</f>
        <v>587944.5</v>
      </c>
      <c r="H14" s="400"/>
      <c r="I14" s="399"/>
      <c r="J14" s="398">
        <f>'Ед.поставщик за искл. п.4,5 ч.1'!T2</f>
        <v>0</v>
      </c>
      <c r="K14" s="400"/>
      <c r="L14" s="399"/>
      <c r="M14" s="418">
        <f t="shared" si="0"/>
        <v>0</v>
      </c>
      <c r="N14" s="418"/>
    </row>
    <row r="15" spans="1:14" ht="21" thickBot="1" x14ac:dyDescent="0.3">
      <c r="A15" s="419" t="s">
        <v>146</v>
      </c>
      <c r="B15" s="420"/>
      <c r="C15" s="421"/>
      <c r="D15" s="418">
        <f>SUM(D9:D14)</f>
        <v>3495276.5500000003</v>
      </c>
      <c r="E15" s="418"/>
      <c r="F15" s="418"/>
      <c r="G15" s="398">
        <f>SUM(G9:G14)</f>
        <v>3147257.6300000004</v>
      </c>
      <c r="H15" s="400"/>
      <c r="I15" s="399"/>
      <c r="J15" s="398">
        <f>SUM(J9:J14)</f>
        <v>45697.58</v>
      </c>
      <c r="K15" s="400"/>
      <c r="L15" s="399"/>
      <c r="M15" s="418">
        <f t="shared" si="0"/>
        <v>348018.91999999993</v>
      </c>
      <c r="N15" s="418"/>
    </row>
    <row r="17" spans="1:12" x14ac:dyDescent="0.25">
      <c r="G17" s="8">
        <v>64</v>
      </c>
    </row>
    <row r="18" spans="1:12" ht="15.75" thickBot="1" x14ac:dyDescent="0.3"/>
    <row r="19" spans="1:12" ht="23.25" customHeight="1" x14ac:dyDescent="0.25">
      <c r="A19" s="430" t="s">
        <v>35</v>
      </c>
      <c r="B19" s="431"/>
      <c r="C19" s="432"/>
      <c r="D19" s="436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2573985.4339999994</v>
      </c>
      <c r="E19" s="437"/>
      <c r="F19" s="437"/>
      <c r="G19" s="438"/>
      <c r="I19" s="15"/>
      <c r="J19" s="15"/>
      <c r="K19" s="15"/>
      <c r="L19" s="15"/>
    </row>
    <row r="20" spans="1:12" ht="24" customHeight="1" thickBot="1" x14ac:dyDescent="0.3">
      <c r="A20" s="433"/>
      <c r="B20" s="434"/>
      <c r="C20" s="435"/>
      <c r="D20" s="439"/>
      <c r="E20" s="440"/>
      <c r="F20" s="440"/>
      <c r="G20" s="441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22"/>
  <sheetViews>
    <sheetView showGridLines="0" topLeftCell="D1" zoomScale="50" zoomScaleNormal="50" workbookViewId="0">
      <pane ySplit="8" topLeftCell="A15" activePane="bottomLeft" state="frozen"/>
      <selection activeCell="I1" sqref="I1"/>
      <selection pane="bottomLeft" activeCell="P21" sqref="P21"/>
    </sheetView>
  </sheetViews>
  <sheetFormatPr defaultColWidth="0" defaultRowHeight="18.75" x14ac:dyDescent="0.25"/>
  <cols>
    <col min="1" max="1" width="9.140625" style="8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8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93"/>
      <c r="B2" s="65"/>
      <c r="C2" s="65"/>
      <c r="D2" s="65"/>
      <c r="E2" s="65"/>
      <c r="F2" s="10"/>
      <c r="G2" s="78" t="s">
        <v>24</v>
      </c>
      <c r="H2" s="75">
        <f>SUM(H9:H9999)</f>
        <v>308900.41000000003</v>
      </c>
      <c r="K2" s="477"/>
      <c r="L2" s="477"/>
      <c r="M2" s="477"/>
      <c r="N2" s="478" t="s">
        <v>137</v>
      </c>
      <c r="O2" s="480"/>
      <c r="P2" s="66">
        <f>SUM(P9:P9999)</f>
        <v>148037</v>
      </c>
      <c r="R2" s="65"/>
      <c r="S2" s="478" t="s">
        <v>45</v>
      </c>
      <c r="T2" s="479"/>
      <c r="U2" s="480"/>
      <c r="V2" s="67">
        <f>SUM(V9:V9999)</f>
        <v>16082.5</v>
      </c>
    </row>
    <row r="3" spans="1:24" x14ac:dyDescent="0.25">
      <c r="A3" s="477"/>
      <c r="B3" s="477"/>
      <c r="C3" s="477"/>
      <c r="D3" s="477"/>
      <c r="E3" s="477"/>
      <c r="N3" s="65"/>
    </row>
    <row r="4" spans="1:24" ht="39.950000000000003" customHeight="1" x14ac:dyDescent="0.25">
      <c r="J4" s="481"/>
      <c r="K4" s="481"/>
      <c r="M4" s="481"/>
      <c r="N4" s="481"/>
      <c r="O4" s="481"/>
      <c r="P4" s="481"/>
    </row>
    <row r="6" spans="1:24" ht="159" customHeight="1" x14ac:dyDescent="0.25">
      <c r="A6" s="94" t="s">
        <v>8</v>
      </c>
      <c r="B6" s="50" t="s">
        <v>47</v>
      </c>
      <c r="C6" s="50" t="s">
        <v>144</v>
      </c>
      <c r="D6" s="50" t="s">
        <v>10</v>
      </c>
      <c r="E6" s="49" t="s">
        <v>1</v>
      </c>
      <c r="F6" s="50" t="s">
        <v>2</v>
      </c>
      <c r="G6" s="50" t="s">
        <v>3</v>
      </c>
      <c r="H6" s="52" t="s">
        <v>4</v>
      </c>
      <c r="I6" s="52" t="s">
        <v>22</v>
      </c>
      <c r="J6" s="50" t="s">
        <v>46</v>
      </c>
      <c r="K6" s="50" t="s">
        <v>5</v>
      </c>
      <c r="L6" s="50" t="s">
        <v>82</v>
      </c>
      <c r="M6" s="50" t="s">
        <v>44</v>
      </c>
      <c r="N6" s="49" t="s">
        <v>7</v>
      </c>
      <c r="O6" s="50" t="s">
        <v>6</v>
      </c>
      <c r="P6" s="51" t="s">
        <v>23</v>
      </c>
      <c r="Q6" s="49" t="s">
        <v>9</v>
      </c>
      <c r="R6" s="48" t="s">
        <v>40</v>
      </c>
      <c r="S6" s="48" t="s">
        <v>103</v>
      </c>
      <c r="T6" s="48" t="s">
        <v>104</v>
      </c>
      <c r="U6" s="49" t="s">
        <v>41</v>
      </c>
      <c r="V6" s="51" t="s">
        <v>105</v>
      </c>
      <c r="W6" s="98" t="s">
        <v>42</v>
      </c>
    </row>
    <row r="7" spans="1:24" x14ac:dyDescent="0.25">
      <c r="A7" s="81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99" t="s">
        <v>131</v>
      </c>
    </row>
    <row r="8" spans="1:24" s="14" customFormat="1" ht="114" hidden="1" customHeight="1" x14ac:dyDescent="0.25">
      <c r="A8" s="95">
        <v>1</v>
      </c>
      <c r="B8" s="53" t="s">
        <v>56</v>
      </c>
      <c r="C8" s="53"/>
      <c r="D8" s="53" t="s">
        <v>58</v>
      </c>
      <c r="E8" s="54" t="s">
        <v>57</v>
      </c>
      <c r="F8" s="54" t="s">
        <v>107</v>
      </c>
      <c r="G8" s="53" t="s">
        <v>59</v>
      </c>
      <c r="H8" s="58">
        <v>20000</v>
      </c>
      <c r="I8" s="58">
        <f>H8-P8</f>
        <v>0</v>
      </c>
      <c r="J8" s="53" t="s">
        <v>60</v>
      </c>
      <c r="K8" s="53" t="s">
        <v>61</v>
      </c>
      <c r="L8" s="53"/>
      <c r="M8" s="53" t="s">
        <v>62</v>
      </c>
      <c r="N8" s="54">
        <v>43840</v>
      </c>
      <c r="O8" s="53" t="s">
        <v>143</v>
      </c>
      <c r="P8" s="79">
        <v>20000</v>
      </c>
      <c r="Q8" s="54">
        <v>43840</v>
      </c>
      <c r="R8" s="53"/>
      <c r="S8" s="58"/>
      <c r="T8" s="58"/>
      <c r="U8" s="54"/>
      <c r="V8" s="58"/>
      <c r="W8" s="100" t="s">
        <v>64</v>
      </c>
    </row>
    <row r="9" spans="1:24" s="14" customFormat="1" ht="90" customHeight="1" x14ac:dyDescent="0.25">
      <c r="A9" s="473">
        <v>1</v>
      </c>
      <c r="B9" s="463" t="s">
        <v>56</v>
      </c>
      <c r="C9" s="463" t="s">
        <v>147</v>
      </c>
      <c r="D9" s="463" t="s">
        <v>158</v>
      </c>
      <c r="E9" s="465" t="s">
        <v>190</v>
      </c>
      <c r="F9" s="467">
        <v>45288</v>
      </c>
      <c r="G9" s="463" t="s">
        <v>215</v>
      </c>
      <c r="H9" s="469">
        <v>70000</v>
      </c>
      <c r="I9" s="471">
        <f>IF(X9 = 2, H9 + SUM(S9:S10) - SUM(T9:T10) - SUM(P9:P10) - V9,0)</f>
        <v>0</v>
      </c>
      <c r="J9" s="463" t="s">
        <v>193</v>
      </c>
      <c r="K9" s="463" t="s">
        <v>191</v>
      </c>
      <c r="L9" s="463" t="s">
        <v>147</v>
      </c>
      <c r="M9" s="463" t="s">
        <v>192</v>
      </c>
      <c r="N9" s="169">
        <v>45322</v>
      </c>
      <c r="O9" s="467" t="s">
        <v>214</v>
      </c>
      <c r="P9" s="162">
        <v>21567</v>
      </c>
      <c r="Q9" s="163">
        <v>45328</v>
      </c>
      <c r="R9" s="164"/>
      <c r="S9" s="165"/>
      <c r="T9" s="165"/>
      <c r="U9" s="469" t="s">
        <v>236</v>
      </c>
      <c r="V9" s="475">
        <v>16082.5</v>
      </c>
      <c r="W9" s="461"/>
      <c r="X9" s="14">
        <v>2</v>
      </c>
    </row>
    <row r="10" spans="1:24" s="110" customFormat="1" x14ac:dyDescent="0.25">
      <c r="A10" s="474"/>
      <c r="B10" s="464"/>
      <c r="C10" s="464"/>
      <c r="D10" s="464"/>
      <c r="E10" s="466"/>
      <c r="F10" s="468"/>
      <c r="G10" s="464"/>
      <c r="H10" s="470"/>
      <c r="I10" s="472"/>
      <c r="J10" s="464"/>
      <c r="K10" s="464"/>
      <c r="L10" s="464"/>
      <c r="M10" s="464"/>
      <c r="N10" s="170">
        <v>45351</v>
      </c>
      <c r="O10" s="468"/>
      <c r="P10" s="195">
        <v>32350.5</v>
      </c>
      <c r="Q10" s="167">
        <v>45362</v>
      </c>
      <c r="R10" s="168"/>
      <c r="S10" s="166"/>
      <c r="T10" s="166"/>
      <c r="U10" s="470"/>
      <c r="V10" s="476"/>
      <c r="W10" s="462"/>
      <c r="X10" s="110">
        <v>2</v>
      </c>
    </row>
    <row r="11" spans="1:24" s="80" customFormat="1" ht="90" customHeight="1" x14ac:dyDescent="0.25">
      <c r="A11" s="202">
        <v>2</v>
      </c>
      <c r="B11" s="198" t="s">
        <v>56</v>
      </c>
      <c r="C11" s="198" t="s">
        <v>147</v>
      </c>
      <c r="D11" s="198" t="s">
        <v>158</v>
      </c>
      <c r="E11" s="230">
        <v>1</v>
      </c>
      <c r="F11" s="204">
        <v>45383</v>
      </c>
      <c r="G11" s="198" t="s">
        <v>239</v>
      </c>
      <c r="H11" s="200">
        <v>15000</v>
      </c>
      <c r="I11" s="197">
        <f>IF(X11 = 72, H11 + SUM(S11:S11) - SUM(T11:T11) - SUM(P11:P11) - V11,0)</f>
        <v>11500</v>
      </c>
      <c r="J11" s="198" t="s">
        <v>238</v>
      </c>
      <c r="K11" s="198" t="s">
        <v>237</v>
      </c>
      <c r="L11" s="198" t="s">
        <v>147</v>
      </c>
      <c r="M11" s="198" t="s">
        <v>240</v>
      </c>
      <c r="N11" s="204">
        <v>45383</v>
      </c>
      <c r="O11" s="204" t="s">
        <v>241</v>
      </c>
      <c r="P11" s="240">
        <v>3500</v>
      </c>
      <c r="Q11" s="199">
        <v>45385</v>
      </c>
      <c r="R11" s="198"/>
      <c r="S11" s="200"/>
      <c r="T11" s="200"/>
      <c r="U11" s="200"/>
      <c r="V11" s="203"/>
      <c r="W11" s="201"/>
      <c r="X11" s="80">
        <v>72</v>
      </c>
    </row>
    <row r="12" spans="1:24" s="80" customFormat="1" ht="93.75" x14ac:dyDescent="0.25">
      <c r="A12" s="210">
        <v>3</v>
      </c>
      <c r="B12" s="206" t="s">
        <v>56</v>
      </c>
      <c r="C12" s="206" t="s">
        <v>147</v>
      </c>
      <c r="D12" s="213" t="s">
        <v>158</v>
      </c>
      <c r="E12" s="230">
        <v>25</v>
      </c>
      <c r="F12" s="211">
        <v>45392</v>
      </c>
      <c r="G12" s="206" t="s">
        <v>272</v>
      </c>
      <c r="H12" s="208">
        <v>1585</v>
      </c>
      <c r="I12" s="205">
        <f>IF(X12 = 73, H12 + SUM(S12:S12) - SUM(T12:T12) - SUM(P12:P12) - V12,0)</f>
        <v>0</v>
      </c>
      <c r="J12" s="206" t="s">
        <v>242</v>
      </c>
      <c r="K12" s="206" t="s">
        <v>243</v>
      </c>
      <c r="L12" s="206" t="s">
        <v>147</v>
      </c>
      <c r="M12" s="206" t="s">
        <v>244</v>
      </c>
      <c r="N12" s="211">
        <v>45407</v>
      </c>
      <c r="O12" s="212" t="s">
        <v>214</v>
      </c>
      <c r="P12" s="240">
        <v>1585</v>
      </c>
      <c r="Q12" s="207">
        <v>45407</v>
      </c>
      <c r="R12" s="206"/>
      <c r="S12" s="208"/>
      <c r="T12" s="208"/>
      <c r="U12" s="208"/>
      <c r="V12" s="203"/>
      <c r="W12" s="209"/>
      <c r="X12" s="80">
        <v>73</v>
      </c>
    </row>
    <row r="13" spans="1:24" s="80" customFormat="1" ht="90" customHeight="1" x14ac:dyDescent="0.25">
      <c r="A13" s="457">
        <v>4</v>
      </c>
      <c r="B13" s="447" t="s">
        <v>56</v>
      </c>
      <c r="C13" s="447" t="s">
        <v>147</v>
      </c>
      <c r="D13" s="447" t="s">
        <v>158</v>
      </c>
      <c r="E13" s="449" t="s">
        <v>250</v>
      </c>
      <c r="F13" s="451">
        <v>45351</v>
      </c>
      <c r="G13" s="447" t="s">
        <v>215</v>
      </c>
      <c r="H13" s="453">
        <v>183649.91</v>
      </c>
      <c r="I13" s="455">
        <f>IF(X13 = 74, H13 + SUM(S13:S14) - SUM(T13:T14) - SUM(P13:P14) - V13,0)</f>
        <v>133280.91</v>
      </c>
      <c r="J13" s="447" t="s">
        <v>193</v>
      </c>
      <c r="K13" s="447" t="s">
        <v>191</v>
      </c>
      <c r="L13" s="447" t="s">
        <v>147</v>
      </c>
      <c r="M13" s="447" t="s">
        <v>251</v>
      </c>
      <c r="N13" s="271">
        <v>45382</v>
      </c>
      <c r="O13" s="451" t="s">
        <v>214</v>
      </c>
      <c r="P13" s="264">
        <v>22594</v>
      </c>
      <c r="Q13" s="265">
        <v>45390</v>
      </c>
      <c r="R13" s="266"/>
      <c r="S13" s="267"/>
      <c r="T13" s="267"/>
      <c r="U13" s="453"/>
      <c r="V13" s="459"/>
      <c r="W13" s="445"/>
      <c r="X13" s="80">
        <v>74</v>
      </c>
    </row>
    <row r="14" spans="1:24" s="110" customFormat="1" x14ac:dyDescent="0.25">
      <c r="A14" s="458"/>
      <c r="B14" s="448"/>
      <c r="C14" s="448"/>
      <c r="D14" s="448"/>
      <c r="E14" s="450"/>
      <c r="F14" s="452"/>
      <c r="G14" s="448"/>
      <c r="H14" s="454"/>
      <c r="I14" s="456"/>
      <c r="J14" s="448"/>
      <c r="K14" s="448"/>
      <c r="L14" s="448"/>
      <c r="M14" s="448"/>
      <c r="N14" s="272">
        <v>45412</v>
      </c>
      <c r="O14" s="452"/>
      <c r="P14" s="386">
        <v>27775</v>
      </c>
      <c r="Q14" s="269">
        <v>45419</v>
      </c>
      <c r="R14" s="270"/>
      <c r="S14" s="268"/>
      <c r="T14" s="268"/>
      <c r="U14" s="454"/>
      <c r="V14" s="460"/>
      <c r="W14" s="446"/>
      <c r="X14" s="110">
        <v>74</v>
      </c>
    </row>
    <row r="15" spans="1:24" s="80" customFormat="1" ht="75" x14ac:dyDescent="0.25">
      <c r="A15" s="215">
        <v>5</v>
      </c>
      <c r="B15" s="214" t="s">
        <v>56</v>
      </c>
      <c r="C15" s="217" t="s">
        <v>147</v>
      </c>
      <c r="D15" s="214" t="s">
        <v>158</v>
      </c>
      <c r="E15" s="231">
        <v>1021</v>
      </c>
      <c r="F15" s="229">
        <v>45400</v>
      </c>
      <c r="G15" s="217" t="s">
        <v>252</v>
      </c>
      <c r="H15" s="216">
        <v>3000</v>
      </c>
      <c r="I15" s="220">
        <f>IF(X15 = 75, H15 + SUM(S15:S15) - SUM(T15:T15) - SUM(P15:P15) - V15,0)</f>
        <v>0</v>
      </c>
      <c r="J15" s="217" t="s">
        <v>253</v>
      </c>
      <c r="K15" s="217" t="s">
        <v>254</v>
      </c>
      <c r="L15" s="217" t="s">
        <v>147</v>
      </c>
      <c r="M15" s="217" t="s">
        <v>257</v>
      </c>
      <c r="N15" s="229">
        <v>45400</v>
      </c>
      <c r="O15" s="229" t="s">
        <v>271</v>
      </c>
      <c r="P15" s="241">
        <v>3000</v>
      </c>
      <c r="Q15" s="219">
        <v>45406</v>
      </c>
      <c r="R15" s="217"/>
      <c r="S15" s="216"/>
      <c r="T15" s="216"/>
      <c r="U15" s="216"/>
      <c r="V15" s="228"/>
      <c r="W15" s="218"/>
      <c r="X15" s="80">
        <v>75</v>
      </c>
    </row>
    <row r="16" spans="1:24" s="80" customFormat="1" ht="75" x14ac:dyDescent="0.25">
      <c r="A16" s="227">
        <v>6</v>
      </c>
      <c r="B16" s="225" t="s">
        <v>56</v>
      </c>
      <c r="C16" s="224" t="s">
        <v>147</v>
      </c>
      <c r="D16" s="225" t="s">
        <v>158</v>
      </c>
      <c r="E16" s="231">
        <v>102</v>
      </c>
      <c r="F16" s="232">
        <v>45399</v>
      </c>
      <c r="G16" s="224" t="s">
        <v>255</v>
      </c>
      <c r="H16" s="222">
        <v>4500</v>
      </c>
      <c r="I16" s="223">
        <f>IF(X16 = 76, H16 + SUM(S16:S16) - SUM(T16:T16) - SUM(P16:P16) - V16,0)</f>
        <v>0</v>
      </c>
      <c r="J16" s="224" t="s">
        <v>256</v>
      </c>
      <c r="K16" s="224" t="s">
        <v>182</v>
      </c>
      <c r="L16" s="224" t="s">
        <v>147</v>
      </c>
      <c r="M16" s="224" t="s">
        <v>258</v>
      </c>
      <c r="N16" s="232">
        <v>45399</v>
      </c>
      <c r="O16" s="229" t="s">
        <v>269</v>
      </c>
      <c r="P16" s="241">
        <v>4500</v>
      </c>
      <c r="Q16" s="221">
        <v>45405</v>
      </c>
      <c r="R16" s="224"/>
      <c r="S16" s="222"/>
      <c r="T16" s="222"/>
      <c r="U16" s="222"/>
      <c r="V16" s="228"/>
      <c r="W16" s="226"/>
      <c r="X16" s="80">
        <v>76</v>
      </c>
    </row>
    <row r="17" spans="1:24" s="80" customFormat="1" ht="75" x14ac:dyDescent="0.25">
      <c r="A17" s="227">
        <v>7</v>
      </c>
      <c r="B17" s="225" t="s">
        <v>56</v>
      </c>
      <c r="C17" s="224" t="s">
        <v>147</v>
      </c>
      <c r="D17" s="225" t="s">
        <v>158</v>
      </c>
      <c r="E17" s="231">
        <v>3086</v>
      </c>
      <c r="F17" s="232">
        <v>45400</v>
      </c>
      <c r="G17" s="224" t="s">
        <v>259</v>
      </c>
      <c r="H17" s="222">
        <v>8000</v>
      </c>
      <c r="I17" s="223">
        <f>IF(X17 = 77, H17 + SUM(S17:S17) - SUM(T17:T17) - SUM(P17:P17) - V17,0)</f>
        <v>0</v>
      </c>
      <c r="J17" s="224" t="s">
        <v>260</v>
      </c>
      <c r="K17" s="224" t="s">
        <v>261</v>
      </c>
      <c r="L17" s="224" t="s">
        <v>147</v>
      </c>
      <c r="M17" s="224" t="s">
        <v>262</v>
      </c>
      <c r="N17" s="232">
        <v>45400</v>
      </c>
      <c r="O17" s="232" t="s">
        <v>269</v>
      </c>
      <c r="P17" s="241">
        <v>8000</v>
      </c>
      <c r="Q17" s="221">
        <v>45401</v>
      </c>
      <c r="R17" s="224"/>
      <c r="S17" s="222"/>
      <c r="T17" s="222"/>
      <c r="U17" s="222"/>
      <c r="V17" s="228"/>
      <c r="W17" s="226"/>
      <c r="X17" s="80">
        <v>77</v>
      </c>
    </row>
    <row r="18" spans="1:24" s="80" customFormat="1" ht="75" x14ac:dyDescent="0.25">
      <c r="A18" s="239">
        <v>8</v>
      </c>
      <c r="B18" s="233" t="s">
        <v>56</v>
      </c>
      <c r="C18" s="234" t="s">
        <v>147</v>
      </c>
      <c r="D18" s="233" t="s">
        <v>158</v>
      </c>
      <c r="E18" s="231">
        <v>52</v>
      </c>
      <c r="F18" s="251">
        <v>45400</v>
      </c>
      <c r="G18" s="234" t="s">
        <v>268</v>
      </c>
      <c r="H18" s="235">
        <v>8900</v>
      </c>
      <c r="I18" s="238">
        <f>IF(X18 = 78, H18 + SUM(S18:S18) - SUM(T18:T18) - SUM(P18:P18) - V18,0)</f>
        <v>0</v>
      </c>
      <c r="J18" s="234" t="s">
        <v>265</v>
      </c>
      <c r="K18" s="234" t="s">
        <v>266</v>
      </c>
      <c r="L18" s="234" t="s">
        <v>147</v>
      </c>
      <c r="M18" s="234" t="s">
        <v>267</v>
      </c>
      <c r="N18" s="251">
        <v>45400</v>
      </c>
      <c r="O18" s="243" t="s">
        <v>270</v>
      </c>
      <c r="P18" s="241">
        <v>8900</v>
      </c>
      <c r="Q18" s="237">
        <v>45405</v>
      </c>
      <c r="R18" s="234"/>
      <c r="S18" s="235"/>
      <c r="T18" s="235"/>
      <c r="U18" s="235"/>
      <c r="V18" s="228"/>
      <c r="W18" s="236"/>
      <c r="X18" s="80">
        <v>78</v>
      </c>
    </row>
    <row r="19" spans="1:24" s="80" customFormat="1" ht="56.25" x14ac:dyDescent="0.25">
      <c r="A19" s="239">
        <v>9</v>
      </c>
      <c r="B19" s="253" t="s">
        <v>56</v>
      </c>
      <c r="C19" s="234" t="s">
        <v>147</v>
      </c>
      <c r="D19" s="253" t="s">
        <v>158</v>
      </c>
      <c r="E19" s="231" t="s">
        <v>273</v>
      </c>
      <c r="F19" s="251">
        <v>45407</v>
      </c>
      <c r="G19" s="234" t="s">
        <v>274</v>
      </c>
      <c r="H19" s="235">
        <v>3000</v>
      </c>
      <c r="I19" s="238">
        <f>IF(X19 = 79, H19 + SUM(S19:S19) - SUM(T19:T19) - SUM(P19:P19) - V19,0)</f>
        <v>0</v>
      </c>
      <c r="J19" s="234" t="s">
        <v>275</v>
      </c>
      <c r="K19" s="234" t="s">
        <v>276</v>
      </c>
      <c r="L19" s="234" t="s">
        <v>147</v>
      </c>
      <c r="M19" s="234" t="s">
        <v>277</v>
      </c>
      <c r="N19" s="251">
        <v>45407</v>
      </c>
      <c r="O19" s="254" t="s">
        <v>278</v>
      </c>
      <c r="P19" s="241">
        <v>3000</v>
      </c>
      <c r="Q19" s="237">
        <v>45415</v>
      </c>
      <c r="R19" s="234"/>
      <c r="S19" s="235"/>
      <c r="T19" s="235"/>
      <c r="U19" s="235"/>
      <c r="V19" s="228"/>
      <c r="W19" s="236"/>
      <c r="X19" s="80">
        <v>79</v>
      </c>
    </row>
    <row r="20" spans="1:24" s="80" customFormat="1" ht="93.75" x14ac:dyDescent="0.25">
      <c r="A20" s="239">
        <v>10</v>
      </c>
      <c r="B20" s="253" t="s">
        <v>56</v>
      </c>
      <c r="C20" s="234" t="s">
        <v>147</v>
      </c>
      <c r="D20" s="253" t="s">
        <v>158</v>
      </c>
      <c r="E20" s="231" t="s">
        <v>286</v>
      </c>
      <c r="F20" s="251">
        <v>45378</v>
      </c>
      <c r="G20" s="234" t="s">
        <v>287</v>
      </c>
      <c r="H20" s="235">
        <v>4265.5</v>
      </c>
      <c r="I20" s="238">
        <f>IF(X20 = 80, H20 + SUM(S20:S20) - SUM(T20:T20) - SUM(P20:P20) - V20,0)</f>
        <v>0</v>
      </c>
      <c r="J20" s="234" t="s">
        <v>288</v>
      </c>
      <c r="K20" s="234" t="s">
        <v>289</v>
      </c>
      <c r="L20" s="234" t="s">
        <v>147</v>
      </c>
      <c r="M20" s="234" t="s">
        <v>290</v>
      </c>
      <c r="N20" s="251">
        <v>45405</v>
      </c>
      <c r="O20" s="254" t="s">
        <v>278</v>
      </c>
      <c r="P20" s="241">
        <v>4265.5</v>
      </c>
      <c r="Q20" s="237">
        <v>45435</v>
      </c>
      <c r="R20" s="234"/>
      <c r="S20" s="235"/>
      <c r="T20" s="235"/>
      <c r="U20" s="235"/>
      <c r="V20" s="228"/>
      <c r="W20" s="236"/>
      <c r="X20" s="80">
        <v>80</v>
      </c>
    </row>
    <row r="21" spans="1:24" s="80" customFormat="1" ht="56.25" x14ac:dyDescent="0.25">
      <c r="A21" s="249">
        <v>11</v>
      </c>
      <c r="B21" s="253" t="s">
        <v>56</v>
      </c>
      <c r="C21" s="248" t="s">
        <v>147</v>
      </c>
      <c r="D21" s="253" t="s">
        <v>158</v>
      </c>
      <c r="E21" s="231" t="s">
        <v>291</v>
      </c>
      <c r="F21" s="252">
        <v>45371</v>
      </c>
      <c r="G21" s="248" t="s">
        <v>292</v>
      </c>
      <c r="H21" s="246">
        <v>7000</v>
      </c>
      <c r="I21" s="247">
        <f>IF(X21 = 81, H21 + SUM(S21:S21) - SUM(T21:T21) - SUM(P21:P21) - V21,0)</f>
        <v>0</v>
      </c>
      <c r="J21" s="248" t="s">
        <v>293</v>
      </c>
      <c r="K21" s="248" t="s">
        <v>294</v>
      </c>
      <c r="L21" s="248" t="s">
        <v>147</v>
      </c>
      <c r="M21" s="248" t="s">
        <v>295</v>
      </c>
      <c r="N21" s="252">
        <v>45436</v>
      </c>
      <c r="O21" s="254" t="s">
        <v>278</v>
      </c>
      <c r="P21" s="246">
        <v>7000</v>
      </c>
      <c r="Q21" s="245"/>
      <c r="R21" s="248"/>
      <c r="S21" s="246"/>
      <c r="T21" s="246"/>
      <c r="U21" s="246"/>
      <c r="V21" s="228"/>
      <c r="W21" s="250"/>
      <c r="X21" s="80">
        <v>81</v>
      </c>
    </row>
    <row r="22" spans="1:24" x14ac:dyDescent="0.25">
      <c r="A22" s="101"/>
      <c r="B22" s="102"/>
      <c r="C22" s="102"/>
      <c r="D22" s="102"/>
      <c r="E22" s="230"/>
      <c r="F22" s="106"/>
      <c r="G22" s="102"/>
      <c r="H22" s="107"/>
      <c r="I22" s="108">
        <f>IF(X22 = 72, H22 + SUM(S22:S22) - SUM(T22:T22) - SUM(P22:P22) - V22,0)</f>
        <v>0</v>
      </c>
      <c r="J22" s="102"/>
      <c r="K22" s="102"/>
      <c r="L22" s="102"/>
      <c r="M22" s="102"/>
      <c r="N22" s="106"/>
      <c r="O22" s="106"/>
      <c r="P22" s="107"/>
      <c r="Q22" s="103"/>
      <c r="R22" s="105"/>
      <c r="S22" s="107"/>
      <c r="T22" s="107"/>
      <c r="U22" s="107"/>
      <c r="V22" s="104"/>
      <c r="W22" s="105"/>
      <c r="X22" s="2">
        <v>82</v>
      </c>
    </row>
  </sheetData>
  <sheetProtection password="EB34" sheet="1" objects="1" scenarios="1" formatCells="0" formatColumns="0" formatRows="0"/>
  <mergeCells count="41">
    <mergeCell ref="A3:E3"/>
    <mergeCell ref="S2:U2"/>
    <mergeCell ref="N2:O2"/>
    <mergeCell ref="J4:K4"/>
    <mergeCell ref="M4:N4"/>
    <mergeCell ref="O4:P4"/>
    <mergeCell ref="K2:M2"/>
    <mergeCell ref="A9:A10"/>
    <mergeCell ref="O9:O10"/>
    <mergeCell ref="U9:U10"/>
    <mergeCell ref="B9:B10"/>
    <mergeCell ref="V9:V10"/>
    <mergeCell ref="C9:C10"/>
    <mergeCell ref="W9:W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A13:A14"/>
    <mergeCell ref="O13:O14"/>
    <mergeCell ref="U13:U14"/>
    <mergeCell ref="B13:B14"/>
    <mergeCell ref="V13:V14"/>
    <mergeCell ref="C13:C14"/>
    <mergeCell ref="W13:W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94"/>
  <sheetViews>
    <sheetView showGridLines="0" topLeftCell="E1" zoomScale="50" zoomScaleNormal="50" workbookViewId="0">
      <pane ySplit="8" topLeftCell="A51" activePane="bottomLeft" state="frozen"/>
      <selection pane="bottomLeft" activeCell="F2" sqref="F2:G2"/>
    </sheetView>
  </sheetViews>
  <sheetFormatPr defaultColWidth="0" defaultRowHeight="18.75" x14ac:dyDescent="0.25"/>
  <cols>
    <col min="1" max="1" width="12" style="83" customWidth="1"/>
    <col min="2" max="2" width="37.140625" style="3" customWidth="1"/>
    <col min="3" max="3" width="34" style="3" customWidth="1"/>
    <col min="4" max="4" width="25.42578125" style="3" customWidth="1"/>
    <col min="5" max="5" width="27.28515625" style="3" customWidth="1"/>
    <col min="6" max="6" width="32.42578125" style="3" customWidth="1"/>
    <col min="7" max="7" width="40.28515625" style="11" customWidth="1"/>
    <col min="8" max="8" width="27.570312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5"/>
      <c r="F2" s="589" t="s">
        <v>24</v>
      </c>
      <c r="G2" s="590"/>
      <c r="H2" s="75">
        <f>SUM(H9:H9999)</f>
        <v>1498552.7000000002</v>
      </c>
      <c r="I2" s="65"/>
      <c r="N2" s="478" t="s">
        <v>137</v>
      </c>
      <c r="O2" s="480"/>
      <c r="P2" s="66">
        <f>SUM(P9:P9999)</f>
        <v>1187280.3939999999</v>
      </c>
      <c r="R2" s="65"/>
      <c r="S2" s="478" t="s">
        <v>45</v>
      </c>
      <c r="T2" s="479"/>
      <c r="U2" s="480"/>
      <c r="V2" s="67">
        <f>SUM(V9:V9999)</f>
        <v>24261.599999999999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s="82" customFormat="1" ht="187.5" x14ac:dyDescent="0.25">
      <c r="A6" s="84" t="s">
        <v>8</v>
      </c>
      <c r="B6" s="84" t="s">
        <v>47</v>
      </c>
      <c r="C6" s="84" t="s">
        <v>144</v>
      </c>
      <c r="D6" s="84" t="s">
        <v>10</v>
      </c>
      <c r="E6" s="84" t="s">
        <v>1</v>
      </c>
      <c r="F6" s="84" t="s">
        <v>2</v>
      </c>
      <c r="G6" s="86" t="s">
        <v>3</v>
      </c>
      <c r="H6" s="84" t="s">
        <v>4</v>
      </c>
      <c r="I6" s="84" t="s">
        <v>22</v>
      </c>
      <c r="J6" s="87" t="s">
        <v>46</v>
      </c>
      <c r="K6" s="87" t="s">
        <v>5</v>
      </c>
      <c r="L6" s="84" t="s">
        <v>106</v>
      </c>
      <c r="M6" s="84" t="s">
        <v>39</v>
      </c>
      <c r="N6" s="86" t="s">
        <v>37</v>
      </c>
      <c r="O6" s="84" t="s">
        <v>6</v>
      </c>
      <c r="P6" s="87" t="s">
        <v>23</v>
      </c>
      <c r="Q6" s="86" t="s">
        <v>9</v>
      </c>
      <c r="R6" s="88" t="s">
        <v>40</v>
      </c>
      <c r="S6" s="88" t="s">
        <v>103</v>
      </c>
      <c r="T6" s="88" t="s">
        <v>104</v>
      </c>
      <c r="U6" s="89" t="s">
        <v>41</v>
      </c>
      <c r="V6" s="90" t="s">
        <v>43</v>
      </c>
      <c r="W6" s="91" t="s">
        <v>42</v>
      </c>
    </row>
    <row r="7" spans="1:24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</row>
    <row r="8" spans="1:24" s="14" customFormat="1" ht="131.25" hidden="1" x14ac:dyDescent="0.25">
      <c r="A8" s="85" t="s">
        <v>36</v>
      </c>
      <c r="B8" s="21" t="s">
        <v>56</v>
      </c>
      <c r="C8" s="21"/>
      <c r="D8" s="21" t="s">
        <v>58</v>
      </c>
      <c r="E8" s="21" t="s">
        <v>57</v>
      </c>
      <c r="F8" s="56">
        <v>43839</v>
      </c>
      <c r="G8" s="20" t="s">
        <v>59</v>
      </c>
      <c r="H8" s="19">
        <v>20000</v>
      </c>
      <c r="I8" s="19">
        <v>0</v>
      </c>
      <c r="J8" s="55">
        <v>2353019514</v>
      </c>
      <c r="K8" s="27" t="s">
        <v>61</v>
      </c>
      <c r="L8" s="21"/>
      <c r="M8" s="21" t="s">
        <v>62</v>
      </c>
      <c r="N8" s="20">
        <v>43840</v>
      </c>
      <c r="O8" s="21" t="s">
        <v>63</v>
      </c>
      <c r="P8" s="27">
        <v>20000</v>
      </c>
      <c r="Q8" s="20">
        <v>43840</v>
      </c>
      <c r="R8" s="21"/>
      <c r="S8" s="53"/>
      <c r="T8" s="53"/>
      <c r="U8" s="20"/>
      <c r="V8" s="19"/>
      <c r="W8" s="12" t="s">
        <v>64</v>
      </c>
    </row>
    <row r="9" spans="1:24" s="80" customFormat="1" ht="304.14999999999998" customHeight="1" x14ac:dyDescent="0.25">
      <c r="A9" s="591">
        <v>1</v>
      </c>
      <c r="B9" s="594" t="s">
        <v>56</v>
      </c>
      <c r="C9" s="594" t="s">
        <v>147</v>
      </c>
      <c r="D9" s="594" t="s">
        <v>160</v>
      </c>
      <c r="E9" s="594" t="s">
        <v>195</v>
      </c>
      <c r="F9" s="597">
        <v>45289</v>
      </c>
      <c r="G9" s="609" t="s">
        <v>148</v>
      </c>
      <c r="H9" s="600">
        <v>186161.96</v>
      </c>
      <c r="I9" s="612">
        <f>IF(X9 = 1, H9 + SUM(S9:S16) - SUM(T9:T16) - SUM(P9:P16) - V9,0)</f>
        <v>35614.589999999997</v>
      </c>
      <c r="J9" s="615">
        <v>2308070396</v>
      </c>
      <c r="K9" s="618" t="s">
        <v>149</v>
      </c>
      <c r="L9" s="594" t="s">
        <v>147</v>
      </c>
      <c r="M9" s="594" t="s">
        <v>175</v>
      </c>
      <c r="N9" s="285">
        <v>45300</v>
      </c>
      <c r="O9" s="597" t="s">
        <v>159</v>
      </c>
      <c r="P9" s="273">
        <v>23384.94</v>
      </c>
      <c r="Q9" s="274">
        <v>45320</v>
      </c>
      <c r="R9" s="275"/>
      <c r="S9" s="276"/>
      <c r="T9" s="277"/>
      <c r="U9" s="600"/>
      <c r="V9" s="603"/>
      <c r="W9" s="606"/>
      <c r="X9" s="80">
        <v>1</v>
      </c>
    </row>
    <row r="10" spans="1:24" s="110" customFormat="1" x14ac:dyDescent="0.25">
      <c r="A10" s="592"/>
      <c r="B10" s="595"/>
      <c r="C10" s="595"/>
      <c r="D10" s="595"/>
      <c r="E10" s="595"/>
      <c r="F10" s="598"/>
      <c r="G10" s="610"/>
      <c r="H10" s="601"/>
      <c r="I10" s="613"/>
      <c r="J10" s="616"/>
      <c r="K10" s="619"/>
      <c r="L10" s="595"/>
      <c r="M10" s="595"/>
      <c r="N10" s="286">
        <v>45322</v>
      </c>
      <c r="O10" s="598"/>
      <c r="P10" s="278">
        <v>45807.29</v>
      </c>
      <c r="Q10" s="279">
        <v>45334</v>
      </c>
      <c r="R10" s="280"/>
      <c r="S10" s="281"/>
      <c r="T10" s="281"/>
      <c r="U10" s="601"/>
      <c r="V10" s="604"/>
      <c r="W10" s="607"/>
      <c r="X10" s="110">
        <v>1</v>
      </c>
    </row>
    <row r="11" spans="1:24" s="110" customFormat="1" x14ac:dyDescent="0.25">
      <c r="A11" s="592"/>
      <c r="B11" s="595"/>
      <c r="C11" s="595"/>
      <c r="D11" s="595"/>
      <c r="E11" s="595"/>
      <c r="F11" s="598"/>
      <c r="G11" s="610"/>
      <c r="H11" s="601"/>
      <c r="I11" s="613"/>
      <c r="J11" s="616"/>
      <c r="K11" s="619"/>
      <c r="L11" s="595"/>
      <c r="M11" s="595"/>
      <c r="N11" s="286">
        <v>45323</v>
      </c>
      <c r="O11" s="598"/>
      <c r="P11" s="278">
        <v>7936.09</v>
      </c>
      <c r="Q11" s="279">
        <v>45327</v>
      </c>
      <c r="R11" s="280"/>
      <c r="S11" s="281"/>
      <c r="T11" s="281"/>
      <c r="U11" s="601"/>
      <c r="V11" s="604"/>
      <c r="W11" s="607"/>
      <c r="X11" s="110">
        <v>1</v>
      </c>
    </row>
    <row r="12" spans="1:24" s="110" customFormat="1" x14ac:dyDescent="0.25">
      <c r="A12" s="592"/>
      <c r="B12" s="595"/>
      <c r="C12" s="595"/>
      <c r="D12" s="595"/>
      <c r="E12" s="595"/>
      <c r="F12" s="598"/>
      <c r="G12" s="610"/>
      <c r="H12" s="601"/>
      <c r="I12" s="613"/>
      <c r="J12" s="616"/>
      <c r="K12" s="619"/>
      <c r="L12" s="595"/>
      <c r="M12" s="595"/>
      <c r="N12" s="286">
        <v>45351</v>
      </c>
      <c r="O12" s="598"/>
      <c r="P12" s="278">
        <v>22190.18</v>
      </c>
      <c r="Q12" s="279">
        <v>45363</v>
      </c>
      <c r="R12" s="280"/>
      <c r="S12" s="281"/>
      <c r="T12" s="281"/>
      <c r="U12" s="601"/>
      <c r="V12" s="604"/>
      <c r="W12" s="607"/>
      <c r="X12" s="110">
        <v>1</v>
      </c>
    </row>
    <row r="13" spans="1:24" s="110" customFormat="1" x14ac:dyDescent="0.25">
      <c r="A13" s="592"/>
      <c r="B13" s="595"/>
      <c r="C13" s="595"/>
      <c r="D13" s="595"/>
      <c r="E13" s="595"/>
      <c r="F13" s="598"/>
      <c r="G13" s="610"/>
      <c r="H13" s="601"/>
      <c r="I13" s="613"/>
      <c r="J13" s="616"/>
      <c r="K13" s="619"/>
      <c r="L13" s="595"/>
      <c r="M13" s="595"/>
      <c r="N13" s="286">
        <v>45352</v>
      </c>
      <c r="O13" s="598"/>
      <c r="P13" s="278">
        <v>5957.8</v>
      </c>
      <c r="Q13" s="279">
        <v>45363</v>
      </c>
      <c r="R13" s="280"/>
      <c r="S13" s="281"/>
      <c r="T13" s="281"/>
      <c r="U13" s="601"/>
      <c r="V13" s="604"/>
      <c r="W13" s="607"/>
      <c r="X13" s="110">
        <v>1</v>
      </c>
    </row>
    <row r="14" spans="1:24" s="110" customFormat="1" x14ac:dyDescent="0.25">
      <c r="A14" s="592"/>
      <c r="B14" s="595"/>
      <c r="C14" s="595"/>
      <c r="D14" s="595"/>
      <c r="E14" s="595"/>
      <c r="F14" s="598"/>
      <c r="G14" s="610"/>
      <c r="H14" s="601"/>
      <c r="I14" s="613"/>
      <c r="J14" s="616"/>
      <c r="K14" s="619"/>
      <c r="L14" s="595"/>
      <c r="M14" s="595"/>
      <c r="N14" s="286">
        <v>45382</v>
      </c>
      <c r="O14" s="598"/>
      <c r="P14" s="278">
        <v>16667.91</v>
      </c>
      <c r="Q14" s="279">
        <v>45393</v>
      </c>
      <c r="R14" s="280"/>
      <c r="S14" s="281"/>
      <c r="T14" s="281"/>
      <c r="U14" s="601"/>
      <c r="V14" s="604"/>
      <c r="W14" s="607"/>
      <c r="X14" s="110">
        <v>1</v>
      </c>
    </row>
    <row r="15" spans="1:24" s="110" customFormat="1" x14ac:dyDescent="0.25">
      <c r="A15" s="592"/>
      <c r="B15" s="595"/>
      <c r="C15" s="595"/>
      <c r="D15" s="595"/>
      <c r="E15" s="595"/>
      <c r="F15" s="598"/>
      <c r="G15" s="610"/>
      <c r="H15" s="601"/>
      <c r="I15" s="613"/>
      <c r="J15" s="616"/>
      <c r="K15" s="619"/>
      <c r="L15" s="595"/>
      <c r="M15" s="595"/>
      <c r="N15" s="286">
        <v>45383</v>
      </c>
      <c r="O15" s="598"/>
      <c r="P15" s="278">
        <v>7498.37</v>
      </c>
      <c r="Q15" s="279">
        <v>45385</v>
      </c>
      <c r="R15" s="280"/>
      <c r="S15" s="281"/>
      <c r="T15" s="281"/>
      <c r="U15" s="601"/>
      <c r="V15" s="604"/>
      <c r="W15" s="607"/>
      <c r="X15" s="110">
        <v>1</v>
      </c>
    </row>
    <row r="16" spans="1:24" s="110" customFormat="1" x14ac:dyDescent="0.25">
      <c r="A16" s="593"/>
      <c r="B16" s="596"/>
      <c r="C16" s="596"/>
      <c r="D16" s="596"/>
      <c r="E16" s="596"/>
      <c r="F16" s="599"/>
      <c r="G16" s="611"/>
      <c r="H16" s="602"/>
      <c r="I16" s="614"/>
      <c r="J16" s="617"/>
      <c r="K16" s="620"/>
      <c r="L16" s="596"/>
      <c r="M16" s="596"/>
      <c r="N16" s="287">
        <v>45412</v>
      </c>
      <c r="O16" s="599"/>
      <c r="P16" s="389">
        <v>21104.79</v>
      </c>
      <c r="Q16" s="283">
        <v>45427</v>
      </c>
      <c r="R16" s="284"/>
      <c r="S16" s="282"/>
      <c r="T16" s="282"/>
      <c r="U16" s="602"/>
      <c r="V16" s="605"/>
      <c r="W16" s="608"/>
      <c r="X16" s="110">
        <v>1</v>
      </c>
    </row>
    <row r="17" spans="1:24" s="80" customFormat="1" ht="395.45" customHeight="1" x14ac:dyDescent="0.25">
      <c r="A17" s="557">
        <v>2</v>
      </c>
      <c r="B17" s="566" t="s">
        <v>56</v>
      </c>
      <c r="C17" s="566" t="s">
        <v>147</v>
      </c>
      <c r="D17" s="566" t="s">
        <v>160</v>
      </c>
      <c r="E17" s="566" t="s">
        <v>150</v>
      </c>
      <c r="F17" s="560">
        <v>45289</v>
      </c>
      <c r="G17" s="640" t="s">
        <v>151</v>
      </c>
      <c r="H17" s="643">
        <v>600000</v>
      </c>
      <c r="I17" s="646">
        <f>IF(X17 = 2, H17 + SUM(S17:S30) - SUM(T17:T30) - SUM(P17:P30) - V17,0)</f>
        <v>62234.280000000144</v>
      </c>
      <c r="J17" s="649">
        <v>2308119595</v>
      </c>
      <c r="K17" s="652" t="s">
        <v>152</v>
      </c>
      <c r="L17" s="566" t="s">
        <v>147</v>
      </c>
      <c r="M17" s="566" t="s">
        <v>175</v>
      </c>
      <c r="N17" s="300">
        <v>45292</v>
      </c>
      <c r="O17" s="560" t="s">
        <v>153</v>
      </c>
      <c r="P17" s="288">
        <v>19127.439999999999</v>
      </c>
      <c r="Q17" s="289">
        <v>45309</v>
      </c>
      <c r="R17" s="290"/>
      <c r="S17" s="291"/>
      <c r="T17" s="292"/>
      <c r="U17" s="563"/>
      <c r="V17" s="634"/>
      <c r="W17" s="637"/>
      <c r="X17" s="80">
        <v>2</v>
      </c>
    </row>
    <row r="18" spans="1:24" s="110" customFormat="1" x14ac:dyDescent="0.25">
      <c r="A18" s="558"/>
      <c r="B18" s="567"/>
      <c r="C18" s="567"/>
      <c r="D18" s="567"/>
      <c r="E18" s="567"/>
      <c r="F18" s="561"/>
      <c r="G18" s="641"/>
      <c r="H18" s="644"/>
      <c r="I18" s="647"/>
      <c r="J18" s="650"/>
      <c r="K18" s="653"/>
      <c r="L18" s="567"/>
      <c r="M18" s="567"/>
      <c r="N18" s="301">
        <v>45292</v>
      </c>
      <c r="O18" s="561"/>
      <c r="P18" s="293">
        <v>58498.75</v>
      </c>
      <c r="Q18" s="294">
        <v>45309</v>
      </c>
      <c r="R18" s="295"/>
      <c r="S18" s="296"/>
      <c r="T18" s="296"/>
      <c r="U18" s="564"/>
      <c r="V18" s="635"/>
      <c r="W18" s="638"/>
      <c r="X18" s="110">
        <v>2</v>
      </c>
    </row>
    <row r="19" spans="1:24" s="110" customFormat="1" x14ac:dyDescent="0.25">
      <c r="A19" s="558"/>
      <c r="B19" s="567"/>
      <c r="C19" s="567"/>
      <c r="D19" s="567"/>
      <c r="E19" s="567"/>
      <c r="F19" s="561"/>
      <c r="G19" s="641"/>
      <c r="H19" s="644"/>
      <c r="I19" s="647"/>
      <c r="J19" s="650"/>
      <c r="K19" s="653"/>
      <c r="L19" s="567"/>
      <c r="M19" s="567"/>
      <c r="N19" s="301">
        <v>45322</v>
      </c>
      <c r="O19" s="561"/>
      <c r="P19" s="293">
        <v>64640.95</v>
      </c>
      <c r="Q19" s="294">
        <v>45337</v>
      </c>
      <c r="R19" s="295"/>
      <c r="S19" s="296"/>
      <c r="T19" s="296"/>
      <c r="U19" s="564"/>
      <c r="V19" s="635"/>
      <c r="W19" s="638"/>
      <c r="X19" s="110">
        <v>2</v>
      </c>
    </row>
    <row r="20" spans="1:24" s="110" customFormat="1" x14ac:dyDescent="0.25">
      <c r="A20" s="558"/>
      <c r="B20" s="567"/>
      <c r="C20" s="567"/>
      <c r="D20" s="567"/>
      <c r="E20" s="567"/>
      <c r="F20" s="561"/>
      <c r="G20" s="641"/>
      <c r="H20" s="644"/>
      <c r="I20" s="647"/>
      <c r="J20" s="650"/>
      <c r="K20" s="653"/>
      <c r="L20" s="567"/>
      <c r="M20" s="567"/>
      <c r="N20" s="301">
        <v>45323</v>
      </c>
      <c r="O20" s="561"/>
      <c r="P20" s="293">
        <v>43874.06</v>
      </c>
      <c r="Q20" s="294">
        <v>45323</v>
      </c>
      <c r="R20" s="295"/>
      <c r="S20" s="296"/>
      <c r="T20" s="296"/>
      <c r="U20" s="564"/>
      <c r="V20" s="635"/>
      <c r="W20" s="638"/>
      <c r="X20" s="110">
        <v>2</v>
      </c>
    </row>
    <row r="21" spans="1:24" s="110" customFormat="1" x14ac:dyDescent="0.25">
      <c r="A21" s="558"/>
      <c r="B21" s="567"/>
      <c r="C21" s="567"/>
      <c r="D21" s="567"/>
      <c r="E21" s="567"/>
      <c r="F21" s="561"/>
      <c r="G21" s="641"/>
      <c r="H21" s="644"/>
      <c r="I21" s="647"/>
      <c r="J21" s="650"/>
      <c r="K21" s="653"/>
      <c r="L21" s="567"/>
      <c r="M21" s="567"/>
      <c r="N21" s="301">
        <v>45323</v>
      </c>
      <c r="O21" s="561"/>
      <c r="P21" s="293">
        <v>62638.09</v>
      </c>
      <c r="Q21" s="294">
        <v>45337</v>
      </c>
      <c r="R21" s="295"/>
      <c r="S21" s="296"/>
      <c r="T21" s="296"/>
      <c r="U21" s="564"/>
      <c r="V21" s="635"/>
      <c r="W21" s="638"/>
      <c r="X21" s="110">
        <v>2</v>
      </c>
    </row>
    <row r="22" spans="1:24" s="110" customFormat="1" x14ac:dyDescent="0.25">
      <c r="A22" s="558"/>
      <c r="B22" s="567"/>
      <c r="C22" s="567"/>
      <c r="D22" s="567"/>
      <c r="E22" s="567"/>
      <c r="F22" s="561"/>
      <c r="G22" s="641"/>
      <c r="H22" s="644"/>
      <c r="I22" s="647"/>
      <c r="J22" s="650"/>
      <c r="K22" s="653"/>
      <c r="L22" s="567"/>
      <c r="M22" s="567"/>
      <c r="N22" s="301">
        <v>45351</v>
      </c>
      <c r="O22" s="561"/>
      <c r="P22" s="293">
        <v>27216.2</v>
      </c>
      <c r="Q22" s="294">
        <v>45365</v>
      </c>
      <c r="R22" s="295"/>
      <c r="S22" s="296"/>
      <c r="T22" s="296"/>
      <c r="U22" s="564"/>
      <c r="V22" s="635"/>
      <c r="W22" s="638"/>
      <c r="X22" s="110">
        <v>2</v>
      </c>
    </row>
    <row r="23" spans="1:24" s="110" customFormat="1" x14ac:dyDescent="0.25">
      <c r="A23" s="558"/>
      <c r="B23" s="567"/>
      <c r="C23" s="567"/>
      <c r="D23" s="567"/>
      <c r="E23" s="567"/>
      <c r="F23" s="561"/>
      <c r="G23" s="641"/>
      <c r="H23" s="644"/>
      <c r="I23" s="647"/>
      <c r="J23" s="650"/>
      <c r="K23" s="653"/>
      <c r="L23" s="567"/>
      <c r="M23" s="567"/>
      <c r="N23" s="301">
        <v>45352</v>
      </c>
      <c r="O23" s="561"/>
      <c r="P23" s="293">
        <v>46978.57</v>
      </c>
      <c r="Q23" s="294">
        <v>45352</v>
      </c>
      <c r="R23" s="295"/>
      <c r="S23" s="296"/>
      <c r="T23" s="296"/>
      <c r="U23" s="564"/>
      <c r="V23" s="635"/>
      <c r="W23" s="638"/>
      <c r="X23" s="110">
        <v>2</v>
      </c>
    </row>
    <row r="24" spans="1:24" s="110" customFormat="1" x14ac:dyDescent="0.25">
      <c r="A24" s="558"/>
      <c r="B24" s="567"/>
      <c r="C24" s="567"/>
      <c r="D24" s="567"/>
      <c r="E24" s="567"/>
      <c r="F24" s="561"/>
      <c r="G24" s="641"/>
      <c r="H24" s="644"/>
      <c r="I24" s="647"/>
      <c r="J24" s="650"/>
      <c r="K24" s="653"/>
      <c r="L24" s="567"/>
      <c r="M24" s="567"/>
      <c r="N24" s="301">
        <v>45352</v>
      </c>
      <c r="O24" s="561"/>
      <c r="P24" s="293">
        <v>58728.04</v>
      </c>
      <c r="Q24" s="294">
        <v>45365</v>
      </c>
      <c r="R24" s="295"/>
      <c r="S24" s="296"/>
      <c r="T24" s="296"/>
      <c r="U24" s="564"/>
      <c r="V24" s="635"/>
      <c r="W24" s="638"/>
      <c r="X24" s="110">
        <v>2</v>
      </c>
    </row>
    <row r="25" spans="1:24" s="110" customFormat="1" x14ac:dyDescent="0.25">
      <c r="A25" s="558"/>
      <c r="B25" s="567"/>
      <c r="C25" s="567"/>
      <c r="D25" s="567"/>
      <c r="E25" s="567"/>
      <c r="F25" s="561"/>
      <c r="G25" s="641"/>
      <c r="H25" s="644"/>
      <c r="I25" s="647"/>
      <c r="J25" s="650"/>
      <c r="K25" s="653"/>
      <c r="L25" s="567"/>
      <c r="M25" s="567"/>
      <c r="N25" s="301">
        <v>45382</v>
      </c>
      <c r="O25" s="561"/>
      <c r="P25" s="293">
        <v>1422.68</v>
      </c>
      <c r="Q25" s="294">
        <v>45398</v>
      </c>
      <c r="R25" s="295"/>
      <c r="S25" s="296"/>
      <c r="T25" s="296"/>
      <c r="U25" s="564"/>
      <c r="V25" s="635"/>
      <c r="W25" s="638"/>
      <c r="X25" s="110">
        <v>2</v>
      </c>
    </row>
    <row r="26" spans="1:24" s="110" customFormat="1" x14ac:dyDescent="0.25">
      <c r="A26" s="558"/>
      <c r="B26" s="567"/>
      <c r="C26" s="567"/>
      <c r="D26" s="567"/>
      <c r="E26" s="567"/>
      <c r="F26" s="561"/>
      <c r="G26" s="641"/>
      <c r="H26" s="644"/>
      <c r="I26" s="647"/>
      <c r="J26" s="650"/>
      <c r="K26" s="653"/>
      <c r="L26" s="567"/>
      <c r="M26" s="567"/>
      <c r="N26" s="301">
        <v>45383</v>
      </c>
      <c r="O26" s="561"/>
      <c r="P26" s="293">
        <v>44046.02</v>
      </c>
      <c r="Q26" s="294">
        <v>45383</v>
      </c>
      <c r="R26" s="295"/>
      <c r="S26" s="296"/>
      <c r="T26" s="296"/>
      <c r="U26" s="564"/>
      <c r="V26" s="635"/>
      <c r="W26" s="638"/>
      <c r="X26" s="110">
        <v>2</v>
      </c>
    </row>
    <row r="27" spans="1:24" s="110" customFormat="1" x14ac:dyDescent="0.25">
      <c r="A27" s="558"/>
      <c r="B27" s="567"/>
      <c r="C27" s="567"/>
      <c r="D27" s="567"/>
      <c r="E27" s="567"/>
      <c r="F27" s="561"/>
      <c r="G27" s="641"/>
      <c r="H27" s="644"/>
      <c r="I27" s="647"/>
      <c r="J27" s="650"/>
      <c r="K27" s="653"/>
      <c r="L27" s="567"/>
      <c r="M27" s="567"/>
      <c r="N27" s="301">
        <v>45383</v>
      </c>
      <c r="O27" s="561"/>
      <c r="P27" s="293">
        <v>47195.78</v>
      </c>
      <c r="Q27" s="294">
        <v>45398</v>
      </c>
      <c r="R27" s="295"/>
      <c r="S27" s="296"/>
      <c r="T27" s="296"/>
      <c r="U27" s="564"/>
      <c r="V27" s="635"/>
      <c r="W27" s="638"/>
      <c r="X27" s="110">
        <v>2</v>
      </c>
    </row>
    <row r="28" spans="1:24" s="110" customFormat="1" x14ac:dyDescent="0.25">
      <c r="A28" s="558"/>
      <c r="B28" s="567"/>
      <c r="C28" s="567"/>
      <c r="D28" s="567"/>
      <c r="E28" s="567"/>
      <c r="F28" s="561"/>
      <c r="G28" s="641"/>
      <c r="H28" s="644"/>
      <c r="I28" s="647"/>
      <c r="J28" s="650"/>
      <c r="K28" s="653"/>
      <c r="L28" s="567"/>
      <c r="M28" s="567"/>
      <c r="N28" s="301">
        <v>45413</v>
      </c>
      <c r="O28" s="561"/>
      <c r="P28" s="293">
        <v>35396.839999999997</v>
      </c>
      <c r="Q28" s="294">
        <v>45415</v>
      </c>
      <c r="R28" s="295"/>
      <c r="S28" s="296"/>
      <c r="T28" s="296"/>
      <c r="U28" s="564"/>
      <c r="V28" s="635"/>
      <c r="W28" s="638"/>
      <c r="X28" s="110">
        <v>2</v>
      </c>
    </row>
    <row r="29" spans="1:24" s="110" customFormat="1" x14ac:dyDescent="0.25">
      <c r="A29" s="558"/>
      <c r="B29" s="567"/>
      <c r="C29" s="567"/>
      <c r="D29" s="567"/>
      <c r="E29" s="567"/>
      <c r="F29" s="561"/>
      <c r="G29" s="641"/>
      <c r="H29" s="644"/>
      <c r="I29" s="647"/>
      <c r="J29" s="650"/>
      <c r="K29" s="653"/>
      <c r="L29" s="567"/>
      <c r="M29" s="567"/>
      <c r="N29" s="301">
        <v>45413</v>
      </c>
      <c r="O29" s="561"/>
      <c r="P29" s="293">
        <v>16003.2</v>
      </c>
      <c r="Q29" s="294">
        <v>45428</v>
      </c>
      <c r="R29" s="295"/>
      <c r="S29" s="296"/>
      <c r="T29" s="296"/>
      <c r="U29" s="564"/>
      <c r="V29" s="635"/>
      <c r="W29" s="638"/>
      <c r="X29" s="110">
        <v>2</v>
      </c>
    </row>
    <row r="30" spans="1:24" s="110" customFormat="1" x14ac:dyDescent="0.25">
      <c r="A30" s="559"/>
      <c r="B30" s="568"/>
      <c r="C30" s="568"/>
      <c r="D30" s="568"/>
      <c r="E30" s="568"/>
      <c r="F30" s="562"/>
      <c r="G30" s="642"/>
      <c r="H30" s="645"/>
      <c r="I30" s="648"/>
      <c r="J30" s="651"/>
      <c r="K30" s="654"/>
      <c r="L30" s="568"/>
      <c r="M30" s="568"/>
      <c r="N30" s="302">
        <v>45444</v>
      </c>
      <c r="O30" s="562"/>
      <c r="P30" s="297">
        <v>11999.1</v>
      </c>
      <c r="Q30" s="298"/>
      <c r="R30" s="299"/>
      <c r="S30" s="297"/>
      <c r="T30" s="297"/>
      <c r="U30" s="565"/>
      <c r="V30" s="636"/>
      <c r="W30" s="639"/>
      <c r="X30" s="110">
        <v>2</v>
      </c>
    </row>
    <row r="31" spans="1:24" s="80" customFormat="1" ht="63.6" customHeight="1" x14ac:dyDescent="0.25">
      <c r="A31" s="482">
        <v>3</v>
      </c>
      <c r="B31" s="491" t="s">
        <v>56</v>
      </c>
      <c r="C31" s="491" t="s">
        <v>147</v>
      </c>
      <c r="D31" s="491" t="s">
        <v>158</v>
      </c>
      <c r="E31" s="491" t="s">
        <v>176</v>
      </c>
      <c r="F31" s="485">
        <v>45289</v>
      </c>
      <c r="G31" s="500" t="s">
        <v>177</v>
      </c>
      <c r="H31" s="488">
        <v>22628.22</v>
      </c>
      <c r="I31" s="503">
        <f>IF(X31 = 33, H31 + SUM(S31:S35) - SUM(T31:T35) - SUM(P31:P35) - V31,0)</f>
        <v>3771.3700000000026</v>
      </c>
      <c r="J31" s="506">
        <v>2308131994</v>
      </c>
      <c r="K31" s="509" t="s">
        <v>178</v>
      </c>
      <c r="L31" s="491" t="s">
        <v>147</v>
      </c>
      <c r="M31" s="491" t="s">
        <v>175</v>
      </c>
      <c r="N31" s="348">
        <v>45322</v>
      </c>
      <c r="O31" s="485" t="s">
        <v>179</v>
      </c>
      <c r="P31" s="337">
        <v>3771.37</v>
      </c>
      <c r="Q31" s="338">
        <v>45327</v>
      </c>
      <c r="R31" s="339"/>
      <c r="S31" s="340"/>
      <c r="T31" s="340"/>
      <c r="U31" s="488"/>
      <c r="V31" s="494"/>
      <c r="W31" s="497"/>
      <c r="X31" s="80">
        <v>33</v>
      </c>
    </row>
    <row r="32" spans="1:24" s="110" customFormat="1" x14ac:dyDescent="0.25">
      <c r="A32" s="483"/>
      <c r="B32" s="492"/>
      <c r="C32" s="492"/>
      <c r="D32" s="492"/>
      <c r="E32" s="492"/>
      <c r="F32" s="486"/>
      <c r="G32" s="501"/>
      <c r="H32" s="489"/>
      <c r="I32" s="504"/>
      <c r="J32" s="507"/>
      <c r="K32" s="510"/>
      <c r="L32" s="492"/>
      <c r="M32" s="492"/>
      <c r="N32" s="349">
        <v>45351</v>
      </c>
      <c r="O32" s="486"/>
      <c r="P32" s="341">
        <v>3771.37</v>
      </c>
      <c r="Q32" s="342">
        <v>45363</v>
      </c>
      <c r="R32" s="343"/>
      <c r="S32" s="344"/>
      <c r="T32" s="344"/>
      <c r="U32" s="489"/>
      <c r="V32" s="495"/>
      <c r="W32" s="498"/>
      <c r="X32" s="110">
        <v>33</v>
      </c>
    </row>
    <row r="33" spans="1:24" s="110" customFormat="1" x14ac:dyDescent="0.25">
      <c r="A33" s="483"/>
      <c r="B33" s="492"/>
      <c r="C33" s="492"/>
      <c r="D33" s="492"/>
      <c r="E33" s="492"/>
      <c r="F33" s="486"/>
      <c r="G33" s="501"/>
      <c r="H33" s="489"/>
      <c r="I33" s="504"/>
      <c r="J33" s="507"/>
      <c r="K33" s="510"/>
      <c r="L33" s="492"/>
      <c r="M33" s="492"/>
      <c r="N33" s="349">
        <v>45382</v>
      </c>
      <c r="O33" s="486"/>
      <c r="P33" s="341">
        <v>3771.37</v>
      </c>
      <c r="Q33" s="342">
        <v>45385</v>
      </c>
      <c r="R33" s="343"/>
      <c r="S33" s="344"/>
      <c r="T33" s="344"/>
      <c r="U33" s="489"/>
      <c r="V33" s="495"/>
      <c r="W33" s="498"/>
      <c r="X33" s="110">
        <v>33</v>
      </c>
    </row>
    <row r="34" spans="1:24" s="110" customFormat="1" x14ac:dyDescent="0.25">
      <c r="A34" s="483"/>
      <c r="B34" s="492"/>
      <c r="C34" s="492"/>
      <c r="D34" s="492"/>
      <c r="E34" s="492"/>
      <c r="F34" s="486"/>
      <c r="G34" s="501"/>
      <c r="H34" s="489"/>
      <c r="I34" s="504"/>
      <c r="J34" s="507"/>
      <c r="K34" s="510"/>
      <c r="L34" s="492"/>
      <c r="M34" s="492"/>
      <c r="N34" s="349">
        <v>45412</v>
      </c>
      <c r="O34" s="486"/>
      <c r="P34" s="341">
        <v>3771.37</v>
      </c>
      <c r="Q34" s="342">
        <v>45419</v>
      </c>
      <c r="R34" s="343"/>
      <c r="S34" s="344"/>
      <c r="T34" s="344"/>
      <c r="U34" s="489"/>
      <c r="V34" s="495"/>
      <c r="W34" s="498"/>
      <c r="X34" s="110">
        <v>33</v>
      </c>
    </row>
    <row r="35" spans="1:24" s="110" customFormat="1" x14ac:dyDescent="0.25">
      <c r="A35" s="484"/>
      <c r="B35" s="493"/>
      <c r="C35" s="493"/>
      <c r="D35" s="493"/>
      <c r="E35" s="493"/>
      <c r="F35" s="487"/>
      <c r="G35" s="502"/>
      <c r="H35" s="490"/>
      <c r="I35" s="505"/>
      <c r="J35" s="508"/>
      <c r="K35" s="511"/>
      <c r="L35" s="493"/>
      <c r="M35" s="493"/>
      <c r="N35" s="350">
        <v>45443</v>
      </c>
      <c r="O35" s="487"/>
      <c r="P35" s="345">
        <v>3771.37</v>
      </c>
      <c r="Q35" s="346"/>
      <c r="R35" s="347"/>
      <c r="S35" s="345"/>
      <c r="T35" s="345"/>
      <c r="U35" s="490"/>
      <c r="V35" s="496"/>
      <c r="W35" s="499"/>
      <c r="X35" s="110">
        <v>33</v>
      </c>
    </row>
    <row r="36" spans="1:24" s="80" customFormat="1" ht="54" customHeight="1" x14ac:dyDescent="0.25">
      <c r="A36" s="569">
        <v>4</v>
      </c>
      <c r="B36" s="581" t="s">
        <v>56</v>
      </c>
      <c r="C36" s="581" t="s">
        <v>147</v>
      </c>
      <c r="D36" s="581" t="s">
        <v>158</v>
      </c>
      <c r="E36" s="581" t="s">
        <v>180</v>
      </c>
      <c r="F36" s="572">
        <v>45289</v>
      </c>
      <c r="G36" s="705" t="s">
        <v>181</v>
      </c>
      <c r="H36" s="695">
        <v>24000</v>
      </c>
      <c r="I36" s="708">
        <f>IF(X36 = 34, H36 + SUM(S36:S40) - SUM(T36:T40) - SUM(P36:P40) - V36,0)</f>
        <v>14000</v>
      </c>
      <c r="J36" s="711">
        <v>2353002302</v>
      </c>
      <c r="K36" s="714" t="s">
        <v>182</v>
      </c>
      <c r="L36" s="581" t="s">
        <v>147</v>
      </c>
      <c r="M36" s="581" t="s">
        <v>175</v>
      </c>
      <c r="N36" s="371">
        <v>45322</v>
      </c>
      <c r="O36" s="572" t="s">
        <v>183</v>
      </c>
      <c r="P36" s="351">
        <v>2000</v>
      </c>
      <c r="Q36" s="352">
        <v>45327</v>
      </c>
      <c r="R36" s="353"/>
      <c r="S36" s="354"/>
      <c r="T36" s="354"/>
      <c r="U36" s="695"/>
      <c r="V36" s="699"/>
      <c r="W36" s="702"/>
      <c r="X36" s="80">
        <v>34</v>
      </c>
    </row>
    <row r="37" spans="1:24" s="110" customFormat="1" x14ac:dyDescent="0.25">
      <c r="A37" s="570"/>
      <c r="B37" s="582"/>
      <c r="C37" s="582"/>
      <c r="D37" s="582"/>
      <c r="E37" s="582"/>
      <c r="F37" s="573"/>
      <c r="G37" s="706"/>
      <c r="H37" s="696"/>
      <c r="I37" s="709"/>
      <c r="J37" s="712"/>
      <c r="K37" s="715"/>
      <c r="L37" s="582"/>
      <c r="M37" s="582"/>
      <c r="N37" s="372">
        <v>45351</v>
      </c>
      <c r="O37" s="573"/>
      <c r="P37" s="355">
        <v>2000</v>
      </c>
      <c r="Q37" s="356">
        <v>45351</v>
      </c>
      <c r="R37" s="357"/>
      <c r="S37" s="358"/>
      <c r="T37" s="358"/>
      <c r="U37" s="696"/>
      <c r="V37" s="700"/>
      <c r="W37" s="703"/>
      <c r="X37" s="110">
        <v>34</v>
      </c>
    </row>
    <row r="38" spans="1:24" s="110" customFormat="1" x14ac:dyDescent="0.25">
      <c r="A38" s="570"/>
      <c r="B38" s="582"/>
      <c r="C38" s="582"/>
      <c r="D38" s="582"/>
      <c r="E38" s="582"/>
      <c r="F38" s="573"/>
      <c r="G38" s="706"/>
      <c r="H38" s="696"/>
      <c r="I38" s="709"/>
      <c r="J38" s="712"/>
      <c r="K38" s="715"/>
      <c r="L38" s="582"/>
      <c r="M38" s="582"/>
      <c r="N38" s="372">
        <v>45382</v>
      </c>
      <c r="O38" s="573"/>
      <c r="P38" s="355">
        <v>2000</v>
      </c>
      <c r="Q38" s="356">
        <v>45385</v>
      </c>
      <c r="R38" s="357"/>
      <c r="S38" s="358"/>
      <c r="T38" s="358"/>
      <c r="U38" s="696"/>
      <c r="V38" s="700"/>
      <c r="W38" s="703"/>
      <c r="X38" s="110">
        <v>34</v>
      </c>
    </row>
    <row r="39" spans="1:24" s="110" customFormat="1" x14ac:dyDescent="0.25">
      <c r="A39" s="570"/>
      <c r="B39" s="582"/>
      <c r="C39" s="582"/>
      <c r="D39" s="582"/>
      <c r="E39" s="582"/>
      <c r="F39" s="573"/>
      <c r="G39" s="706"/>
      <c r="H39" s="696"/>
      <c r="I39" s="709"/>
      <c r="J39" s="712"/>
      <c r="K39" s="715"/>
      <c r="L39" s="582"/>
      <c r="M39" s="582"/>
      <c r="N39" s="372">
        <v>45412</v>
      </c>
      <c r="O39" s="573"/>
      <c r="P39" s="355">
        <v>2000</v>
      </c>
      <c r="Q39" s="356">
        <v>45419</v>
      </c>
      <c r="R39" s="357"/>
      <c r="S39" s="358"/>
      <c r="T39" s="358"/>
      <c r="U39" s="696"/>
      <c r="V39" s="700"/>
      <c r="W39" s="703"/>
      <c r="X39" s="110">
        <v>34</v>
      </c>
    </row>
    <row r="40" spans="1:24" s="110" customFormat="1" x14ac:dyDescent="0.25">
      <c r="A40" s="571"/>
      <c r="B40" s="698"/>
      <c r="C40" s="698"/>
      <c r="D40" s="698"/>
      <c r="E40" s="698"/>
      <c r="F40" s="574"/>
      <c r="G40" s="707"/>
      <c r="H40" s="697"/>
      <c r="I40" s="710"/>
      <c r="J40" s="713"/>
      <c r="K40" s="716"/>
      <c r="L40" s="698"/>
      <c r="M40" s="698"/>
      <c r="N40" s="373">
        <v>45443</v>
      </c>
      <c r="O40" s="574"/>
      <c r="P40" s="366">
        <v>2000</v>
      </c>
      <c r="Q40" s="367"/>
      <c r="R40" s="368"/>
      <c r="S40" s="366"/>
      <c r="T40" s="366"/>
      <c r="U40" s="697"/>
      <c r="V40" s="701"/>
      <c r="W40" s="704"/>
      <c r="X40" s="110">
        <v>34</v>
      </c>
    </row>
    <row r="41" spans="1:24" s="80" customFormat="1" ht="72" customHeight="1" x14ac:dyDescent="0.25">
      <c r="A41" s="569">
        <v>5</v>
      </c>
      <c r="B41" s="581" t="s">
        <v>56</v>
      </c>
      <c r="C41" s="581" t="s">
        <v>147</v>
      </c>
      <c r="D41" s="581" t="s">
        <v>158</v>
      </c>
      <c r="E41" s="581" t="s">
        <v>184</v>
      </c>
      <c r="F41" s="572">
        <v>45289</v>
      </c>
      <c r="G41" s="705" t="s">
        <v>185</v>
      </c>
      <c r="H41" s="695">
        <v>36000</v>
      </c>
      <c r="I41" s="708">
        <f>IF(X41 = 35, H41 + SUM(S41:S45) - SUM(T41:T45) - SUM(P41:P45) - V41,0)</f>
        <v>21000</v>
      </c>
      <c r="J41" s="711">
        <v>2353002302</v>
      </c>
      <c r="K41" s="714" t="s">
        <v>182</v>
      </c>
      <c r="L41" s="581" t="s">
        <v>147</v>
      </c>
      <c r="M41" s="581" t="s">
        <v>175</v>
      </c>
      <c r="N41" s="371">
        <v>45322</v>
      </c>
      <c r="O41" s="572" t="s">
        <v>203</v>
      </c>
      <c r="P41" s="351">
        <v>3000</v>
      </c>
      <c r="Q41" s="352">
        <v>45327</v>
      </c>
      <c r="R41" s="353"/>
      <c r="S41" s="354"/>
      <c r="T41" s="354"/>
      <c r="U41" s="695"/>
      <c r="V41" s="699"/>
      <c r="W41" s="702"/>
      <c r="X41" s="80">
        <v>35</v>
      </c>
    </row>
    <row r="42" spans="1:24" s="110" customFormat="1" x14ac:dyDescent="0.25">
      <c r="A42" s="570"/>
      <c r="B42" s="582"/>
      <c r="C42" s="582"/>
      <c r="D42" s="582"/>
      <c r="E42" s="582"/>
      <c r="F42" s="573"/>
      <c r="G42" s="706"/>
      <c r="H42" s="696"/>
      <c r="I42" s="709"/>
      <c r="J42" s="712"/>
      <c r="K42" s="715"/>
      <c r="L42" s="582"/>
      <c r="M42" s="582"/>
      <c r="N42" s="372">
        <v>45351</v>
      </c>
      <c r="O42" s="573"/>
      <c r="P42" s="355">
        <v>3000</v>
      </c>
      <c r="Q42" s="356">
        <v>45351</v>
      </c>
      <c r="R42" s="357"/>
      <c r="S42" s="358"/>
      <c r="T42" s="358"/>
      <c r="U42" s="696"/>
      <c r="V42" s="700"/>
      <c r="W42" s="703"/>
      <c r="X42" s="110">
        <v>35</v>
      </c>
    </row>
    <row r="43" spans="1:24" s="110" customFormat="1" x14ac:dyDescent="0.25">
      <c r="A43" s="570"/>
      <c r="B43" s="582"/>
      <c r="C43" s="582"/>
      <c r="D43" s="582"/>
      <c r="E43" s="582"/>
      <c r="F43" s="573"/>
      <c r="G43" s="706"/>
      <c r="H43" s="696"/>
      <c r="I43" s="709"/>
      <c r="J43" s="712"/>
      <c r="K43" s="715"/>
      <c r="L43" s="582"/>
      <c r="M43" s="582"/>
      <c r="N43" s="372">
        <v>45382</v>
      </c>
      <c r="O43" s="573"/>
      <c r="P43" s="355">
        <v>3000</v>
      </c>
      <c r="Q43" s="356">
        <v>38080</v>
      </c>
      <c r="R43" s="357"/>
      <c r="S43" s="358"/>
      <c r="T43" s="358"/>
      <c r="U43" s="696"/>
      <c r="V43" s="700"/>
      <c r="W43" s="703"/>
      <c r="X43" s="110">
        <v>35</v>
      </c>
    </row>
    <row r="44" spans="1:24" s="110" customFormat="1" x14ac:dyDescent="0.25">
      <c r="A44" s="570"/>
      <c r="B44" s="582"/>
      <c r="C44" s="582"/>
      <c r="D44" s="582"/>
      <c r="E44" s="582"/>
      <c r="F44" s="573"/>
      <c r="G44" s="706"/>
      <c r="H44" s="696"/>
      <c r="I44" s="709"/>
      <c r="J44" s="712"/>
      <c r="K44" s="715"/>
      <c r="L44" s="582"/>
      <c r="M44" s="582"/>
      <c r="N44" s="372">
        <v>45412</v>
      </c>
      <c r="O44" s="573"/>
      <c r="P44" s="355">
        <v>3000</v>
      </c>
      <c r="Q44" s="356">
        <v>45419</v>
      </c>
      <c r="R44" s="357"/>
      <c r="S44" s="358"/>
      <c r="T44" s="358"/>
      <c r="U44" s="696"/>
      <c r="V44" s="700"/>
      <c r="W44" s="703"/>
      <c r="X44" s="110">
        <v>35</v>
      </c>
    </row>
    <row r="45" spans="1:24" s="110" customFormat="1" x14ac:dyDescent="0.25">
      <c r="A45" s="571"/>
      <c r="B45" s="698"/>
      <c r="C45" s="698"/>
      <c r="D45" s="698"/>
      <c r="E45" s="698"/>
      <c r="F45" s="574"/>
      <c r="G45" s="707"/>
      <c r="H45" s="697"/>
      <c r="I45" s="710"/>
      <c r="J45" s="713"/>
      <c r="K45" s="716"/>
      <c r="L45" s="698"/>
      <c r="M45" s="698"/>
      <c r="N45" s="373">
        <v>45443</v>
      </c>
      <c r="O45" s="574"/>
      <c r="P45" s="366">
        <v>3000</v>
      </c>
      <c r="Q45" s="367"/>
      <c r="R45" s="368"/>
      <c r="S45" s="366"/>
      <c r="T45" s="366"/>
      <c r="U45" s="697"/>
      <c r="V45" s="701"/>
      <c r="W45" s="704"/>
      <c r="X45" s="110">
        <v>35</v>
      </c>
    </row>
    <row r="46" spans="1:24" s="80" customFormat="1" ht="90" customHeight="1" x14ac:dyDescent="0.25">
      <c r="A46" s="569">
        <v>6</v>
      </c>
      <c r="B46" s="581" t="s">
        <v>56</v>
      </c>
      <c r="C46" s="581" t="s">
        <v>147</v>
      </c>
      <c r="D46" s="581" t="s">
        <v>158</v>
      </c>
      <c r="E46" s="581" t="s">
        <v>186</v>
      </c>
      <c r="F46" s="572">
        <v>45289</v>
      </c>
      <c r="G46" s="705" t="s">
        <v>187</v>
      </c>
      <c r="H46" s="695">
        <v>27406.080000000002</v>
      </c>
      <c r="I46" s="708">
        <f>IF(X46 = 36, H46 + SUM(S46:S50) - SUM(T46:T50) - SUM(P46:P50) - V46,0)</f>
        <v>15986.880000000001</v>
      </c>
      <c r="J46" s="711">
        <v>2310163739</v>
      </c>
      <c r="K46" s="714" t="s">
        <v>188</v>
      </c>
      <c r="L46" s="581" t="s">
        <v>147</v>
      </c>
      <c r="M46" s="581" t="s">
        <v>175</v>
      </c>
      <c r="N46" s="371">
        <v>45322</v>
      </c>
      <c r="O46" s="572" t="s">
        <v>189</v>
      </c>
      <c r="P46" s="351">
        <v>2283.84</v>
      </c>
      <c r="Q46" s="352">
        <v>45334</v>
      </c>
      <c r="R46" s="353"/>
      <c r="S46" s="354"/>
      <c r="T46" s="354"/>
      <c r="U46" s="695"/>
      <c r="V46" s="699"/>
      <c r="W46" s="702"/>
      <c r="X46" s="80">
        <v>36</v>
      </c>
    </row>
    <row r="47" spans="1:24" s="110" customFormat="1" x14ac:dyDescent="0.25">
      <c r="A47" s="570"/>
      <c r="B47" s="582"/>
      <c r="C47" s="582"/>
      <c r="D47" s="582"/>
      <c r="E47" s="582"/>
      <c r="F47" s="573"/>
      <c r="G47" s="706"/>
      <c r="H47" s="696"/>
      <c r="I47" s="709"/>
      <c r="J47" s="712"/>
      <c r="K47" s="715"/>
      <c r="L47" s="582"/>
      <c r="M47" s="582"/>
      <c r="N47" s="372">
        <v>45351</v>
      </c>
      <c r="O47" s="573"/>
      <c r="P47" s="355">
        <v>2283.84</v>
      </c>
      <c r="Q47" s="356">
        <v>45351</v>
      </c>
      <c r="R47" s="357"/>
      <c r="S47" s="358"/>
      <c r="T47" s="358"/>
      <c r="U47" s="696"/>
      <c r="V47" s="700"/>
      <c r="W47" s="703"/>
      <c r="X47" s="110">
        <v>36</v>
      </c>
    </row>
    <row r="48" spans="1:24" s="110" customFormat="1" x14ac:dyDescent="0.25">
      <c r="A48" s="570"/>
      <c r="B48" s="582"/>
      <c r="C48" s="582"/>
      <c r="D48" s="582"/>
      <c r="E48" s="582"/>
      <c r="F48" s="573"/>
      <c r="G48" s="706"/>
      <c r="H48" s="696"/>
      <c r="I48" s="709"/>
      <c r="J48" s="712"/>
      <c r="K48" s="715"/>
      <c r="L48" s="582"/>
      <c r="M48" s="582"/>
      <c r="N48" s="372">
        <v>45380</v>
      </c>
      <c r="O48" s="573"/>
      <c r="P48" s="355">
        <v>2283.84</v>
      </c>
      <c r="Q48" s="356">
        <v>45385</v>
      </c>
      <c r="R48" s="357"/>
      <c r="S48" s="358"/>
      <c r="T48" s="358"/>
      <c r="U48" s="696"/>
      <c r="V48" s="700"/>
      <c r="W48" s="703"/>
      <c r="X48" s="110">
        <v>36</v>
      </c>
    </row>
    <row r="49" spans="1:24" s="110" customFormat="1" x14ac:dyDescent="0.25">
      <c r="A49" s="570"/>
      <c r="B49" s="582"/>
      <c r="C49" s="582"/>
      <c r="D49" s="582"/>
      <c r="E49" s="582"/>
      <c r="F49" s="573"/>
      <c r="G49" s="706"/>
      <c r="H49" s="696"/>
      <c r="I49" s="709"/>
      <c r="J49" s="712"/>
      <c r="K49" s="715"/>
      <c r="L49" s="582"/>
      <c r="M49" s="582"/>
      <c r="N49" s="372">
        <v>45409</v>
      </c>
      <c r="O49" s="573"/>
      <c r="P49" s="355">
        <v>2283.84</v>
      </c>
      <c r="Q49" s="356">
        <v>45419</v>
      </c>
      <c r="R49" s="357"/>
      <c r="S49" s="358"/>
      <c r="T49" s="358"/>
      <c r="U49" s="696"/>
      <c r="V49" s="700"/>
      <c r="W49" s="703"/>
      <c r="X49" s="110">
        <v>36</v>
      </c>
    </row>
    <row r="50" spans="1:24" s="110" customFormat="1" x14ac:dyDescent="0.25">
      <c r="A50" s="570"/>
      <c r="B50" s="582"/>
      <c r="C50" s="582"/>
      <c r="D50" s="582"/>
      <c r="E50" s="582"/>
      <c r="F50" s="573"/>
      <c r="G50" s="706"/>
      <c r="H50" s="696"/>
      <c r="I50" s="709"/>
      <c r="J50" s="712"/>
      <c r="K50" s="715"/>
      <c r="L50" s="582"/>
      <c r="M50" s="582"/>
      <c r="N50" s="372">
        <v>45443</v>
      </c>
      <c r="O50" s="573"/>
      <c r="P50" s="358">
        <v>2283.84</v>
      </c>
      <c r="Q50" s="356"/>
      <c r="R50" s="357"/>
      <c r="S50" s="358"/>
      <c r="T50" s="358"/>
      <c r="U50" s="696"/>
      <c r="V50" s="700"/>
      <c r="W50" s="703"/>
      <c r="X50" s="110">
        <v>36</v>
      </c>
    </row>
    <row r="51" spans="1:24" s="80" customFormat="1" ht="56.25" x14ac:dyDescent="0.25">
      <c r="A51" s="112">
        <v>7</v>
      </c>
      <c r="B51" s="109" t="s">
        <v>56</v>
      </c>
      <c r="C51" s="109" t="s">
        <v>147</v>
      </c>
      <c r="D51" s="109" t="s">
        <v>158</v>
      </c>
      <c r="E51" s="113" t="s">
        <v>196</v>
      </c>
      <c r="F51" s="120">
        <v>45289</v>
      </c>
      <c r="G51" s="114" t="s">
        <v>197</v>
      </c>
      <c r="H51" s="115">
        <v>21000</v>
      </c>
      <c r="I51" s="116">
        <f>IF(X51 = 39, H51 + SUM(S51:S51) - SUM(T51:T51) - SUM(P51:P51) - V51,0)</f>
        <v>12000</v>
      </c>
      <c r="J51" s="117">
        <v>235306577600</v>
      </c>
      <c r="K51" s="118" t="s">
        <v>200</v>
      </c>
      <c r="L51" s="113" t="s">
        <v>147</v>
      </c>
      <c r="M51" s="109" t="s">
        <v>175</v>
      </c>
      <c r="N51" s="120">
        <v>45382</v>
      </c>
      <c r="O51" s="120" t="s">
        <v>198</v>
      </c>
      <c r="P51" s="145">
        <v>9000</v>
      </c>
      <c r="Q51" s="114">
        <v>45384</v>
      </c>
      <c r="R51" s="113"/>
      <c r="S51" s="115"/>
      <c r="T51" s="115"/>
      <c r="U51" s="115"/>
      <c r="V51" s="119"/>
      <c r="W51" s="111"/>
      <c r="X51" s="80">
        <v>39</v>
      </c>
    </row>
    <row r="52" spans="1:24" s="80" customFormat="1" ht="56.25" x14ac:dyDescent="0.25">
      <c r="A52" s="112">
        <v>8</v>
      </c>
      <c r="B52" s="109" t="s">
        <v>56</v>
      </c>
      <c r="C52" s="113" t="s">
        <v>147</v>
      </c>
      <c r="D52" s="109" t="s">
        <v>158</v>
      </c>
      <c r="E52" s="113" t="s">
        <v>116</v>
      </c>
      <c r="F52" s="123">
        <v>45289</v>
      </c>
      <c r="G52" s="114" t="s">
        <v>199</v>
      </c>
      <c r="H52" s="115">
        <v>5179.24</v>
      </c>
      <c r="I52" s="116">
        <f>IF(X52 = 40, H52 + SUM(S52:S52) - SUM(T52:T52) - SUM(P52:P52) - V52,0)</f>
        <v>0</v>
      </c>
      <c r="J52" s="117">
        <v>2353023951</v>
      </c>
      <c r="K52" s="118" t="s">
        <v>201</v>
      </c>
      <c r="L52" s="113" t="s">
        <v>147</v>
      </c>
      <c r="M52" s="109" t="s">
        <v>202</v>
      </c>
      <c r="N52" s="123">
        <v>45321</v>
      </c>
      <c r="O52" s="120" t="s">
        <v>203</v>
      </c>
      <c r="P52" s="145">
        <v>5179.24</v>
      </c>
      <c r="Q52" s="114">
        <v>45327</v>
      </c>
      <c r="R52" s="113"/>
      <c r="S52" s="115"/>
      <c r="T52" s="115"/>
      <c r="U52" s="115"/>
      <c r="V52" s="119"/>
      <c r="W52" s="121"/>
      <c r="X52" s="80">
        <v>40</v>
      </c>
    </row>
    <row r="53" spans="1:24" s="80" customFormat="1" ht="108" customHeight="1" x14ac:dyDescent="0.25">
      <c r="A53" s="512">
        <v>9</v>
      </c>
      <c r="B53" s="521" t="s">
        <v>56</v>
      </c>
      <c r="C53" s="521" t="s">
        <v>147</v>
      </c>
      <c r="D53" s="521" t="s">
        <v>158</v>
      </c>
      <c r="E53" s="521" t="s">
        <v>116</v>
      </c>
      <c r="F53" s="515">
        <v>45289</v>
      </c>
      <c r="G53" s="578" t="s">
        <v>204</v>
      </c>
      <c r="H53" s="518">
        <v>63000</v>
      </c>
      <c r="I53" s="586">
        <f>IF(X53 = 41, H53 + SUM(S53:S56) - SUM(T53:T56) - SUM(P53:P56) - V53,0)</f>
        <v>34750</v>
      </c>
      <c r="J53" s="551">
        <v>2353017179</v>
      </c>
      <c r="K53" s="554" t="s">
        <v>205</v>
      </c>
      <c r="L53" s="521" t="s">
        <v>147</v>
      </c>
      <c r="M53" s="521" t="s">
        <v>175</v>
      </c>
      <c r="N53" s="314">
        <v>45322</v>
      </c>
      <c r="O53" s="515" t="s">
        <v>203</v>
      </c>
      <c r="P53" s="303">
        <v>6950</v>
      </c>
      <c r="Q53" s="304">
        <v>45331</v>
      </c>
      <c r="R53" s="305"/>
      <c r="S53" s="306"/>
      <c r="T53" s="306"/>
      <c r="U53" s="518"/>
      <c r="V53" s="524"/>
      <c r="W53" s="583"/>
      <c r="X53" s="80">
        <v>41</v>
      </c>
    </row>
    <row r="54" spans="1:24" s="110" customFormat="1" x14ac:dyDescent="0.25">
      <c r="A54" s="513"/>
      <c r="B54" s="522"/>
      <c r="C54" s="522"/>
      <c r="D54" s="522"/>
      <c r="E54" s="522"/>
      <c r="F54" s="516"/>
      <c r="G54" s="579"/>
      <c r="H54" s="519"/>
      <c r="I54" s="587"/>
      <c r="J54" s="552"/>
      <c r="K54" s="555"/>
      <c r="L54" s="522"/>
      <c r="M54" s="522"/>
      <c r="N54" s="315">
        <v>45351</v>
      </c>
      <c r="O54" s="516"/>
      <c r="P54" s="307">
        <v>7200</v>
      </c>
      <c r="Q54" s="308">
        <v>45365</v>
      </c>
      <c r="R54" s="309"/>
      <c r="S54" s="310"/>
      <c r="T54" s="310"/>
      <c r="U54" s="519"/>
      <c r="V54" s="525"/>
      <c r="W54" s="584"/>
      <c r="X54" s="110">
        <v>41</v>
      </c>
    </row>
    <row r="55" spans="1:24" s="110" customFormat="1" x14ac:dyDescent="0.25">
      <c r="A55" s="513"/>
      <c r="B55" s="522"/>
      <c r="C55" s="522"/>
      <c r="D55" s="522"/>
      <c r="E55" s="522"/>
      <c r="F55" s="516"/>
      <c r="G55" s="579"/>
      <c r="H55" s="519"/>
      <c r="I55" s="587"/>
      <c r="J55" s="552"/>
      <c r="K55" s="555"/>
      <c r="L55" s="522"/>
      <c r="M55" s="522"/>
      <c r="N55" s="315">
        <v>45382</v>
      </c>
      <c r="O55" s="516"/>
      <c r="P55" s="307">
        <v>6900</v>
      </c>
      <c r="Q55" s="308">
        <v>45393</v>
      </c>
      <c r="R55" s="309"/>
      <c r="S55" s="310"/>
      <c r="T55" s="310"/>
      <c r="U55" s="519"/>
      <c r="V55" s="525"/>
      <c r="W55" s="584"/>
      <c r="X55" s="110">
        <v>41</v>
      </c>
    </row>
    <row r="56" spans="1:24" s="110" customFormat="1" x14ac:dyDescent="0.25">
      <c r="A56" s="514"/>
      <c r="B56" s="523"/>
      <c r="C56" s="523"/>
      <c r="D56" s="523"/>
      <c r="E56" s="523"/>
      <c r="F56" s="517"/>
      <c r="G56" s="580"/>
      <c r="H56" s="520"/>
      <c r="I56" s="588"/>
      <c r="J56" s="553"/>
      <c r="K56" s="556"/>
      <c r="L56" s="523"/>
      <c r="M56" s="523"/>
      <c r="N56" s="316">
        <v>45412</v>
      </c>
      <c r="O56" s="517"/>
      <c r="P56" s="390">
        <v>7200</v>
      </c>
      <c r="Q56" s="312">
        <v>45428</v>
      </c>
      <c r="R56" s="313"/>
      <c r="S56" s="311"/>
      <c r="T56" s="311"/>
      <c r="U56" s="520"/>
      <c r="V56" s="526"/>
      <c r="W56" s="585"/>
      <c r="X56" s="110">
        <v>41</v>
      </c>
    </row>
    <row r="57" spans="1:24" s="80" customFormat="1" ht="56.25" x14ac:dyDescent="0.25">
      <c r="A57" s="112">
        <v>10</v>
      </c>
      <c r="B57" s="109" t="s">
        <v>56</v>
      </c>
      <c r="C57" s="113" t="s">
        <v>147</v>
      </c>
      <c r="D57" s="109" t="s">
        <v>158</v>
      </c>
      <c r="E57" s="113" t="s">
        <v>36</v>
      </c>
      <c r="F57" s="124">
        <v>45289</v>
      </c>
      <c r="G57" s="114" t="s">
        <v>206</v>
      </c>
      <c r="H57" s="115">
        <v>3600</v>
      </c>
      <c r="I57" s="116">
        <f>IF(X57 = 42, H57 + SUM(S57:S57) - SUM(T57:T57) - SUM(P57:P57) - V57,0)</f>
        <v>2700</v>
      </c>
      <c r="J57" s="117">
        <v>2369000660</v>
      </c>
      <c r="K57" s="118" t="s">
        <v>207</v>
      </c>
      <c r="L57" s="113" t="s">
        <v>147</v>
      </c>
      <c r="M57" s="109" t="s">
        <v>175</v>
      </c>
      <c r="N57" s="124">
        <v>45382</v>
      </c>
      <c r="O57" s="124" t="s">
        <v>203</v>
      </c>
      <c r="P57" s="145">
        <v>900</v>
      </c>
      <c r="Q57" s="114">
        <v>45384</v>
      </c>
      <c r="R57" s="113"/>
      <c r="S57" s="115"/>
      <c r="T57" s="115"/>
      <c r="U57" s="115"/>
      <c r="V57" s="119"/>
      <c r="W57" s="122"/>
      <c r="X57" s="80">
        <v>42</v>
      </c>
    </row>
    <row r="58" spans="1:24" s="80" customFormat="1" ht="36" customHeight="1" x14ac:dyDescent="0.25">
      <c r="A58" s="482">
        <v>11</v>
      </c>
      <c r="B58" s="491" t="s">
        <v>56</v>
      </c>
      <c r="C58" s="491" t="s">
        <v>147</v>
      </c>
      <c r="D58" s="491" t="s">
        <v>158</v>
      </c>
      <c r="E58" s="491" t="s">
        <v>211</v>
      </c>
      <c r="F58" s="485">
        <v>45289</v>
      </c>
      <c r="G58" s="500" t="s">
        <v>208</v>
      </c>
      <c r="H58" s="488">
        <v>4500</v>
      </c>
      <c r="I58" s="503">
        <f>IF(X58 = 43, H58 + SUM(S58:S62) - SUM(T58:T62) - SUM(P58:P62) - V58,0)</f>
        <v>2564.4</v>
      </c>
      <c r="J58" s="506">
        <v>7707049388</v>
      </c>
      <c r="K58" s="509" t="s">
        <v>209</v>
      </c>
      <c r="L58" s="491" t="s">
        <v>210</v>
      </c>
      <c r="M58" s="491" t="s">
        <v>175</v>
      </c>
      <c r="N58" s="348">
        <v>45322</v>
      </c>
      <c r="O58" s="485" t="s">
        <v>203</v>
      </c>
      <c r="P58" s="337">
        <v>375.6</v>
      </c>
      <c r="Q58" s="338">
        <v>45328</v>
      </c>
      <c r="R58" s="339"/>
      <c r="S58" s="340"/>
      <c r="T58" s="340"/>
      <c r="U58" s="488"/>
      <c r="V58" s="494"/>
      <c r="W58" s="497"/>
      <c r="X58" s="80">
        <v>43</v>
      </c>
    </row>
    <row r="59" spans="1:24" s="110" customFormat="1" x14ac:dyDescent="0.25">
      <c r="A59" s="483"/>
      <c r="B59" s="492"/>
      <c r="C59" s="492"/>
      <c r="D59" s="492"/>
      <c r="E59" s="492"/>
      <c r="F59" s="486"/>
      <c r="G59" s="501"/>
      <c r="H59" s="489"/>
      <c r="I59" s="504"/>
      <c r="J59" s="507"/>
      <c r="K59" s="510"/>
      <c r="L59" s="492"/>
      <c r="M59" s="492"/>
      <c r="N59" s="349">
        <v>45351</v>
      </c>
      <c r="O59" s="486"/>
      <c r="P59" s="341">
        <v>390</v>
      </c>
      <c r="Q59" s="342">
        <v>45363</v>
      </c>
      <c r="R59" s="343"/>
      <c r="S59" s="344"/>
      <c r="T59" s="344"/>
      <c r="U59" s="489"/>
      <c r="V59" s="495"/>
      <c r="W59" s="498"/>
      <c r="X59" s="110">
        <v>43</v>
      </c>
    </row>
    <row r="60" spans="1:24" s="110" customFormat="1" x14ac:dyDescent="0.25">
      <c r="A60" s="483"/>
      <c r="B60" s="492"/>
      <c r="C60" s="492"/>
      <c r="D60" s="492"/>
      <c r="E60" s="492"/>
      <c r="F60" s="486"/>
      <c r="G60" s="501"/>
      <c r="H60" s="489"/>
      <c r="I60" s="504"/>
      <c r="J60" s="507"/>
      <c r="K60" s="510"/>
      <c r="L60" s="492"/>
      <c r="M60" s="492"/>
      <c r="N60" s="349">
        <v>45382</v>
      </c>
      <c r="O60" s="486"/>
      <c r="P60" s="341">
        <v>390</v>
      </c>
      <c r="Q60" s="342">
        <v>45391</v>
      </c>
      <c r="R60" s="343"/>
      <c r="S60" s="344"/>
      <c r="T60" s="344"/>
      <c r="U60" s="489"/>
      <c r="V60" s="495"/>
      <c r="W60" s="498"/>
      <c r="X60" s="110">
        <v>43</v>
      </c>
    </row>
    <row r="61" spans="1:24" s="110" customFormat="1" x14ac:dyDescent="0.25">
      <c r="A61" s="483"/>
      <c r="B61" s="492"/>
      <c r="C61" s="492"/>
      <c r="D61" s="492"/>
      <c r="E61" s="492"/>
      <c r="F61" s="486"/>
      <c r="G61" s="501"/>
      <c r="H61" s="489"/>
      <c r="I61" s="504"/>
      <c r="J61" s="507"/>
      <c r="K61" s="510"/>
      <c r="L61" s="492"/>
      <c r="M61" s="492"/>
      <c r="N61" s="349">
        <v>45412</v>
      </c>
      <c r="O61" s="486"/>
      <c r="P61" s="341">
        <v>390</v>
      </c>
      <c r="Q61" s="342">
        <v>45420</v>
      </c>
      <c r="R61" s="343"/>
      <c r="S61" s="344"/>
      <c r="T61" s="344"/>
      <c r="U61" s="489"/>
      <c r="V61" s="495"/>
      <c r="W61" s="498"/>
      <c r="X61" s="110">
        <v>43</v>
      </c>
    </row>
    <row r="62" spans="1:24" s="110" customFormat="1" x14ac:dyDescent="0.25">
      <c r="A62" s="484"/>
      <c r="B62" s="493"/>
      <c r="C62" s="493"/>
      <c r="D62" s="493"/>
      <c r="E62" s="493"/>
      <c r="F62" s="487"/>
      <c r="G62" s="502"/>
      <c r="H62" s="490"/>
      <c r="I62" s="505"/>
      <c r="J62" s="508"/>
      <c r="K62" s="511"/>
      <c r="L62" s="493"/>
      <c r="M62" s="493"/>
      <c r="N62" s="350">
        <v>45443</v>
      </c>
      <c r="O62" s="487"/>
      <c r="P62" s="345">
        <v>390</v>
      </c>
      <c r="Q62" s="346"/>
      <c r="R62" s="347"/>
      <c r="S62" s="345"/>
      <c r="T62" s="345"/>
      <c r="U62" s="490"/>
      <c r="V62" s="496"/>
      <c r="W62" s="499"/>
      <c r="X62" s="110">
        <v>43</v>
      </c>
    </row>
    <row r="63" spans="1:24" s="80" customFormat="1" ht="56.25" x14ac:dyDescent="0.25">
      <c r="A63" s="133">
        <v>12</v>
      </c>
      <c r="B63" s="109" t="s">
        <v>56</v>
      </c>
      <c r="C63" s="125" t="s">
        <v>147</v>
      </c>
      <c r="D63" s="109" t="s">
        <v>158</v>
      </c>
      <c r="E63" s="125" t="s">
        <v>212</v>
      </c>
      <c r="F63" s="134">
        <v>45289</v>
      </c>
      <c r="G63" s="126" t="s">
        <v>213</v>
      </c>
      <c r="H63" s="127">
        <v>50</v>
      </c>
      <c r="I63" s="128">
        <f>IF(X63 = 44, H63 + SUM(S63:S63) - SUM(T63:T63) - SUM(P63:P63) - V63,0)</f>
        <v>50</v>
      </c>
      <c r="J63" s="129">
        <v>7707049388</v>
      </c>
      <c r="K63" s="130" t="s">
        <v>209</v>
      </c>
      <c r="L63" s="125" t="s">
        <v>147</v>
      </c>
      <c r="M63" s="125" t="s">
        <v>175</v>
      </c>
      <c r="N63" s="134"/>
      <c r="O63" s="124" t="s">
        <v>203</v>
      </c>
      <c r="P63" s="127"/>
      <c r="Q63" s="126"/>
      <c r="R63" s="125"/>
      <c r="S63" s="127"/>
      <c r="T63" s="127"/>
      <c r="U63" s="127"/>
      <c r="V63" s="131"/>
      <c r="W63" s="132"/>
      <c r="X63" s="80">
        <v>44</v>
      </c>
    </row>
    <row r="64" spans="1:24" s="80" customFormat="1" ht="36" customHeight="1" x14ac:dyDescent="0.25">
      <c r="A64" s="569">
        <v>13</v>
      </c>
      <c r="B64" s="581" t="s">
        <v>56</v>
      </c>
      <c r="C64" s="581" t="s">
        <v>147</v>
      </c>
      <c r="D64" s="581" t="s">
        <v>158</v>
      </c>
      <c r="E64" s="581" t="s">
        <v>117</v>
      </c>
      <c r="F64" s="572">
        <v>45323</v>
      </c>
      <c r="G64" s="705" t="s">
        <v>199</v>
      </c>
      <c r="H64" s="695">
        <v>38479.32</v>
      </c>
      <c r="I64" s="708">
        <f>IF(X64 = 45, H64 + SUM(S64:S67) - SUM(T64:T67) - SUM(P64:P67) - V64,0)</f>
        <v>35629</v>
      </c>
      <c r="J64" s="711">
        <v>2353023951</v>
      </c>
      <c r="K64" s="714" t="s">
        <v>201</v>
      </c>
      <c r="L64" s="581" t="s">
        <v>147</v>
      </c>
      <c r="M64" s="581" t="s">
        <v>216</v>
      </c>
      <c r="N64" s="371">
        <v>45350</v>
      </c>
      <c r="O64" s="572" t="s">
        <v>203</v>
      </c>
      <c r="P64" s="351">
        <v>173.8</v>
      </c>
      <c r="Q64" s="352">
        <v>45352</v>
      </c>
      <c r="R64" s="353"/>
      <c r="S64" s="354"/>
      <c r="T64" s="354"/>
      <c r="U64" s="695"/>
      <c r="V64" s="699"/>
      <c r="W64" s="702"/>
      <c r="X64" s="80">
        <v>45</v>
      </c>
    </row>
    <row r="65" spans="1:24" s="110" customFormat="1" x14ac:dyDescent="0.25">
      <c r="A65" s="570"/>
      <c r="B65" s="582"/>
      <c r="C65" s="582"/>
      <c r="D65" s="582"/>
      <c r="E65" s="582"/>
      <c r="F65" s="573"/>
      <c r="G65" s="706"/>
      <c r="H65" s="696"/>
      <c r="I65" s="709"/>
      <c r="J65" s="712"/>
      <c r="K65" s="715"/>
      <c r="L65" s="582"/>
      <c r="M65" s="582"/>
      <c r="N65" s="372">
        <v>45380</v>
      </c>
      <c r="O65" s="573"/>
      <c r="P65" s="355">
        <v>729.96</v>
      </c>
      <c r="Q65" s="356">
        <v>45385</v>
      </c>
      <c r="R65" s="357"/>
      <c r="S65" s="358"/>
      <c r="T65" s="358"/>
      <c r="U65" s="696"/>
      <c r="V65" s="700"/>
      <c r="W65" s="703"/>
      <c r="X65" s="110">
        <v>45</v>
      </c>
    </row>
    <row r="66" spans="1:24" s="110" customFormat="1" x14ac:dyDescent="0.25">
      <c r="A66" s="570"/>
      <c r="B66" s="582"/>
      <c r="C66" s="582"/>
      <c r="D66" s="582"/>
      <c r="E66" s="582"/>
      <c r="F66" s="573"/>
      <c r="G66" s="706"/>
      <c r="H66" s="696"/>
      <c r="I66" s="709"/>
      <c r="J66" s="712"/>
      <c r="K66" s="715"/>
      <c r="L66" s="582"/>
      <c r="M66" s="582"/>
      <c r="N66" s="372">
        <v>45412</v>
      </c>
      <c r="O66" s="573"/>
      <c r="P66" s="355">
        <v>1390.4</v>
      </c>
      <c r="Q66" s="356">
        <v>45420</v>
      </c>
      <c r="R66" s="357"/>
      <c r="S66" s="358"/>
      <c r="T66" s="358"/>
      <c r="U66" s="696"/>
      <c r="V66" s="700"/>
      <c r="W66" s="703"/>
      <c r="X66" s="110">
        <v>45</v>
      </c>
    </row>
    <row r="67" spans="1:24" s="110" customFormat="1" x14ac:dyDescent="0.25">
      <c r="A67" s="571"/>
      <c r="B67" s="698"/>
      <c r="C67" s="698"/>
      <c r="D67" s="698"/>
      <c r="E67" s="698"/>
      <c r="F67" s="574"/>
      <c r="G67" s="707"/>
      <c r="H67" s="697"/>
      <c r="I67" s="710"/>
      <c r="J67" s="713"/>
      <c r="K67" s="716"/>
      <c r="L67" s="698"/>
      <c r="M67" s="698"/>
      <c r="N67" s="373">
        <v>45440</v>
      </c>
      <c r="O67" s="574"/>
      <c r="P67" s="366">
        <v>556.16</v>
      </c>
      <c r="Q67" s="367"/>
      <c r="R67" s="368"/>
      <c r="S67" s="366"/>
      <c r="T67" s="366"/>
      <c r="U67" s="697"/>
      <c r="V67" s="701"/>
      <c r="W67" s="704"/>
      <c r="X67" s="110">
        <v>45</v>
      </c>
    </row>
    <row r="68" spans="1:24" s="80" customFormat="1" ht="42" customHeight="1" x14ac:dyDescent="0.25">
      <c r="A68" s="135">
        <v>14</v>
      </c>
      <c r="B68" s="109" t="s">
        <v>56</v>
      </c>
      <c r="C68" s="136" t="s">
        <v>147</v>
      </c>
      <c r="D68" s="109" t="s">
        <v>158</v>
      </c>
      <c r="E68" s="136" t="s">
        <v>217</v>
      </c>
      <c r="F68" s="144">
        <v>45289</v>
      </c>
      <c r="G68" s="137" t="s">
        <v>218</v>
      </c>
      <c r="H68" s="138">
        <v>12135.8</v>
      </c>
      <c r="I68" s="139">
        <f>IF(X68 = 46, H68 + SUM(S68:S68) - SUM(T68:T68) - SUM(P68:P68) - V68,0)</f>
        <v>9101.8459999999995</v>
      </c>
      <c r="J68" s="140">
        <v>2353018870</v>
      </c>
      <c r="K68" s="141" t="s">
        <v>219</v>
      </c>
      <c r="L68" s="136" t="s">
        <v>147</v>
      </c>
      <c r="M68" s="136" t="s">
        <v>175</v>
      </c>
      <c r="N68" s="144">
        <v>45376</v>
      </c>
      <c r="O68" s="124" t="s">
        <v>203</v>
      </c>
      <c r="P68" s="152">
        <v>3033.9540000000002</v>
      </c>
      <c r="Q68" s="137">
        <v>45378</v>
      </c>
      <c r="R68" s="136"/>
      <c r="S68" s="138"/>
      <c r="T68" s="138"/>
      <c r="U68" s="138"/>
      <c r="V68" s="142"/>
      <c r="W68" s="143"/>
      <c r="X68" s="80">
        <v>46</v>
      </c>
    </row>
    <row r="69" spans="1:24" s="80" customFormat="1" ht="56.25" x14ac:dyDescent="0.25">
      <c r="A69" s="135">
        <v>15</v>
      </c>
      <c r="B69" s="109" t="s">
        <v>56</v>
      </c>
      <c r="C69" s="136" t="s">
        <v>147</v>
      </c>
      <c r="D69" s="109" t="s">
        <v>158</v>
      </c>
      <c r="E69" s="136" t="s">
        <v>111</v>
      </c>
      <c r="F69" s="144">
        <v>45317</v>
      </c>
      <c r="G69" s="137" t="s">
        <v>220</v>
      </c>
      <c r="H69" s="138">
        <v>3000</v>
      </c>
      <c r="I69" s="139">
        <f>IF(X69 = 47, H69 + SUM(S69:S69) - SUM(T69:T69) - SUM(P69:P69) - V69,0)</f>
        <v>0</v>
      </c>
      <c r="J69" s="140">
        <v>2369980106</v>
      </c>
      <c r="K69" s="141" t="s">
        <v>222</v>
      </c>
      <c r="L69" s="136" t="s">
        <v>147</v>
      </c>
      <c r="M69" s="136" t="s">
        <v>223</v>
      </c>
      <c r="N69" s="144">
        <v>45324</v>
      </c>
      <c r="O69" s="124" t="s">
        <v>203</v>
      </c>
      <c r="P69" s="152">
        <v>3000</v>
      </c>
      <c r="Q69" s="137">
        <v>45335</v>
      </c>
      <c r="R69" s="136"/>
      <c r="S69" s="138"/>
      <c r="T69" s="138"/>
      <c r="U69" s="138"/>
      <c r="V69" s="142"/>
      <c r="W69" s="143"/>
      <c r="X69" s="80">
        <v>47</v>
      </c>
    </row>
    <row r="70" spans="1:24" s="80" customFormat="1" ht="56.25" x14ac:dyDescent="0.25">
      <c r="A70" s="135">
        <v>16</v>
      </c>
      <c r="B70" s="109" t="s">
        <v>56</v>
      </c>
      <c r="C70" s="136" t="s">
        <v>147</v>
      </c>
      <c r="D70" s="109" t="s">
        <v>158</v>
      </c>
      <c r="E70" s="136" t="s">
        <v>112</v>
      </c>
      <c r="F70" s="144">
        <v>45320</v>
      </c>
      <c r="G70" s="137" t="s">
        <v>221</v>
      </c>
      <c r="H70" s="138">
        <v>1500</v>
      </c>
      <c r="I70" s="139">
        <f>IF(X70 = 48, H70 + SUM(S70:S70) - SUM(T70:T70) - SUM(P70:P70) - V70,0)</f>
        <v>0</v>
      </c>
      <c r="J70" s="140">
        <v>2369980106</v>
      </c>
      <c r="K70" s="141" t="s">
        <v>222</v>
      </c>
      <c r="L70" s="136" t="s">
        <v>147</v>
      </c>
      <c r="M70" s="136" t="s">
        <v>224</v>
      </c>
      <c r="N70" s="144">
        <v>45324</v>
      </c>
      <c r="O70" s="124" t="s">
        <v>203</v>
      </c>
      <c r="P70" s="152">
        <v>1500</v>
      </c>
      <c r="Q70" s="137">
        <v>45335</v>
      </c>
      <c r="R70" s="136"/>
      <c r="S70" s="138"/>
      <c r="T70" s="138"/>
      <c r="U70" s="138"/>
      <c r="V70" s="142"/>
      <c r="W70" s="143"/>
      <c r="X70" s="80">
        <v>48</v>
      </c>
    </row>
    <row r="71" spans="1:24" s="80" customFormat="1" ht="36" customHeight="1" x14ac:dyDescent="0.25">
      <c r="A71" s="631">
        <v>17</v>
      </c>
      <c r="B71" s="527" t="s">
        <v>56</v>
      </c>
      <c r="C71" s="527" t="s">
        <v>147</v>
      </c>
      <c r="D71" s="527" t="s">
        <v>158</v>
      </c>
      <c r="E71" s="527" t="s">
        <v>226</v>
      </c>
      <c r="F71" s="530">
        <v>45290</v>
      </c>
      <c r="G71" s="533" t="s">
        <v>227</v>
      </c>
      <c r="H71" s="538">
        <v>12916.8</v>
      </c>
      <c r="I71" s="540">
        <f>IF(X71 = 49, H71 + SUM(S71:S73) - SUM(T71:T73) - SUM(P71:P73) - V71,0)</f>
        <v>-1.4779288903810084E-12</v>
      </c>
      <c r="J71" s="542">
        <v>235300582900</v>
      </c>
      <c r="K71" s="544" t="s">
        <v>230</v>
      </c>
      <c r="L71" s="527" t="s">
        <v>147</v>
      </c>
      <c r="M71" s="527" t="s">
        <v>228</v>
      </c>
      <c r="N71" s="181">
        <v>45324</v>
      </c>
      <c r="O71" s="530" t="s">
        <v>203</v>
      </c>
      <c r="P71" s="171">
        <v>4222.8</v>
      </c>
      <c r="Q71" s="172">
        <v>45336</v>
      </c>
      <c r="R71" s="173"/>
      <c r="S71" s="174"/>
      <c r="T71" s="174"/>
      <c r="U71" s="538" t="s">
        <v>263</v>
      </c>
      <c r="V71" s="575">
        <v>993.6</v>
      </c>
      <c r="W71" s="536"/>
      <c r="X71" s="80">
        <v>49</v>
      </c>
    </row>
    <row r="72" spans="1:24" s="110" customFormat="1" x14ac:dyDescent="0.25">
      <c r="A72" s="632"/>
      <c r="B72" s="528"/>
      <c r="C72" s="528"/>
      <c r="D72" s="528"/>
      <c r="E72" s="528"/>
      <c r="F72" s="531"/>
      <c r="G72" s="534"/>
      <c r="H72" s="539"/>
      <c r="I72" s="541"/>
      <c r="J72" s="543"/>
      <c r="K72" s="545"/>
      <c r="L72" s="528"/>
      <c r="M72" s="528"/>
      <c r="N72" s="182">
        <v>45356</v>
      </c>
      <c r="O72" s="531"/>
      <c r="P72" s="196">
        <v>4843.8</v>
      </c>
      <c r="Q72" s="176">
        <v>45384</v>
      </c>
      <c r="R72" s="177"/>
      <c r="S72" s="175"/>
      <c r="T72" s="175"/>
      <c r="U72" s="539"/>
      <c r="V72" s="576"/>
      <c r="W72" s="537"/>
      <c r="X72" s="110">
        <v>49</v>
      </c>
    </row>
    <row r="73" spans="1:24" s="110" customFormat="1" x14ac:dyDescent="0.25">
      <c r="A73" s="633"/>
      <c r="B73" s="529"/>
      <c r="C73" s="529"/>
      <c r="D73" s="529"/>
      <c r="E73" s="529"/>
      <c r="F73" s="532"/>
      <c r="G73" s="535"/>
      <c r="H73" s="547"/>
      <c r="I73" s="548"/>
      <c r="J73" s="549"/>
      <c r="K73" s="550"/>
      <c r="L73" s="529"/>
      <c r="M73" s="529"/>
      <c r="N73" s="183">
        <v>45373</v>
      </c>
      <c r="O73" s="532"/>
      <c r="P73" s="242">
        <v>2856.6</v>
      </c>
      <c r="Q73" s="179">
        <v>45386</v>
      </c>
      <c r="R73" s="180"/>
      <c r="S73" s="178"/>
      <c r="T73" s="178"/>
      <c r="U73" s="547"/>
      <c r="V73" s="577"/>
      <c r="W73" s="546"/>
      <c r="X73" s="110">
        <v>49</v>
      </c>
    </row>
    <row r="74" spans="1:24" s="80" customFormat="1" ht="36" customHeight="1" x14ac:dyDescent="0.25">
      <c r="A74" s="631">
        <v>18</v>
      </c>
      <c r="B74" s="527" t="s">
        <v>56</v>
      </c>
      <c r="C74" s="527" t="s">
        <v>147</v>
      </c>
      <c r="D74" s="527" t="s">
        <v>158</v>
      </c>
      <c r="E74" s="527" t="s">
        <v>225</v>
      </c>
      <c r="F74" s="530">
        <v>45290</v>
      </c>
      <c r="G74" s="533" t="s">
        <v>229</v>
      </c>
      <c r="H74" s="538">
        <v>52624</v>
      </c>
      <c r="I74" s="540">
        <f>IF(X74 = 50, H74 + SUM(S74:S76) - SUM(T74:T76) - SUM(P74:P76) - V74,0)</f>
        <v>1.8189894035458565E-12</v>
      </c>
      <c r="J74" s="542">
        <v>235300582900</v>
      </c>
      <c r="K74" s="544" t="s">
        <v>171</v>
      </c>
      <c r="L74" s="527" t="s">
        <v>147</v>
      </c>
      <c r="M74" s="527" t="s">
        <v>228</v>
      </c>
      <c r="N74" s="181">
        <v>45324</v>
      </c>
      <c r="O74" s="530" t="s">
        <v>203</v>
      </c>
      <c r="P74" s="171">
        <v>13787.4</v>
      </c>
      <c r="Q74" s="172">
        <v>45338</v>
      </c>
      <c r="R74" s="173"/>
      <c r="S74" s="174"/>
      <c r="T74" s="174"/>
      <c r="U74" s="538" t="s">
        <v>263</v>
      </c>
      <c r="V74" s="575">
        <v>15740.4</v>
      </c>
      <c r="W74" s="536"/>
      <c r="X74" s="80">
        <v>50</v>
      </c>
    </row>
    <row r="75" spans="1:24" s="110" customFormat="1" x14ac:dyDescent="0.25">
      <c r="A75" s="632"/>
      <c r="B75" s="528"/>
      <c r="C75" s="528"/>
      <c r="D75" s="528"/>
      <c r="E75" s="528"/>
      <c r="F75" s="531"/>
      <c r="G75" s="534"/>
      <c r="H75" s="539"/>
      <c r="I75" s="541"/>
      <c r="J75" s="543"/>
      <c r="K75" s="545"/>
      <c r="L75" s="528"/>
      <c r="M75" s="528"/>
      <c r="N75" s="182"/>
      <c r="O75" s="531"/>
      <c r="P75" s="196">
        <v>12618.8</v>
      </c>
      <c r="Q75" s="176">
        <v>45365</v>
      </c>
      <c r="R75" s="177"/>
      <c r="S75" s="175"/>
      <c r="T75" s="175"/>
      <c r="U75" s="539"/>
      <c r="V75" s="576"/>
      <c r="W75" s="537"/>
      <c r="X75" s="110">
        <v>50</v>
      </c>
    </row>
    <row r="76" spans="1:24" s="110" customFormat="1" x14ac:dyDescent="0.25">
      <c r="A76" s="633"/>
      <c r="B76" s="529"/>
      <c r="C76" s="529"/>
      <c r="D76" s="529"/>
      <c r="E76" s="529"/>
      <c r="F76" s="532"/>
      <c r="G76" s="535"/>
      <c r="H76" s="547"/>
      <c r="I76" s="548"/>
      <c r="J76" s="549"/>
      <c r="K76" s="550"/>
      <c r="L76" s="529"/>
      <c r="M76" s="529"/>
      <c r="N76" s="183">
        <v>45373</v>
      </c>
      <c r="O76" s="532"/>
      <c r="P76" s="242">
        <v>10477.4</v>
      </c>
      <c r="Q76" s="179">
        <v>45386</v>
      </c>
      <c r="R76" s="180"/>
      <c r="S76" s="178"/>
      <c r="T76" s="178"/>
      <c r="U76" s="547"/>
      <c r="V76" s="577"/>
      <c r="W76" s="546"/>
      <c r="X76" s="110">
        <v>50</v>
      </c>
    </row>
    <row r="77" spans="1:24" s="80" customFormat="1" ht="72" customHeight="1" x14ac:dyDescent="0.25">
      <c r="A77" s="631">
        <v>19</v>
      </c>
      <c r="B77" s="527" t="s">
        <v>56</v>
      </c>
      <c r="C77" s="527" t="s">
        <v>147</v>
      </c>
      <c r="D77" s="527" t="s">
        <v>158</v>
      </c>
      <c r="E77" s="527" t="s">
        <v>232</v>
      </c>
      <c r="F77" s="530">
        <v>45309</v>
      </c>
      <c r="G77" s="533" t="s">
        <v>233</v>
      </c>
      <c r="H77" s="538">
        <v>23025.599999999999</v>
      </c>
      <c r="I77" s="540">
        <f>IF(X77 = 51, H77 + SUM(S77:S78) - SUM(T77:T78) - SUM(P77:P78) - V77,0)</f>
        <v>-1.8189894035458565E-12</v>
      </c>
      <c r="J77" s="542">
        <v>235300582900</v>
      </c>
      <c r="K77" s="544" t="s">
        <v>171</v>
      </c>
      <c r="L77" s="527" t="s">
        <v>147</v>
      </c>
      <c r="M77" s="527" t="s">
        <v>231</v>
      </c>
      <c r="N77" s="181">
        <v>45324</v>
      </c>
      <c r="O77" s="530" t="s">
        <v>203</v>
      </c>
      <c r="P77" s="171">
        <v>5412</v>
      </c>
      <c r="Q77" s="172">
        <v>45334</v>
      </c>
      <c r="R77" s="173"/>
      <c r="S77" s="174"/>
      <c r="T77" s="174"/>
      <c r="U77" s="538" t="s">
        <v>264</v>
      </c>
      <c r="V77" s="575">
        <v>5928.6</v>
      </c>
      <c r="W77" s="536"/>
      <c r="X77" s="80">
        <v>51</v>
      </c>
    </row>
    <row r="78" spans="1:24" s="110" customFormat="1" x14ac:dyDescent="0.25">
      <c r="A78" s="632"/>
      <c r="B78" s="528"/>
      <c r="C78" s="528"/>
      <c r="D78" s="528"/>
      <c r="E78" s="528"/>
      <c r="F78" s="531"/>
      <c r="G78" s="534"/>
      <c r="H78" s="539"/>
      <c r="I78" s="541"/>
      <c r="J78" s="543"/>
      <c r="K78" s="545"/>
      <c r="L78" s="528"/>
      <c r="M78" s="528"/>
      <c r="N78" s="182">
        <v>45356</v>
      </c>
      <c r="O78" s="531"/>
      <c r="P78" s="196">
        <v>11685</v>
      </c>
      <c r="Q78" s="176">
        <v>45366</v>
      </c>
      <c r="R78" s="177"/>
      <c r="S78" s="175"/>
      <c r="T78" s="175"/>
      <c r="U78" s="539"/>
      <c r="V78" s="576"/>
      <c r="W78" s="537"/>
      <c r="X78" s="110">
        <v>51</v>
      </c>
    </row>
    <row r="79" spans="1:24" s="80" customFormat="1" ht="68.45" customHeight="1" x14ac:dyDescent="0.25">
      <c r="A79" s="153">
        <v>20</v>
      </c>
      <c r="B79" s="154" t="s">
        <v>56</v>
      </c>
      <c r="C79" s="154" t="s">
        <v>147</v>
      </c>
      <c r="D79" s="154" t="s">
        <v>158</v>
      </c>
      <c r="E79" s="154" t="s">
        <v>234</v>
      </c>
      <c r="F79" s="161">
        <v>45351</v>
      </c>
      <c r="G79" s="155" t="s">
        <v>233</v>
      </c>
      <c r="H79" s="156">
        <v>9963</v>
      </c>
      <c r="I79" s="157">
        <f>IF(X79 = 52, H79 + SUM(S79:S79) - SUM(T79:T79) - SUM(P79:P79) - V79,0)</f>
        <v>0</v>
      </c>
      <c r="J79" s="158">
        <v>235300582900</v>
      </c>
      <c r="K79" s="159" t="s">
        <v>171</v>
      </c>
      <c r="L79" s="154" t="s">
        <v>147</v>
      </c>
      <c r="M79" s="154" t="s">
        <v>235</v>
      </c>
      <c r="N79" s="161">
        <v>45373</v>
      </c>
      <c r="O79" s="161" t="s">
        <v>203</v>
      </c>
      <c r="P79" s="244">
        <v>8364</v>
      </c>
      <c r="Q79" s="155">
        <v>45386</v>
      </c>
      <c r="R79" s="154"/>
      <c r="S79" s="156"/>
      <c r="T79" s="156"/>
      <c r="U79" s="156" t="s">
        <v>263</v>
      </c>
      <c r="V79" s="160">
        <v>1599</v>
      </c>
      <c r="W79" s="151"/>
      <c r="X79" s="80">
        <v>52</v>
      </c>
    </row>
    <row r="80" spans="1:24" s="80" customFormat="1" ht="54" customHeight="1" x14ac:dyDescent="0.25">
      <c r="A80" s="621">
        <v>21</v>
      </c>
      <c r="B80" s="627" t="s">
        <v>56</v>
      </c>
      <c r="C80" s="627" t="s">
        <v>147</v>
      </c>
      <c r="D80" s="627" t="s">
        <v>158</v>
      </c>
      <c r="E80" s="627" t="s">
        <v>129</v>
      </c>
      <c r="F80" s="623">
        <v>45380</v>
      </c>
      <c r="G80" s="660" t="s">
        <v>245</v>
      </c>
      <c r="H80" s="625">
        <v>275947.56</v>
      </c>
      <c r="I80" s="662">
        <f>IF(X80 = 53, H80 + SUM(S80:S81) - SUM(T80:T81) - SUM(P80:P81) - V80,0)</f>
        <v>15330.419999999984</v>
      </c>
      <c r="J80" s="664">
        <v>235300582900</v>
      </c>
      <c r="K80" s="666" t="s">
        <v>171</v>
      </c>
      <c r="L80" s="627" t="s">
        <v>147</v>
      </c>
      <c r="M80" s="627" t="s">
        <v>246</v>
      </c>
      <c r="N80" s="323">
        <v>45414</v>
      </c>
      <c r="O80" s="623" t="s">
        <v>203</v>
      </c>
      <c r="P80" s="391">
        <v>152574.18</v>
      </c>
      <c r="Q80" s="318">
        <v>45429</v>
      </c>
      <c r="R80" s="319"/>
      <c r="S80" s="317"/>
      <c r="T80" s="317"/>
      <c r="U80" s="625"/>
      <c r="V80" s="629"/>
      <c r="W80" s="658"/>
      <c r="X80" s="80">
        <v>53</v>
      </c>
    </row>
    <row r="81" spans="1:24" s="110" customFormat="1" x14ac:dyDescent="0.25">
      <c r="A81" s="622"/>
      <c r="B81" s="628"/>
      <c r="C81" s="628"/>
      <c r="D81" s="628"/>
      <c r="E81" s="628"/>
      <c r="F81" s="624"/>
      <c r="G81" s="661"/>
      <c r="H81" s="626"/>
      <c r="I81" s="663"/>
      <c r="J81" s="665"/>
      <c r="K81" s="667"/>
      <c r="L81" s="628"/>
      <c r="M81" s="628"/>
      <c r="N81" s="324">
        <v>45436</v>
      </c>
      <c r="O81" s="624"/>
      <c r="P81" s="320">
        <v>108042.96</v>
      </c>
      <c r="Q81" s="321"/>
      <c r="R81" s="322"/>
      <c r="S81" s="320"/>
      <c r="T81" s="320"/>
      <c r="U81" s="626"/>
      <c r="V81" s="630"/>
      <c r="W81" s="659"/>
      <c r="X81" s="110">
        <v>53</v>
      </c>
    </row>
    <row r="82" spans="1:24" s="80" customFormat="1" ht="36" customHeight="1" x14ac:dyDescent="0.25">
      <c r="A82" s="689">
        <v>22</v>
      </c>
      <c r="B82" s="668" t="s">
        <v>56</v>
      </c>
      <c r="C82" s="668" t="s">
        <v>147</v>
      </c>
      <c r="D82" s="668" t="s">
        <v>158</v>
      </c>
      <c r="E82" s="668" t="s">
        <v>247</v>
      </c>
      <c r="F82" s="671">
        <v>45380</v>
      </c>
      <c r="G82" s="674" t="s">
        <v>229</v>
      </c>
      <c r="H82" s="677">
        <v>36432</v>
      </c>
      <c r="I82" s="680">
        <f>IF(X82 = 54, H82 + SUM(S82:S83) - SUM(T82:T83) - SUM(P82:P83) - V82,0)</f>
        <v>12364.599999999999</v>
      </c>
      <c r="J82" s="683">
        <v>235300582900</v>
      </c>
      <c r="K82" s="686" t="s">
        <v>171</v>
      </c>
      <c r="L82" s="668" t="s">
        <v>147</v>
      </c>
      <c r="M82" s="668" t="s">
        <v>246</v>
      </c>
      <c r="N82" s="331">
        <v>45414</v>
      </c>
      <c r="O82" s="671" t="s">
        <v>203</v>
      </c>
      <c r="P82" s="387">
        <v>14616</v>
      </c>
      <c r="Q82" s="326">
        <v>45427</v>
      </c>
      <c r="R82" s="327"/>
      <c r="S82" s="325"/>
      <c r="T82" s="325"/>
      <c r="U82" s="677"/>
      <c r="V82" s="692"/>
      <c r="W82" s="655"/>
      <c r="X82" s="80">
        <v>54</v>
      </c>
    </row>
    <row r="83" spans="1:24" s="110" customFormat="1" x14ac:dyDescent="0.25">
      <c r="A83" s="691"/>
      <c r="B83" s="670"/>
      <c r="C83" s="670"/>
      <c r="D83" s="670"/>
      <c r="E83" s="670"/>
      <c r="F83" s="673"/>
      <c r="G83" s="676"/>
      <c r="H83" s="679"/>
      <c r="I83" s="682"/>
      <c r="J83" s="685"/>
      <c r="K83" s="688"/>
      <c r="L83" s="670"/>
      <c r="M83" s="670"/>
      <c r="N83" s="332">
        <v>45436</v>
      </c>
      <c r="O83" s="673"/>
      <c r="P83" s="328">
        <v>9451.4</v>
      </c>
      <c r="Q83" s="329"/>
      <c r="R83" s="330"/>
      <c r="S83" s="328"/>
      <c r="T83" s="328"/>
      <c r="U83" s="679"/>
      <c r="V83" s="694"/>
      <c r="W83" s="657"/>
      <c r="X83" s="110">
        <v>54</v>
      </c>
    </row>
    <row r="84" spans="1:24" s="80" customFormat="1" ht="90" customHeight="1" x14ac:dyDescent="0.25">
      <c r="A84" s="689">
        <v>23</v>
      </c>
      <c r="B84" s="668" t="s">
        <v>56</v>
      </c>
      <c r="C84" s="668" t="s">
        <v>147</v>
      </c>
      <c r="D84" s="668" t="s">
        <v>158</v>
      </c>
      <c r="E84" s="668" t="s">
        <v>248</v>
      </c>
      <c r="F84" s="671">
        <v>45380</v>
      </c>
      <c r="G84" s="674" t="s">
        <v>249</v>
      </c>
      <c r="H84" s="677">
        <v>39003.120000000003</v>
      </c>
      <c r="I84" s="680">
        <f>IF(X84 = 55, H84 + SUM(S84:S89) - SUM(T84:T89) - SUM(P84:P89) - V84,0)</f>
        <v>9913.32</v>
      </c>
      <c r="J84" s="683">
        <v>235300582900</v>
      </c>
      <c r="K84" s="686" t="s">
        <v>171</v>
      </c>
      <c r="L84" s="668" t="s">
        <v>147</v>
      </c>
      <c r="M84" s="668" t="s">
        <v>246</v>
      </c>
      <c r="N84" s="331">
        <v>45414</v>
      </c>
      <c r="O84" s="671" t="s">
        <v>203</v>
      </c>
      <c r="P84" s="387">
        <v>3850.2</v>
      </c>
      <c r="Q84" s="326">
        <v>45427</v>
      </c>
      <c r="R84" s="327"/>
      <c r="S84" s="325"/>
      <c r="T84" s="325"/>
      <c r="U84" s="677"/>
      <c r="V84" s="692"/>
      <c r="W84" s="655"/>
      <c r="X84" s="80">
        <v>55</v>
      </c>
    </row>
    <row r="85" spans="1:24" s="110" customFormat="1" x14ac:dyDescent="0.25">
      <c r="A85" s="690"/>
      <c r="B85" s="669"/>
      <c r="C85" s="669"/>
      <c r="D85" s="669"/>
      <c r="E85" s="669"/>
      <c r="F85" s="672"/>
      <c r="G85" s="675"/>
      <c r="H85" s="678"/>
      <c r="I85" s="681"/>
      <c r="J85" s="684"/>
      <c r="K85" s="687"/>
      <c r="L85" s="669"/>
      <c r="M85" s="669"/>
      <c r="N85" s="333">
        <v>45414</v>
      </c>
      <c r="O85" s="672"/>
      <c r="P85" s="388">
        <v>12792</v>
      </c>
      <c r="Q85" s="335">
        <v>45427</v>
      </c>
      <c r="R85" s="336"/>
      <c r="S85" s="334"/>
      <c r="T85" s="334"/>
      <c r="U85" s="678"/>
      <c r="V85" s="693"/>
      <c r="W85" s="656"/>
      <c r="X85" s="110">
        <v>55</v>
      </c>
    </row>
    <row r="86" spans="1:24" s="110" customFormat="1" x14ac:dyDescent="0.25">
      <c r="A86" s="690"/>
      <c r="B86" s="669"/>
      <c r="C86" s="669"/>
      <c r="D86" s="669"/>
      <c r="E86" s="669"/>
      <c r="F86" s="672"/>
      <c r="G86" s="675"/>
      <c r="H86" s="678"/>
      <c r="I86" s="681"/>
      <c r="J86" s="684"/>
      <c r="K86" s="687"/>
      <c r="L86" s="669"/>
      <c r="M86" s="669"/>
      <c r="N86" s="333">
        <v>45414</v>
      </c>
      <c r="O86" s="672"/>
      <c r="P86" s="388">
        <v>1484.4</v>
      </c>
      <c r="Q86" s="335">
        <v>45427</v>
      </c>
      <c r="R86" s="336"/>
      <c r="S86" s="334"/>
      <c r="T86" s="334"/>
      <c r="U86" s="678"/>
      <c r="V86" s="693"/>
      <c r="W86" s="656"/>
      <c r="X86" s="110">
        <v>55</v>
      </c>
    </row>
    <row r="87" spans="1:24" s="110" customFormat="1" x14ac:dyDescent="0.25">
      <c r="A87" s="690"/>
      <c r="B87" s="669"/>
      <c r="C87" s="669"/>
      <c r="D87" s="669"/>
      <c r="E87" s="669"/>
      <c r="F87" s="672"/>
      <c r="G87" s="675"/>
      <c r="H87" s="678"/>
      <c r="I87" s="681"/>
      <c r="J87" s="684"/>
      <c r="K87" s="687"/>
      <c r="L87" s="669"/>
      <c r="M87" s="669"/>
      <c r="N87" s="333">
        <v>45436</v>
      </c>
      <c r="O87" s="672"/>
      <c r="P87" s="334">
        <v>1242</v>
      </c>
      <c r="Q87" s="335"/>
      <c r="R87" s="336"/>
      <c r="S87" s="334"/>
      <c r="T87" s="334"/>
      <c r="U87" s="678"/>
      <c r="V87" s="693"/>
      <c r="W87" s="656"/>
      <c r="X87" s="110">
        <v>55</v>
      </c>
    </row>
    <row r="88" spans="1:24" s="110" customFormat="1" x14ac:dyDescent="0.25">
      <c r="A88" s="690"/>
      <c r="B88" s="669"/>
      <c r="C88" s="669"/>
      <c r="D88" s="669"/>
      <c r="E88" s="669"/>
      <c r="F88" s="672"/>
      <c r="G88" s="675"/>
      <c r="H88" s="678"/>
      <c r="I88" s="681"/>
      <c r="J88" s="684"/>
      <c r="K88" s="687"/>
      <c r="L88" s="669"/>
      <c r="M88" s="669"/>
      <c r="N88" s="333">
        <v>45436</v>
      </c>
      <c r="O88" s="672"/>
      <c r="P88" s="334">
        <v>8979</v>
      </c>
      <c r="Q88" s="335"/>
      <c r="R88" s="336"/>
      <c r="S88" s="334"/>
      <c r="T88" s="334"/>
      <c r="U88" s="678"/>
      <c r="V88" s="693"/>
      <c r="W88" s="656"/>
      <c r="X88" s="110">
        <v>55</v>
      </c>
    </row>
    <row r="89" spans="1:24" s="110" customFormat="1" x14ac:dyDescent="0.25">
      <c r="A89" s="691"/>
      <c r="B89" s="670"/>
      <c r="C89" s="670"/>
      <c r="D89" s="670"/>
      <c r="E89" s="670"/>
      <c r="F89" s="673"/>
      <c r="G89" s="676"/>
      <c r="H89" s="679"/>
      <c r="I89" s="682"/>
      <c r="J89" s="685"/>
      <c r="K89" s="688"/>
      <c r="L89" s="670"/>
      <c r="M89" s="670"/>
      <c r="N89" s="332">
        <v>45436</v>
      </c>
      <c r="O89" s="673"/>
      <c r="P89" s="328">
        <v>742.2</v>
      </c>
      <c r="Q89" s="329"/>
      <c r="R89" s="330"/>
      <c r="S89" s="328"/>
      <c r="T89" s="328"/>
      <c r="U89" s="679"/>
      <c r="V89" s="694"/>
      <c r="W89" s="657"/>
      <c r="X89" s="110">
        <v>55</v>
      </c>
    </row>
    <row r="90" spans="1:24" s="80" customFormat="1" x14ac:dyDescent="0.25">
      <c r="A90" s="689">
        <v>24</v>
      </c>
      <c r="B90" s="668"/>
      <c r="C90" s="668"/>
      <c r="D90" s="668"/>
      <c r="E90" s="668"/>
      <c r="F90" s="671"/>
      <c r="G90" s="674"/>
      <c r="H90" s="677"/>
      <c r="I90" s="680">
        <f>IF(X90 = 56, H90 + SUM(S90:S92) - SUM(T90:T92) - SUM(P90:P92) - V90,0)</f>
        <v>0</v>
      </c>
      <c r="J90" s="683"/>
      <c r="K90" s="686"/>
      <c r="L90" s="668"/>
      <c r="M90" s="668"/>
      <c r="N90" s="331"/>
      <c r="O90" s="671"/>
      <c r="P90" s="325"/>
      <c r="Q90" s="326"/>
      <c r="R90" s="327"/>
      <c r="S90" s="325"/>
      <c r="T90" s="325"/>
      <c r="U90" s="677"/>
      <c r="V90" s="692"/>
      <c r="W90" s="655"/>
      <c r="X90" s="80">
        <v>56</v>
      </c>
    </row>
    <row r="91" spans="1:24" s="110" customFormat="1" x14ac:dyDescent="0.25">
      <c r="A91" s="690"/>
      <c r="B91" s="669"/>
      <c r="C91" s="669"/>
      <c r="D91" s="669"/>
      <c r="E91" s="669"/>
      <c r="F91" s="672"/>
      <c r="G91" s="675"/>
      <c r="H91" s="678"/>
      <c r="I91" s="681"/>
      <c r="J91" s="684"/>
      <c r="K91" s="687"/>
      <c r="L91" s="669"/>
      <c r="M91" s="669"/>
      <c r="N91" s="333"/>
      <c r="O91" s="672"/>
      <c r="P91" s="334"/>
      <c r="Q91" s="335"/>
      <c r="R91" s="336"/>
      <c r="S91" s="334"/>
      <c r="T91" s="334"/>
      <c r="U91" s="678"/>
      <c r="V91" s="693"/>
      <c r="W91" s="656"/>
      <c r="X91" s="110">
        <v>56</v>
      </c>
    </row>
    <row r="92" spans="1:24" s="110" customFormat="1" x14ac:dyDescent="0.25">
      <c r="A92" s="691"/>
      <c r="B92" s="670"/>
      <c r="C92" s="670"/>
      <c r="D92" s="670"/>
      <c r="E92" s="670"/>
      <c r="F92" s="673"/>
      <c r="G92" s="676"/>
      <c r="H92" s="679"/>
      <c r="I92" s="682"/>
      <c r="J92" s="685"/>
      <c r="K92" s="688"/>
      <c r="L92" s="670"/>
      <c r="M92" s="670"/>
      <c r="N92" s="332"/>
      <c r="O92" s="673"/>
      <c r="P92" s="328"/>
      <c r="Q92" s="329"/>
      <c r="R92" s="330"/>
      <c r="S92" s="328"/>
      <c r="T92" s="328"/>
      <c r="U92" s="679"/>
      <c r="V92" s="694"/>
      <c r="W92" s="657"/>
      <c r="X92" s="110">
        <v>56</v>
      </c>
    </row>
    <row r="93" spans="1:24" s="80" customFormat="1" x14ac:dyDescent="0.25">
      <c r="A93" s="359">
        <v>25</v>
      </c>
      <c r="B93" s="360"/>
      <c r="C93" s="360"/>
      <c r="D93" s="360"/>
      <c r="E93" s="360"/>
      <c r="F93" s="392"/>
      <c r="G93" s="361"/>
      <c r="H93" s="362"/>
      <c r="I93" s="363">
        <f>IF(X93 = 57, H93 + SUM(S93:S93) - SUM(T93:T93) - SUM(P93:P93) - V93,0)</f>
        <v>0</v>
      </c>
      <c r="J93" s="364"/>
      <c r="K93" s="365"/>
      <c r="L93" s="360"/>
      <c r="M93" s="360"/>
      <c r="N93" s="392"/>
      <c r="O93" s="392"/>
      <c r="P93" s="362"/>
      <c r="Q93" s="361"/>
      <c r="R93" s="360"/>
      <c r="S93" s="362"/>
      <c r="T93" s="362"/>
      <c r="U93" s="362"/>
      <c r="V93" s="369"/>
      <c r="W93" s="370"/>
      <c r="X93" s="80">
        <v>57</v>
      </c>
    </row>
    <row r="94" spans="1:24" x14ac:dyDescent="0.25">
      <c r="X94" s="2">
        <v>58</v>
      </c>
    </row>
  </sheetData>
  <sheetProtection password="EB34" sheet="1" objects="1" scenarios="1" formatCells="0" formatColumns="0" formatRows="0"/>
  <mergeCells count="275">
    <mergeCell ref="A64:A67"/>
    <mergeCell ref="O64:O67"/>
    <mergeCell ref="U64:U67"/>
    <mergeCell ref="B64:B67"/>
    <mergeCell ref="V64:V67"/>
    <mergeCell ref="C64:C67"/>
    <mergeCell ref="W64:W67"/>
    <mergeCell ref="D64:D67"/>
    <mergeCell ref="E64:E67"/>
    <mergeCell ref="F64:F67"/>
    <mergeCell ref="G64:G67"/>
    <mergeCell ref="H64:H67"/>
    <mergeCell ref="I64:I67"/>
    <mergeCell ref="J64:J67"/>
    <mergeCell ref="K64:K67"/>
    <mergeCell ref="L64:L67"/>
    <mergeCell ref="M64:M67"/>
    <mergeCell ref="D46:D50"/>
    <mergeCell ref="E46:E50"/>
    <mergeCell ref="F46:F50"/>
    <mergeCell ref="G46:G50"/>
    <mergeCell ref="H46:H50"/>
    <mergeCell ref="I46:I50"/>
    <mergeCell ref="J46:J50"/>
    <mergeCell ref="K46:K50"/>
    <mergeCell ref="L46:L50"/>
    <mergeCell ref="A46:A50"/>
    <mergeCell ref="O46:O50"/>
    <mergeCell ref="U46:U50"/>
    <mergeCell ref="B46:B50"/>
    <mergeCell ref="V46:V50"/>
    <mergeCell ref="C46:C50"/>
    <mergeCell ref="W46:W50"/>
    <mergeCell ref="A41:A45"/>
    <mergeCell ref="O41:O45"/>
    <mergeCell ref="U41:U45"/>
    <mergeCell ref="B41:B45"/>
    <mergeCell ref="V41:V45"/>
    <mergeCell ref="C41:C45"/>
    <mergeCell ref="W41:W45"/>
    <mergeCell ref="D41:D45"/>
    <mergeCell ref="E41:E45"/>
    <mergeCell ref="F41:F45"/>
    <mergeCell ref="G41:G45"/>
    <mergeCell ref="H41:H45"/>
    <mergeCell ref="I41:I45"/>
    <mergeCell ref="J41:J45"/>
    <mergeCell ref="K41:K45"/>
    <mergeCell ref="L41:L45"/>
    <mergeCell ref="M41:M45"/>
    <mergeCell ref="A82:A83"/>
    <mergeCell ref="O82:O83"/>
    <mergeCell ref="U82:U83"/>
    <mergeCell ref="B82:B83"/>
    <mergeCell ref="V82:V83"/>
    <mergeCell ref="C82:C83"/>
    <mergeCell ref="W82:W83"/>
    <mergeCell ref="D82:D83"/>
    <mergeCell ref="E82:E83"/>
    <mergeCell ref="F82:F83"/>
    <mergeCell ref="G82:G83"/>
    <mergeCell ref="H82:H83"/>
    <mergeCell ref="I82:I83"/>
    <mergeCell ref="J82:J83"/>
    <mergeCell ref="K82:K83"/>
    <mergeCell ref="L82:L83"/>
    <mergeCell ref="M82:M83"/>
    <mergeCell ref="A84:A89"/>
    <mergeCell ref="O84:O89"/>
    <mergeCell ref="U84:U89"/>
    <mergeCell ref="B84:B89"/>
    <mergeCell ref="V84:V89"/>
    <mergeCell ref="C84:C89"/>
    <mergeCell ref="A90:A92"/>
    <mergeCell ref="O90:O92"/>
    <mergeCell ref="U90:U92"/>
    <mergeCell ref="B90:B92"/>
    <mergeCell ref="V90:V92"/>
    <mergeCell ref="C90:C92"/>
    <mergeCell ref="D84:D89"/>
    <mergeCell ref="E84:E89"/>
    <mergeCell ref="F84:F89"/>
    <mergeCell ref="G84:G89"/>
    <mergeCell ref="H84:H89"/>
    <mergeCell ref="I84:I89"/>
    <mergeCell ref="J84:J89"/>
    <mergeCell ref="K84:K89"/>
    <mergeCell ref="L84:L89"/>
    <mergeCell ref="M84:M89"/>
    <mergeCell ref="W90:W92"/>
    <mergeCell ref="W80:W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M90:M92"/>
    <mergeCell ref="D90:D92"/>
    <mergeCell ref="E90:E92"/>
    <mergeCell ref="F90:F92"/>
    <mergeCell ref="G90:G92"/>
    <mergeCell ref="H90:H92"/>
    <mergeCell ref="I90:I92"/>
    <mergeCell ref="J90:J92"/>
    <mergeCell ref="K90:K92"/>
    <mergeCell ref="L90:L92"/>
    <mergeCell ref="W84:W89"/>
    <mergeCell ref="A80:A81"/>
    <mergeCell ref="O80:O81"/>
    <mergeCell ref="U80:U81"/>
    <mergeCell ref="B80:B81"/>
    <mergeCell ref="V80:V81"/>
    <mergeCell ref="C80:C81"/>
    <mergeCell ref="A71:A73"/>
    <mergeCell ref="B71:B73"/>
    <mergeCell ref="C71:C73"/>
    <mergeCell ref="A77:A78"/>
    <mergeCell ref="O77:O78"/>
    <mergeCell ref="U77:U78"/>
    <mergeCell ref="B77:B78"/>
    <mergeCell ref="V77:V78"/>
    <mergeCell ref="C77:C78"/>
    <mergeCell ref="A74:A76"/>
    <mergeCell ref="O74:O76"/>
    <mergeCell ref="U74:U76"/>
    <mergeCell ref="B74:B76"/>
    <mergeCell ref="V74:V76"/>
    <mergeCell ref="C74:C76"/>
    <mergeCell ref="L74:L76"/>
    <mergeCell ref="M74:M76"/>
    <mergeCell ref="D71:D73"/>
    <mergeCell ref="A9:A16"/>
    <mergeCell ref="B9:B16"/>
    <mergeCell ref="C9:C16"/>
    <mergeCell ref="M9:M16"/>
    <mergeCell ref="O9:O16"/>
    <mergeCell ref="U9:U16"/>
    <mergeCell ref="V9:V16"/>
    <mergeCell ref="W9:W16"/>
    <mergeCell ref="D9:D16"/>
    <mergeCell ref="E9:E16"/>
    <mergeCell ref="F9:F16"/>
    <mergeCell ref="G9:G16"/>
    <mergeCell ref="H9:H16"/>
    <mergeCell ref="I9:I16"/>
    <mergeCell ref="J9:J16"/>
    <mergeCell ref="K9:K16"/>
    <mergeCell ref="L9:L16"/>
    <mergeCell ref="W58:W62"/>
    <mergeCell ref="M58:M62"/>
    <mergeCell ref="G53:G56"/>
    <mergeCell ref="H53:H56"/>
    <mergeCell ref="M46:M50"/>
    <mergeCell ref="W53:W56"/>
    <mergeCell ref="F53:F56"/>
    <mergeCell ref="I53:I56"/>
    <mergeCell ref="S2:U2"/>
    <mergeCell ref="F2:G2"/>
    <mergeCell ref="N2:O2"/>
    <mergeCell ref="V17:V30"/>
    <mergeCell ref="W17:W30"/>
    <mergeCell ref="F17:F30"/>
    <mergeCell ref="G17:G30"/>
    <mergeCell ref="H17:H30"/>
    <mergeCell ref="I17:I30"/>
    <mergeCell ref="J17:J30"/>
    <mergeCell ref="K17:K30"/>
    <mergeCell ref="L17:L30"/>
    <mergeCell ref="M17:M30"/>
    <mergeCell ref="U36:U40"/>
    <mergeCell ref="V36:V40"/>
    <mergeCell ref="W36:W40"/>
    <mergeCell ref="V71:V73"/>
    <mergeCell ref="W71:W73"/>
    <mergeCell ref="H71:H73"/>
    <mergeCell ref="I71:I73"/>
    <mergeCell ref="J71:J73"/>
    <mergeCell ref="K71:K73"/>
    <mergeCell ref="L71:L73"/>
    <mergeCell ref="M71:M73"/>
    <mergeCell ref="O71:O73"/>
    <mergeCell ref="B58:B62"/>
    <mergeCell ref="V58:V62"/>
    <mergeCell ref="C58:C62"/>
    <mergeCell ref="A17:A30"/>
    <mergeCell ref="O17:O30"/>
    <mergeCell ref="U17:U30"/>
    <mergeCell ref="B17:B30"/>
    <mergeCell ref="A36:A40"/>
    <mergeCell ref="O36:O40"/>
    <mergeCell ref="C17:C30"/>
    <mergeCell ref="D17:D30"/>
    <mergeCell ref="E17:E30"/>
    <mergeCell ref="B36:B40"/>
    <mergeCell ref="C36:C40"/>
    <mergeCell ref="D36:D40"/>
    <mergeCell ref="E36:E40"/>
    <mergeCell ref="F36:F40"/>
    <mergeCell ref="G36:G40"/>
    <mergeCell ref="H36:H40"/>
    <mergeCell ref="I36:I40"/>
    <mergeCell ref="J36:J40"/>
    <mergeCell ref="K36:K40"/>
    <mergeCell ref="L36:L40"/>
    <mergeCell ref="M36:M40"/>
    <mergeCell ref="E71:E73"/>
    <mergeCell ref="F71:F73"/>
    <mergeCell ref="G71:G73"/>
    <mergeCell ref="W77:W78"/>
    <mergeCell ref="D77:D78"/>
    <mergeCell ref="E77:E78"/>
    <mergeCell ref="F77:F78"/>
    <mergeCell ref="G77:G78"/>
    <mergeCell ref="H77:H78"/>
    <mergeCell ref="I77:I78"/>
    <mergeCell ref="J77:J78"/>
    <mergeCell ref="K77:K78"/>
    <mergeCell ref="L77:L78"/>
    <mergeCell ref="M77:M78"/>
    <mergeCell ref="W74:W76"/>
    <mergeCell ref="D74:D76"/>
    <mergeCell ref="E74:E76"/>
    <mergeCell ref="F74:F76"/>
    <mergeCell ref="G74:G76"/>
    <mergeCell ref="H74:H76"/>
    <mergeCell ref="I74:I76"/>
    <mergeCell ref="J74:J76"/>
    <mergeCell ref="K74:K76"/>
    <mergeCell ref="U71:U73"/>
    <mergeCell ref="A53:A56"/>
    <mergeCell ref="O53:O56"/>
    <mergeCell ref="U53:U56"/>
    <mergeCell ref="B53:B56"/>
    <mergeCell ref="V53:V56"/>
    <mergeCell ref="C53:C56"/>
    <mergeCell ref="D53:D56"/>
    <mergeCell ref="E53:E56"/>
    <mergeCell ref="A58:A62"/>
    <mergeCell ref="D58:D62"/>
    <mergeCell ref="E58:E62"/>
    <mergeCell ref="F58:F62"/>
    <mergeCell ref="G58:G62"/>
    <mergeCell ref="H58:H62"/>
    <mergeCell ref="I58:I62"/>
    <mergeCell ref="J58:J62"/>
    <mergeCell ref="K58:K62"/>
    <mergeCell ref="L58:L62"/>
    <mergeCell ref="J53:J56"/>
    <mergeCell ref="K53:K56"/>
    <mergeCell ref="L53:L56"/>
    <mergeCell ref="M53:M56"/>
    <mergeCell ref="O58:O62"/>
    <mergeCell ref="U58:U62"/>
    <mergeCell ref="A31:A35"/>
    <mergeCell ref="O31:O35"/>
    <mergeCell ref="U31:U35"/>
    <mergeCell ref="B31:B35"/>
    <mergeCell ref="V31:V35"/>
    <mergeCell ref="C31:C35"/>
    <mergeCell ref="W31:W35"/>
    <mergeCell ref="D31:D35"/>
    <mergeCell ref="E31:E35"/>
    <mergeCell ref="F31:F35"/>
    <mergeCell ref="G31:G35"/>
    <mergeCell ref="H31:H35"/>
    <mergeCell ref="I31:I35"/>
    <mergeCell ref="J31:J35"/>
    <mergeCell ref="K31:K35"/>
    <mergeCell ref="L31:L35"/>
    <mergeCell ref="M31:M3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0"/>
  <sheetViews>
    <sheetView showGridLines="0" topLeftCell="D1" zoomScale="50" zoomScaleNormal="50" workbookViewId="0">
      <pane ySplit="8" topLeftCell="A9" activePane="bottomLeft" state="frozen"/>
      <selection pane="bottomLeft" activeCell="F14" sqref="F14"/>
    </sheetView>
  </sheetViews>
  <sheetFormatPr defaultColWidth="0" defaultRowHeight="18.75" x14ac:dyDescent="0.25"/>
  <cols>
    <col min="1" max="1" width="8.28515625" style="3" customWidth="1"/>
    <col min="2" max="2" width="28.5703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5"/>
      <c r="C2" s="65"/>
      <c r="D2" s="65"/>
      <c r="E2" s="589" t="s">
        <v>24</v>
      </c>
      <c r="F2" s="590"/>
      <c r="G2" s="75">
        <f>SUM(G9:G9999)</f>
        <v>587944.5</v>
      </c>
      <c r="L2" s="717" t="s">
        <v>137</v>
      </c>
      <c r="M2" s="718"/>
      <c r="N2" s="66">
        <f>SUM(N9:N9999)</f>
        <v>549485.19999999995</v>
      </c>
      <c r="P2" s="65"/>
      <c r="Q2" s="478" t="s">
        <v>45</v>
      </c>
      <c r="R2" s="479"/>
      <c r="S2" s="480"/>
      <c r="T2" s="67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68" t="s">
        <v>46</v>
      </c>
      <c r="J6" s="68" t="s">
        <v>5</v>
      </c>
      <c r="K6" s="23" t="s">
        <v>39</v>
      </c>
      <c r="L6" s="22" t="s">
        <v>37</v>
      </c>
      <c r="M6" s="23" t="s">
        <v>6</v>
      </c>
      <c r="N6" s="68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68" t="s">
        <v>43</v>
      </c>
      <c r="U6" s="13" t="s">
        <v>42</v>
      </c>
    </row>
    <row r="7" spans="1:22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</row>
    <row r="8" spans="1:22" s="14" customFormat="1" ht="131.25" hidden="1" x14ac:dyDescent="0.25">
      <c r="A8" s="69" t="s">
        <v>36</v>
      </c>
      <c r="B8" s="69" t="s">
        <v>67</v>
      </c>
      <c r="C8" s="69" t="s">
        <v>66</v>
      </c>
      <c r="D8" s="69" t="s">
        <v>48</v>
      </c>
      <c r="E8" s="73">
        <v>43823</v>
      </c>
      <c r="F8" s="70" t="s">
        <v>65</v>
      </c>
      <c r="G8" s="71">
        <v>100000</v>
      </c>
      <c r="H8" s="71">
        <v>90000</v>
      </c>
      <c r="I8" s="74">
        <v>2308091759</v>
      </c>
      <c r="J8" s="69" t="s">
        <v>68</v>
      </c>
      <c r="K8" s="69" t="s">
        <v>69</v>
      </c>
      <c r="L8" s="70">
        <v>43801</v>
      </c>
      <c r="M8" s="69" t="s">
        <v>70</v>
      </c>
      <c r="N8" s="71">
        <v>10000</v>
      </c>
      <c r="O8" s="70">
        <v>43489</v>
      </c>
      <c r="P8" s="70"/>
      <c r="Q8" s="70"/>
      <c r="R8" s="70"/>
      <c r="S8" s="70"/>
      <c r="T8" s="71"/>
      <c r="U8" s="72" t="s">
        <v>64</v>
      </c>
    </row>
    <row r="9" spans="1:22" s="80" customFormat="1" ht="56.25" x14ac:dyDescent="0.25">
      <c r="A9" s="260">
        <v>1</v>
      </c>
      <c r="B9" s="255" t="s">
        <v>284</v>
      </c>
      <c r="C9" s="255" t="s">
        <v>158</v>
      </c>
      <c r="D9" s="255" t="s">
        <v>279</v>
      </c>
      <c r="E9" s="262">
        <v>45366</v>
      </c>
      <c r="F9" s="258" t="s">
        <v>280</v>
      </c>
      <c r="G9" s="256">
        <v>587944.5</v>
      </c>
      <c r="H9" s="259">
        <f>IF(V9 = 2, G9 + SUM(Q9:Q9) - SUM(R9:R9) - SUM(N9:N9) - T9,0)</f>
        <v>38459.300000000047</v>
      </c>
      <c r="I9" s="261">
        <v>7715995942</v>
      </c>
      <c r="J9" s="255" t="s">
        <v>281</v>
      </c>
      <c r="K9" s="255" t="s">
        <v>282</v>
      </c>
      <c r="L9" s="262">
        <v>45406</v>
      </c>
      <c r="M9" s="255" t="s">
        <v>283</v>
      </c>
      <c r="N9" s="385">
        <v>549485.19999999995</v>
      </c>
      <c r="O9" s="262">
        <v>45419</v>
      </c>
      <c r="P9" s="258"/>
      <c r="Q9" s="256"/>
      <c r="R9" s="256"/>
      <c r="S9" s="258"/>
      <c r="T9" s="256"/>
      <c r="U9" s="257"/>
      <c r="V9" s="80">
        <v>2</v>
      </c>
    </row>
    <row r="10" spans="1:22" x14ac:dyDescent="0.25">
      <c r="V10" s="2">
        <v>3</v>
      </c>
    </row>
  </sheetData>
  <sheetProtection password="EB34" sheet="1" objects="1" scenarios="1" formatCells="0" formatColumns="0" formatRows="0"/>
  <mergeCells count="3">
    <mergeCell ref="Q2:S2"/>
    <mergeCell ref="E2:F2"/>
    <mergeCell ref="L2:M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4"/>
  <sheetViews>
    <sheetView showGridLines="0" topLeftCell="H1" zoomScale="50" zoomScaleNormal="50" workbookViewId="0">
      <pane ySplit="8" topLeftCell="A9" activePane="bottomLeft" state="frozen"/>
      <selection pane="bottomLeft" activeCell="Q9" sqref="Q9:Q13"/>
    </sheetView>
  </sheetViews>
  <sheetFormatPr defaultColWidth="0" defaultRowHeight="18.75" x14ac:dyDescent="0.25"/>
  <cols>
    <col min="1" max="1" width="9.140625" style="8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589" t="s">
        <v>139</v>
      </c>
      <c r="F2" s="590"/>
      <c r="G2" s="77">
        <f>SUM(G9:G9999)</f>
        <v>740465.76</v>
      </c>
      <c r="O2" s="589" t="s">
        <v>24</v>
      </c>
      <c r="P2" s="590"/>
      <c r="Q2" s="75">
        <f>SUM(Q9:Q9999)</f>
        <v>392446.84</v>
      </c>
      <c r="T2" s="478" t="s">
        <v>137</v>
      </c>
      <c r="U2" s="480"/>
      <c r="V2" s="66">
        <f>SUM(V9:V9999)</f>
        <v>335123.13999999996</v>
      </c>
      <c r="X2" s="65"/>
      <c r="Y2" s="478" t="s">
        <v>45</v>
      </c>
      <c r="Z2" s="479"/>
      <c r="AA2" s="480"/>
      <c r="AB2" s="67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s="82" customFormat="1" ht="150" x14ac:dyDescent="0.25">
      <c r="A6" s="84" t="s">
        <v>8</v>
      </c>
      <c r="B6" s="84" t="s">
        <v>47</v>
      </c>
      <c r="C6" s="84" t="s">
        <v>33</v>
      </c>
      <c r="D6" s="84" t="s">
        <v>10</v>
      </c>
      <c r="E6" s="84" t="s">
        <v>11</v>
      </c>
      <c r="F6" s="84" t="s">
        <v>12</v>
      </c>
      <c r="G6" s="90" t="s">
        <v>13</v>
      </c>
      <c r="H6" s="90" t="s">
        <v>34</v>
      </c>
      <c r="I6" s="92" t="s">
        <v>16</v>
      </c>
      <c r="J6" s="92" t="s">
        <v>17</v>
      </c>
      <c r="K6" s="84" t="s">
        <v>14</v>
      </c>
      <c r="L6" s="84" t="s">
        <v>32</v>
      </c>
      <c r="M6" s="84" t="s">
        <v>15</v>
      </c>
      <c r="N6" s="86" t="s">
        <v>0</v>
      </c>
      <c r="O6" s="84" t="s">
        <v>46</v>
      </c>
      <c r="P6" s="84" t="s">
        <v>5</v>
      </c>
      <c r="Q6" s="90" t="s">
        <v>18</v>
      </c>
      <c r="R6" s="90" t="s">
        <v>22</v>
      </c>
      <c r="S6" s="84" t="s">
        <v>19</v>
      </c>
      <c r="T6" s="86" t="s">
        <v>37</v>
      </c>
      <c r="U6" s="86" t="s">
        <v>20</v>
      </c>
      <c r="V6" s="90" t="s">
        <v>23</v>
      </c>
      <c r="W6" s="86" t="s">
        <v>9</v>
      </c>
      <c r="X6" s="88" t="s">
        <v>40</v>
      </c>
      <c r="Y6" s="88" t="s">
        <v>103</v>
      </c>
      <c r="Z6" s="88" t="s">
        <v>104</v>
      </c>
      <c r="AA6" s="89" t="s">
        <v>41</v>
      </c>
      <c r="AB6" s="90" t="s">
        <v>43</v>
      </c>
      <c r="AC6" s="84" t="s">
        <v>42</v>
      </c>
    </row>
    <row r="7" spans="1:30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  <c r="X7" s="81" t="s">
        <v>132</v>
      </c>
      <c r="Y7" s="81" t="s">
        <v>133</v>
      </c>
      <c r="Z7" s="81" t="s">
        <v>134</v>
      </c>
      <c r="AA7" s="81" t="s">
        <v>135</v>
      </c>
      <c r="AB7" s="81" t="s">
        <v>136</v>
      </c>
      <c r="AC7" s="81" t="s">
        <v>138</v>
      </c>
    </row>
    <row r="8" spans="1:30" ht="168.75" hidden="1" x14ac:dyDescent="0.25">
      <c r="A8" s="85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3"/>
      <c r="Z8" s="53"/>
      <c r="AA8" s="20"/>
      <c r="AB8" s="19"/>
      <c r="AC8" s="21" t="s">
        <v>64</v>
      </c>
    </row>
    <row r="9" spans="1:30" s="80" customFormat="1" ht="52.15" customHeight="1" x14ac:dyDescent="0.25">
      <c r="A9" s="737">
        <v>1</v>
      </c>
      <c r="B9" s="722" t="s">
        <v>56</v>
      </c>
      <c r="C9" s="722" t="s">
        <v>161</v>
      </c>
      <c r="D9" s="722" t="s">
        <v>158</v>
      </c>
      <c r="E9" s="722" t="s">
        <v>162</v>
      </c>
      <c r="F9" s="722" t="s">
        <v>154</v>
      </c>
      <c r="G9" s="731">
        <v>740465.76</v>
      </c>
      <c r="H9" s="719">
        <f>IF(AD9 = 1, G9 - Q9,0)</f>
        <v>348018.92</v>
      </c>
      <c r="I9" s="731">
        <v>5</v>
      </c>
      <c r="J9" s="731">
        <v>0</v>
      </c>
      <c r="K9" s="722" t="s">
        <v>194</v>
      </c>
      <c r="L9" s="722" t="s">
        <v>163</v>
      </c>
      <c r="M9" s="722" t="s">
        <v>164</v>
      </c>
      <c r="N9" s="734">
        <v>45286</v>
      </c>
      <c r="O9" s="722" t="s">
        <v>155</v>
      </c>
      <c r="P9" s="722" t="s">
        <v>156</v>
      </c>
      <c r="Q9" s="731">
        <v>392446.84</v>
      </c>
      <c r="R9" s="719">
        <f>IF(AD9 = 1, Q9 + SUM(Y9:Y13) - SUM(Z9:Z13) - SUM(V9:V13) - AB9,0)</f>
        <v>57323.70000000007</v>
      </c>
      <c r="S9" s="722" t="s">
        <v>165</v>
      </c>
      <c r="T9" s="382">
        <v>45323</v>
      </c>
      <c r="U9" s="740" t="s">
        <v>157</v>
      </c>
      <c r="V9" s="374">
        <v>68347.48</v>
      </c>
      <c r="W9" s="382">
        <v>45327</v>
      </c>
      <c r="X9" s="375"/>
      <c r="Y9" s="376"/>
      <c r="Z9" s="376"/>
      <c r="AA9" s="743"/>
      <c r="AB9" s="725"/>
      <c r="AC9" s="728"/>
      <c r="AD9" s="80">
        <v>1</v>
      </c>
    </row>
    <row r="10" spans="1:30" s="110" customFormat="1" x14ac:dyDescent="0.25">
      <c r="A10" s="738"/>
      <c r="B10" s="723"/>
      <c r="C10" s="723"/>
      <c r="D10" s="723"/>
      <c r="E10" s="723"/>
      <c r="F10" s="723"/>
      <c r="G10" s="732"/>
      <c r="H10" s="720"/>
      <c r="I10" s="732"/>
      <c r="J10" s="732"/>
      <c r="K10" s="723"/>
      <c r="L10" s="723"/>
      <c r="M10" s="723"/>
      <c r="N10" s="735"/>
      <c r="O10" s="723"/>
      <c r="P10" s="723"/>
      <c r="Q10" s="732"/>
      <c r="R10" s="720"/>
      <c r="S10" s="723"/>
      <c r="T10" s="383">
        <v>45352</v>
      </c>
      <c r="U10" s="741"/>
      <c r="V10" s="377">
        <v>63937.97</v>
      </c>
      <c r="W10" s="383">
        <v>45356</v>
      </c>
      <c r="X10" s="378"/>
      <c r="Y10" s="379"/>
      <c r="Z10" s="379"/>
      <c r="AA10" s="744"/>
      <c r="AB10" s="726"/>
      <c r="AC10" s="729"/>
      <c r="AD10" s="110">
        <v>1</v>
      </c>
    </row>
    <row r="11" spans="1:30" s="110" customFormat="1" x14ac:dyDescent="0.25">
      <c r="A11" s="738"/>
      <c r="B11" s="723"/>
      <c r="C11" s="723"/>
      <c r="D11" s="723"/>
      <c r="E11" s="723"/>
      <c r="F11" s="723"/>
      <c r="G11" s="732"/>
      <c r="H11" s="720"/>
      <c r="I11" s="732"/>
      <c r="J11" s="732"/>
      <c r="K11" s="723"/>
      <c r="L11" s="723"/>
      <c r="M11" s="723"/>
      <c r="N11" s="735"/>
      <c r="O11" s="723"/>
      <c r="P11" s="723"/>
      <c r="Q11" s="732"/>
      <c r="R11" s="720"/>
      <c r="S11" s="723"/>
      <c r="T11" s="383">
        <v>45384</v>
      </c>
      <c r="U11" s="741"/>
      <c r="V11" s="377">
        <v>68347.48</v>
      </c>
      <c r="W11" s="383">
        <v>45384</v>
      </c>
      <c r="X11" s="378"/>
      <c r="Y11" s="379"/>
      <c r="Z11" s="379"/>
      <c r="AA11" s="744"/>
      <c r="AB11" s="726"/>
      <c r="AC11" s="729"/>
      <c r="AD11" s="110">
        <v>1</v>
      </c>
    </row>
    <row r="12" spans="1:30" s="110" customFormat="1" x14ac:dyDescent="0.25">
      <c r="A12" s="738"/>
      <c r="B12" s="723"/>
      <c r="C12" s="723"/>
      <c r="D12" s="723"/>
      <c r="E12" s="723"/>
      <c r="F12" s="723"/>
      <c r="G12" s="732"/>
      <c r="H12" s="720"/>
      <c r="I12" s="732"/>
      <c r="J12" s="732"/>
      <c r="K12" s="723"/>
      <c r="L12" s="723"/>
      <c r="M12" s="723"/>
      <c r="N12" s="735"/>
      <c r="O12" s="723"/>
      <c r="P12" s="723"/>
      <c r="Q12" s="732"/>
      <c r="R12" s="720"/>
      <c r="S12" s="723"/>
      <c r="T12" s="383">
        <v>45414</v>
      </c>
      <c r="U12" s="741"/>
      <c r="V12" s="377">
        <v>66142.73</v>
      </c>
      <c r="W12" s="383">
        <v>45419</v>
      </c>
      <c r="X12" s="378"/>
      <c r="Y12" s="379"/>
      <c r="Z12" s="379"/>
      <c r="AA12" s="744"/>
      <c r="AB12" s="726"/>
      <c r="AC12" s="729"/>
      <c r="AD12" s="110">
        <v>1</v>
      </c>
    </row>
    <row r="13" spans="1:30" s="110" customFormat="1" x14ac:dyDescent="0.25">
      <c r="A13" s="739"/>
      <c r="B13" s="724"/>
      <c r="C13" s="724"/>
      <c r="D13" s="724"/>
      <c r="E13" s="724"/>
      <c r="F13" s="724"/>
      <c r="G13" s="733"/>
      <c r="H13" s="721"/>
      <c r="I13" s="733"/>
      <c r="J13" s="733"/>
      <c r="K13" s="724"/>
      <c r="L13" s="724"/>
      <c r="M13" s="724"/>
      <c r="N13" s="736"/>
      <c r="O13" s="724"/>
      <c r="P13" s="724"/>
      <c r="Q13" s="733"/>
      <c r="R13" s="721"/>
      <c r="S13" s="724"/>
      <c r="T13" s="384">
        <v>45445</v>
      </c>
      <c r="U13" s="742"/>
      <c r="V13" s="380">
        <v>68347.48</v>
      </c>
      <c r="W13" s="384"/>
      <c r="X13" s="381"/>
      <c r="Y13" s="380"/>
      <c r="Z13" s="380"/>
      <c r="AA13" s="745"/>
      <c r="AB13" s="727"/>
      <c r="AC13" s="730"/>
      <c r="AD13" s="110">
        <v>1</v>
      </c>
    </row>
    <row r="14" spans="1:30" x14ac:dyDescent="0.25">
      <c r="AD14" s="2">
        <v>2</v>
      </c>
    </row>
  </sheetData>
  <sheetProtection password="EB34" sheet="1" objects="1" scenarios="1" formatCells="0" formatColumns="0" formatRows="0"/>
  <mergeCells count="27">
    <mergeCell ref="A9:A13"/>
    <mergeCell ref="U9:U13"/>
    <mergeCell ref="AA9:AA13"/>
    <mergeCell ref="B9:B13"/>
    <mergeCell ref="Q9:Q13"/>
    <mergeCell ref="O9:O13"/>
    <mergeCell ref="P9:P13"/>
    <mergeCell ref="E2:F2"/>
    <mergeCell ref="O2:P2"/>
    <mergeCell ref="Y2:AA2"/>
    <mergeCell ref="T2:U2"/>
    <mergeCell ref="R9:R13"/>
    <mergeCell ref="S9:S13"/>
    <mergeCell ref="AB9:AB13"/>
    <mergeCell ref="C9:C13"/>
    <mergeCell ref="AC9:A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N9:N1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14"/>
  <sheetViews>
    <sheetView showGridLines="0" topLeftCell="N1" zoomScale="50" zoomScaleNormal="50" workbookViewId="0">
      <pane ySplit="8" topLeftCell="A9" activePane="bottomLeft" state="frozen"/>
      <selection pane="bottomLeft" activeCell="V13" sqref="V13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589" t="s">
        <v>139</v>
      </c>
      <c r="F2" s="590"/>
      <c r="G2" s="77">
        <f>SUM(G9:G9999)</f>
        <v>359413.18</v>
      </c>
      <c r="H2" s="10"/>
      <c r="O2" s="589" t="s">
        <v>24</v>
      </c>
      <c r="P2" s="590"/>
      <c r="Q2" s="75">
        <f>SUM(Q9:Q9999)</f>
        <v>359413.18</v>
      </c>
      <c r="T2" s="478" t="s">
        <v>137</v>
      </c>
      <c r="U2" s="480"/>
      <c r="V2" s="66">
        <f>SUM(V9:V9999)</f>
        <v>354059.69999999995</v>
      </c>
      <c r="X2" s="65"/>
      <c r="Y2" s="478" t="s">
        <v>45</v>
      </c>
      <c r="Z2" s="479"/>
      <c r="AA2" s="480"/>
      <c r="AB2" s="67">
        <f>SUM(AB9:AB9999)</f>
        <v>5353.48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29" t="s">
        <v>16</v>
      </c>
      <c r="J6" s="29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57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57" t="s">
        <v>131</v>
      </c>
      <c r="X7" s="57" t="s">
        <v>132</v>
      </c>
      <c r="Y7" s="57" t="s">
        <v>133</v>
      </c>
      <c r="Z7" s="57" t="s">
        <v>134</v>
      </c>
      <c r="AA7" s="57" t="s">
        <v>135</v>
      </c>
      <c r="AB7" s="57" t="s">
        <v>136</v>
      </c>
      <c r="AC7" s="57" t="s">
        <v>138</v>
      </c>
    </row>
    <row r="8" spans="1:30" ht="169.5" hidden="1" thickBot="1" x14ac:dyDescent="0.3">
      <c r="A8" s="146" t="s">
        <v>36</v>
      </c>
      <c r="B8" s="146"/>
      <c r="C8" s="146" t="s">
        <v>73</v>
      </c>
      <c r="D8" s="146" t="s">
        <v>74</v>
      </c>
      <c r="E8" s="146" t="s">
        <v>71</v>
      </c>
      <c r="F8" s="146" t="s">
        <v>72</v>
      </c>
      <c r="G8" s="147">
        <v>15500.01</v>
      </c>
      <c r="H8" s="147">
        <f t="shared" ref="H8" si="0">G8-Q8</f>
        <v>6725</v>
      </c>
      <c r="I8" s="148">
        <v>6</v>
      </c>
      <c r="J8" s="148">
        <v>0</v>
      </c>
      <c r="K8" s="146" t="s">
        <v>75</v>
      </c>
      <c r="L8" s="146" t="s">
        <v>76</v>
      </c>
      <c r="M8" s="146" t="s">
        <v>77</v>
      </c>
      <c r="N8" s="149">
        <v>43655</v>
      </c>
      <c r="O8" s="146" t="s">
        <v>79</v>
      </c>
      <c r="P8" s="146" t="s">
        <v>78</v>
      </c>
      <c r="Q8" s="147">
        <v>8775.01</v>
      </c>
      <c r="R8" s="147">
        <f>Q8-V8</f>
        <v>0</v>
      </c>
      <c r="S8" s="146" t="s">
        <v>80</v>
      </c>
      <c r="T8" s="149">
        <v>43677</v>
      </c>
      <c r="U8" s="146" t="s">
        <v>81</v>
      </c>
      <c r="V8" s="147">
        <v>8775.01</v>
      </c>
      <c r="W8" s="149">
        <v>43696</v>
      </c>
      <c r="X8" s="146"/>
      <c r="Y8" s="146"/>
      <c r="Z8" s="146"/>
      <c r="AA8" s="146"/>
      <c r="AB8" s="147"/>
      <c r="AC8" s="150" t="s">
        <v>64</v>
      </c>
    </row>
    <row r="9" spans="1:30" s="80" customFormat="1" ht="54.6" customHeight="1" x14ac:dyDescent="0.25">
      <c r="A9" s="764">
        <v>1</v>
      </c>
      <c r="B9" s="749" t="s">
        <v>56</v>
      </c>
      <c r="C9" s="749" t="s">
        <v>166</v>
      </c>
      <c r="D9" s="749" t="s">
        <v>158</v>
      </c>
      <c r="E9" s="749" t="s">
        <v>167</v>
      </c>
      <c r="F9" s="749" t="s">
        <v>174</v>
      </c>
      <c r="G9" s="746">
        <v>359413.18</v>
      </c>
      <c r="H9" s="755">
        <f>IF(AD9 = 1, G9 - Q9,0)</f>
        <v>0</v>
      </c>
      <c r="I9" s="746">
        <v>1</v>
      </c>
      <c r="J9" s="746">
        <v>0</v>
      </c>
      <c r="K9" s="749" t="s">
        <v>194</v>
      </c>
      <c r="L9" s="758" t="s">
        <v>169</v>
      </c>
      <c r="M9" s="749" t="s">
        <v>168</v>
      </c>
      <c r="N9" s="761">
        <v>45285</v>
      </c>
      <c r="O9" s="749" t="s">
        <v>170</v>
      </c>
      <c r="P9" s="749" t="s">
        <v>171</v>
      </c>
      <c r="Q9" s="746">
        <v>359413.18</v>
      </c>
      <c r="R9" s="755">
        <f>IF(AD9 = 1, Q9 + SUM(Y9:Y13) - SUM(Z9:Z13) - SUM(V9:V13) - AB9,0)</f>
        <v>4.0017766878008842E-11</v>
      </c>
      <c r="S9" s="749" t="s">
        <v>172</v>
      </c>
      <c r="T9" s="192">
        <v>45324</v>
      </c>
      <c r="U9" s="749" t="s">
        <v>173</v>
      </c>
      <c r="V9" s="184">
        <v>64120.09</v>
      </c>
      <c r="W9" s="192">
        <v>45338</v>
      </c>
      <c r="X9" s="185"/>
      <c r="Y9" s="186"/>
      <c r="Z9" s="186"/>
      <c r="AA9" s="749" t="s">
        <v>285</v>
      </c>
      <c r="AB9" s="746">
        <v>5353.48</v>
      </c>
      <c r="AC9" s="752"/>
      <c r="AD9" s="80">
        <v>1</v>
      </c>
    </row>
    <row r="10" spans="1:30" s="110" customFormat="1" x14ac:dyDescent="0.25">
      <c r="A10" s="765"/>
      <c r="B10" s="750"/>
      <c r="C10" s="750"/>
      <c r="D10" s="750"/>
      <c r="E10" s="750"/>
      <c r="F10" s="750"/>
      <c r="G10" s="747"/>
      <c r="H10" s="756"/>
      <c r="I10" s="747"/>
      <c r="J10" s="747"/>
      <c r="K10" s="750"/>
      <c r="L10" s="759"/>
      <c r="M10" s="750"/>
      <c r="N10" s="762"/>
      <c r="O10" s="750"/>
      <c r="P10" s="750"/>
      <c r="Q10" s="747"/>
      <c r="R10" s="756"/>
      <c r="S10" s="750"/>
      <c r="T10" s="193">
        <v>45324</v>
      </c>
      <c r="U10" s="750"/>
      <c r="V10" s="187">
        <v>51101.4</v>
      </c>
      <c r="W10" s="193">
        <v>45338</v>
      </c>
      <c r="X10" s="188"/>
      <c r="Y10" s="189"/>
      <c r="Z10" s="189"/>
      <c r="AA10" s="750"/>
      <c r="AB10" s="747"/>
      <c r="AC10" s="753"/>
      <c r="AD10" s="110">
        <v>1</v>
      </c>
    </row>
    <row r="11" spans="1:30" s="110" customFormat="1" x14ac:dyDescent="0.25">
      <c r="A11" s="765"/>
      <c r="B11" s="750"/>
      <c r="C11" s="750"/>
      <c r="D11" s="750"/>
      <c r="E11" s="750"/>
      <c r="F11" s="750"/>
      <c r="G11" s="747"/>
      <c r="H11" s="756"/>
      <c r="I11" s="747"/>
      <c r="J11" s="747"/>
      <c r="K11" s="750"/>
      <c r="L11" s="759"/>
      <c r="M11" s="750"/>
      <c r="N11" s="762"/>
      <c r="O11" s="750"/>
      <c r="P11" s="750"/>
      <c r="Q11" s="747"/>
      <c r="R11" s="756"/>
      <c r="S11" s="750"/>
      <c r="T11" s="193">
        <v>45342</v>
      </c>
      <c r="U11" s="750"/>
      <c r="V11" s="187">
        <v>60956.67</v>
      </c>
      <c r="W11" s="193">
        <v>45344</v>
      </c>
      <c r="X11" s="188"/>
      <c r="Y11" s="189"/>
      <c r="Z11" s="189"/>
      <c r="AA11" s="750"/>
      <c r="AB11" s="747"/>
      <c r="AC11" s="753"/>
      <c r="AD11" s="110">
        <v>1</v>
      </c>
    </row>
    <row r="12" spans="1:30" s="110" customFormat="1" x14ac:dyDescent="0.25">
      <c r="A12" s="765"/>
      <c r="B12" s="750"/>
      <c r="C12" s="750"/>
      <c r="D12" s="750"/>
      <c r="E12" s="750"/>
      <c r="F12" s="750"/>
      <c r="G12" s="747"/>
      <c r="H12" s="756"/>
      <c r="I12" s="747"/>
      <c r="J12" s="747"/>
      <c r="K12" s="750"/>
      <c r="L12" s="759"/>
      <c r="M12" s="750"/>
      <c r="N12" s="762"/>
      <c r="O12" s="750"/>
      <c r="P12" s="750"/>
      <c r="Q12" s="747"/>
      <c r="R12" s="756"/>
      <c r="S12" s="750"/>
      <c r="T12" s="193">
        <v>45357</v>
      </c>
      <c r="U12" s="750"/>
      <c r="V12" s="187">
        <v>72515.320000000007</v>
      </c>
      <c r="W12" s="193">
        <v>45371</v>
      </c>
      <c r="X12" s="188"/>
      <c r="Y12" s="189"/>
      <c r="Z12" s="189"/>
      <c r="AA12" s="750"/>
      <c r="AB12" s="747"/>
      <c r="AC12" s="753"/>
      <c r="AD12" s="110">
        <v>1</v>
      </c>
    </row>
    <row r="13" spans="1:30" s="110" customFormat="1" x14ac:dyDescent="0.25">
      <c r="A13" s="766"/>
      <c r="B13" s="751"/>
      <c r="C13" s="751"/>
      <c r="D13" s="751"/>
      <c r="E13" s="751"/>
      <c r="F13" s="751"/>
      <c r="G13" s="748"/>
      <c r="H13" s="757"/>
      <c r="I13" s="748"/>
      <c r="J13" s="748"/>
      <c r="K13" s="751"/>
      <c r="L13" s="760"/>
      <c r="M13" s="751"/>
      <c r="N13" s="763"/>
      <c r="O13" s="751"/>
      <c r="P13" s="751"/>
      <c r="Q13" s="748"/>
      <c r="R13" s="757"/>
      <c r="S13" s="751"/>
      <c r="T13" s="194">
        <v>45373</v>
      </c>
      <c r="U13" s="751"/>
      <c r="V13" s="263">
        <v>105366.22</v>
      </c>
      <c r="W13" s="194">
        <v>45394</v>
      </c>
      <c r="X13" s="191"/>
      <c r="Y13" s="190"/>
      <c r="Z13" s="190"/>
      <c r="AA13" s="751"/>
      <c r="AB13" s="748"/>
      <c r="AC13" s="754"/>
      <c r="AD13" s="110">
        <v>1</v>
      </c>
    </row>
    <row r="14" spans="1:30" x14ac:dyDescent="0.25">
      <c r="AD14" s="2">
        <v>2</v>
      </c>
    </row>
  </sheetData>
  <sheetProtection password="EB34" sheet="1" objects="1" scenarios="1" formatCells="0" formatColumns="0" formatRows="0"/>
  <mergeCells count="27">
    <mergeCell ref="A9:A13"/>
    <mergeCell ref="B9:B13"/>
    <mergeCell ref="E2:F2"/>
    <mergeCell ref="O2:P2"/>
    <mergeCell ref="Y2:AA2"/>
    <mergeCell ref="T2:U2"/>
    <mergeCell ref="U9:U13"/>
    <mergeCell ref="AA9:AA13"/>
    <mergeCell ref="Q9:Q13"/>
    <mergeCell ref="R9:R13"/>
    <mergeCell ref="S9:S13"/>
    <mergeCell ref="AB9:AB13"/>
    <mergeCell ref="C9:C13"/>
    <mergeCell ref="AC9:A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N9:N13"/>
    <mergeCell ref="O9:O13"/>
    <mergeCell ref="P9:P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17"/>
  <sheetViews>
    <sheetView showGridLines="0" topLeftCell="I1" zoomScale="50" zoomScaleNormal="50" workbookViewId="0">
      <pane ySplit="8" topLeftCell="A9" activePane="bottomLeft" state="frozen"/>
      <selection pane="bottomLeft" activeCell="P51" sqref="P51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5.7109375" style="2" customWidth="1"/>
    <col min="14" max="14" width="24.42578125" style="2" bestFit="1" customWidth="1"/>
    <col min="15" max="15" width="24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589" t="s">
        <v>139</v>
      </c>
      <c r="F2" s="590"/>
      <c r="G2" s="77">
        <f>SUM(G9:G9999)</f>
        <v>0</v>
      </c>
      <c r="H2" s="10"/>
      <c r="O2" s="589" t="s">
        <v>24</v>
      </c>
      <c r="P2" s="590"/>
      <c r="Q2" s="75">
        <f>SUM(Q9:Q9999)</f>
        <v>0</v>
      </c>
      <c r="T2" s="478" t="s">
        <v>137</v>
      </c>
      <c r="U2" s="480"/>
      <c r="V2" s="66">
        <f>SUM(V9:V9999)</f>
        <v>0</v>
      </c>
      <c r="X2" s="65"/>
      <c r="Y2" s="478" t="s">
        <v>45</v>
      </c>
      <c r="Z2" s="479"/>
      <c r="AA2" s="480"/>
      <c r="AB2" s="67">
        <f>SUM(AB9:AB9999)</f>
        <v>0</v>
      </c>
    </row>
    <row r="4" spans="1:30" ht="39.950000000000003" customHeight="1" x14ac:dyDescent="0.25">
      <c r="P4" s="477"/>
      <c r="Q4" s="477"/>
      <c r="R4" s="477"/>
      <c r="T4" s="65"/>
      <c r="U4" s="65"/>
    </row>
    <row r="6" spans="1:30" s="82" customFormat="1" ht="150" x14ac:dyDescent="0.25">
      <c r="A6" s="91" t="s">
        <v>8</v>
      </c>
      <c r="B6" s="91" t="s">
        <v>47</v>
      </c>
      <c r="C6" s="91" t="s">
        <v>33</v>
      </c>
      <c r="D6" s="91" t="s">
        <v>10</v>
      </c>
      <c r="E6" s="91" t="s">
        <v>11</v>
      </c>
      <c r="F6" s="91" t="s">
        <v>12</v>
      </c>
      <c r="G6" s="91" t="s">
        <v>13</v>
      </c>
      <c r="H6" s="91" t="s">
        <v>34</v>
      </c>
      <c r="I6" s="91" t="s">
        <v>16</v>
      </c>
      <c r="J6" s="91" t="s">
        <v>17</v>
      </c>
      <c r="K6" s="91" t="s">
        <v>14</v>
      </c>
      <c r="L6" s="91" t="s">
        <v>32</v>
      </c>
      <c r="M6" s="91" t="s">
        <v>15</v>
      </c>
      <c r="N6" s="91" t="s">
        <v>0</v>
      </c>
      <c r="O6" s="91" t="s">
        <v>46</v>
      </c>
      <c r="P6" s="91" t="s">
        <v>5</v>
      </c>
      <c r="Q6" s="91" t="s">
        <v>18</v>
      </c>
      <c r="R6" s="91" t="s">
        <v>22</v>
      </c>
      <c r="S6" s="91" t="s">
        <v>19</v>
      </c>
      <c r="T6" s="91" t="s">
        <v>37</v>
      </c>
      <c r="U6" s="91" t="s">
        <v>20</v>
      </c>
      <c r="V6" s="91" t="s">
        <v>23</v>
      </c>
      <c r="W6" s="91" t="s">
        <v>9</v>
      </c>
      <c r="X6" s="97" t="s">
        <v>40</v>
      </c>
      <c r="Y6" s="97" t="s">
        <v>103</v>
      </c>
      <c r="Z6" s="97" t="s">
        <v>104</v>
      </c>
      <c r="AA6" s="97" t="s">
        <v>41</v>
      </c>
      <c r="AB6" s="91" t="s">
        <v>43</v>
      </c>
      <c r="AC6" s="91" t="s">
        <v>42</v>
      </c>
    </row>
    <row r="7" spans="1:30" s="82" customFormat="1" x14ac:dyDescent="0.25">
      <c r="A7" s="96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  <c r="R7" s="96">
        <v>18</v>
      </c>
      <c r="S7" s="96">
        <v>19</v>
      </c>
      <c r="T7" s="96">
        <v>20</v>
      </c>
      <c r="U7" s="96">
        <v>21</v>
      </c>
      <c r="V7" s="96">
        <v>22</v>
      </c>
      <c r="W7" s="96">
        <v>23</v>
      </c>
      <c r="X7" s="96">
        <v>24</v>
      </c>
      <c r="Y7" s="96">
        <v>25</v>
      </c>
      <c r="Z7" s="96">
        <v>26</v>
      </c>
      <c r="AA7" s="96">
        <v>27</v>
      </c>
      <c r="AB7" s="96">
        <v>28</v>
      </c>
      <c r="AC7" s="96">
        <v>29</v>
      </c>
    </row>
    <row r="8" spans="1:30" ht="168.75" hidden="1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3"/>
      <c r="Z8" s="53"/>
      <c r="AA8" s="21"/>
      <c r="AB8" s="19"/>
      <c r="AC8" s="12" t="s">
        <v>64</v>
      </c>
    </row>
    <row r="9" spans="1:30" hidden="1" x14ac:dyDescent="0.25">
      <c r="M9" s="3"/>
      <c r="AD9" s="2">
        <v>2</v>
      </c>
    </row>
    <row r="10" spans="1:30" hidden="1" x14ac:dyDescent="0.25">
      <c r="M10" s="3"/>
    </row>
    <row r="11" spans="1:30" hidden="1" x14ac:dyDescent="0.25">
      <c r="M11" s="3"/>
    </row>
    <row r="12" spans="1:30" hidden="1" x14ac:dyDescent="0.25">
      <c r="M12" s="3"/>
    </row>
    <row r="13" spans="1:30" hidden="1" x14ac:dyDescent="0.25">
      <c r="M13" s="3"/>
    </row>
    <row r="14" spans="1:30" hidden="1" x14ac:dyDescent="0.25">
      <c r="M14" s="3"/>
    </row>
    <row r="15" spans="1:30" hidden="1" x14ac:dyDescent="0.25">
      <c r="M15" s="3"/>
    </row>
    <row r="16" spans="1:30" hidden="1" x14ac:dyDescent="0.25">
      <c r="M16" s="3"/>
    </row>
    <row r="17" spans="13:13" hidden="1" x14ac:dyDescent="0.25">
      <c r="M17" s="3"/>
    </row>
  </sheetData>
  <sheetProtection password="EB34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2" customWidth="1"/>
    <col min="2" max="2" width="17.42578125" style="32" customWidth="1"/>
    <col min="3" max="3" width="17.28515625" style="32" customWidth="1"/>
    <col min="4" max="4" width="38.85546875" style="32" customWidth="1"/>
    <col min="5" max="5" width="15.5703125" style="32" bestFit="1" customWidth="1"/>
    <col min="6" max="11" width="16.140625" style="32" customWidth="1"/>
    <col min="12" max="16384" width="9.140625" style="32"/>
  </cols>
  <sheetData>
    <row r="1" spans="1:11" x14ac:dyDescent="0.25">
      <c r="A1" s="46">
        <v>21</v>
      </c>
      <c r="B1" s="46">
        <v>11</v>
      </c>
      <c r="C1" s="46">
        <v>9</v>
      </c>
      <c r="D1" s="769" t="s">
        <v>50</v>
      </c>
      <c r="E1" s="31"/>
      <c r="F1" s="59" t="s">
        <v>108</v>
      </c>
      <c r="G1" s="63" t="s">
        <v>108</v>
      </c>
      <c r="H1" s="62" t="s">
        <v>108</v>
      </c>
      <c r="I1" s="61" t="s">
        <v>108</v>
      </c>
      <c r="J1" s="60" t="s">
        <v>108</v>
      </c>
      <c r="K1" s="64" t="s">
        <v>108</v>
      </c>
    </row>
    <row r="2" spans="1:11" x14ac:dyDescent="0.25">
      <c r="A2" s="47" t="s">
        <v>84</v>
      </c>
      <c r="B2" s="46" t="s">
        <v>85</v>
      </c>
      <c r="C2" s="46" t="s">
        <v>86</v>
      </c>
      <c r="D2" s="770"/>
      <c r="E2" s="31"/>
      <c r="F2" s="59">
        <v>81</v>
      </c>
      <c r="G2" s="63">
        <v>57</v>
      </c>
      <c r="H2" s="62">
        <v>2</v>
      </c>
      <c r="I2" s="61">
        <v>1</v>
      </c>
      <c r="J2" s="60">
        <v>1</v>
      </c>
      <c r="K2" s="64">
        <v>1</v>
      </c>
    </row>
    <row r="3" spans="1:11" x14ac:dyDescent="0.25">
      <c r="A3" s="33"/>
      <c r="B3" s="31"/>
      <c r="C3" s="31"/>
      <c r="D3" s="31"/>
      <c r="E3" s="31"/>
      <c r="F3" s="59" t="s">
        <v>109</v>
      </c>
      <c r="G3" s="63" t="s">
        <v>109</v>
      </c>
      <c r="H3" s="62" t="s">
        <v>109</v>
      </c>
      <c r="I3" s="61" t="s">
        <v>109</v>
      </c>
      <c r="J3" s="60" t="s">
        <v>109</v>
      </c>
      <c r="K3" s="64" t="s">
        <v>109</v>
      </c>
    </row>
    <row r="4" spans="1:11" x14ac:dyDescent="0.25">
      <c r="A4" s="42">
        <v>93</v>
      </c>
      <c r="B4" s="43">
        <v>25</v>
      </c>
      <c r="C4" s="43">
        <v>9</v>
      </c>
      <c r="D4" s="771" t="s">
        <v>102</v>
      </c>
      <c r="E4" s="31"/>
      <c r="F4" s="59">
        <v>82</v>
      </c>
      <c r="G4" s="63">
        <v>58</v>
      </c>
      <c r="H4" s="62">
        <v>3</v>
      </c>
      <c r="I4" s="61">
        <v>2</v>
      </c>
      <c r="J4" s="60">
        <v>2</v>
      </c>
      <c r="K4" s="64">
        <v>2</v>
      </c>
    </row>
    <row r="5" spans="1:11" x14ac:dyDescent="0.25">
      <c r="A5" s="42" t="s">
        <v>89</v>
      </c>
      <c r="B5" s="43" t="s">
        <v>88</v>
      </c>
      <c r="C5" s="43" t="s">
        <v>87</v>
      </c>
      <c r="D5" s="772"/>
      <c r="E5" s="31"/>
      <c r="F5" s="31"/>
      <c r="G5" s="31"/>
    </row>
    <row r="6" spans="1:11" x14ac:dyDescent="0.25">
      <c r="A6" s="33"/>
      <c r="B6" s="31"/>
      <c r="C6" s="31"/>
      <c r="D6" s="31"/>
      <c r="E6" s="31"/>
      <c r="F6" s="31"/>
      <c r="G6" s="31"/>
    </row>
    <row r="7" spans="1:11" x14ac:dyDescent="0.25">
      <c r="A7" s="44">
        <v>9</v>
      </c>
      <c r="B7" s="45">
        <v>1</v>
      </c>
      <c r="C7" s="45">
        <v>9</v>
      </c>
      <c r="D7" s="773" t="s">
        <v>52</v>
      </c>
      <c r="E7" s="31"/>
      <c r="F7" s="31"/>
      <c r="G7" s="31"/>
    </row>
    <row r="8" spans="1:11" x14ac:dyDescent="0.25">
      <c r="A8" s="44" t="s">
        <v>90</v>
      </c>
      <c r="B8" s="45" t="s">
        <v>91</v>
      </c>
      <c r="C8" s="45" t="s">
        <v>92</v>
      </c>
      <c r="D8" s="774"/>
      <c r="E8" s="31"/>
      <c r="F8" s="31"/>
      <c r="G8" s="31"/>
    </row>
    <row r="9" spans="1:11" x14ac:dyDescent="0.25">
      <c r="A9" s="33"/>
      <c r="B9" s="31"/>
      <c r="C9" s="31"/>
      <c r="D9" s="31"/>
      <c r="E9" s="31"/>
      <c r="F9" s="31"/>
      <c r="G9" s="31"/>
    </row>
    <row r="10" spans="1:11" x14ac:dyDescent="0.25">
      <c r="A10" s="40">
        <v>13</v>
      </c>
      <c r="B10" s="41">
        <v>1</v>
      </c>
      <c r="C10" s="41">
        <v>9</v>
      </c>
      <c r="D10" s="775" t="s">
        <v>31</v>
      </c>
      <c r="E10" s="31"/>
      <c r="F10" s="31"/>
      <c r="G10" s="31"/>
    </row>
    <row r="11" spans="1:11" x14ac:dyDescent="0.25">
      <c r="A11" s="40" t="s">
        <v>93</v>
      </c>
      <c r="B11" s="41" t="s">
        <v>94</v>
      </c>
      <c r="C11" s="41" t="s">
        <v>95</v>
      </c>
      <c r="D11" s="776"/>
      <c r="E11" s="31"/>
      <c r="F11" s="31"/>
      <c r="G11" s="31"/>
    </row>
    <row r="12" spans="1:11" x14ac:dyDescent="0.25">
      <c r="A12" s="33"/>
      <c r="B12" s="31"/>
      <c r="C12" s="31"/>
      <c r="D12" s="31"/>
      <c r="E12" s="31"/>
      <c r="F12" s="31"/>
      <c r="G12" s="31"/>
    </row>
    <row r="13" spans="1:11" x14ac:dyDescent="0.25">
      <c r="A13" s="38">
        <v>13</v>
      </c>
      <c r="B13" s="39">
        <v>1</v>
      </c>
      <c r="C13" s="39">
        <v>9</v>
      </c>
      <c r="D13" s="777" t="s">
        <v>49</v>
      </c>
      <c r="E13" s="31"/>
      <c r="F13" s="31"/>
      <c r="G13" s="31"/>
    </row>
    <row r="14" spans="1:11" x14ac:dyDescent="0.25">
      <c r="A14" s="38" t="s">
        <v>96</v>
      </c>
      <c r="B14" s="39" t="s">
        <v>97</v>
      </c>
      <c r="C14" s="39" t="s">
        <v>98</v>
      </c>
      <c r="D14" s="778"/>
      <c r="E14" s="31"/>
      <c r="F14" s="31"/>
      <c r="G14" s="31"/>
    </row>
    <row r="15" spans="1:11" x14ac:dyDescent="0.25">
      <c r="A15" s="33"/>
      <c r="B15" s="31"/>
      <c r="C15" s="31"/>
      <c r="D15" s="31"/>
      <c r="E15" s="31"/>
      <c r="F15" s="31"/>
      <c r="G15" s="31"/>
    </row>
    <row r="16" spans="1:11" x14ac:dyDescent="0.25">
      <c r="A16" s="36">
        <v>8</v>
      </c>
      <c r="B16" s="37">
        <v>0</v>
      </c>
      <c r="C16" s="37">
        <v>9</v>
      </c>
      <c r="D16" s="767" t="s">
        <v>83</v>
      </c>
      <c r="E16" s="31"/>
      <c r="F16" s="31"/>
      <c r="G16" s="31"/>
    </row>
    <row r="17" spans="1:4" x14ac:dyDescent="0.25">
      <c r="A17" s="36" t="s">
        <v>99</v>
      </c>
      <c r="B17" s="37" t="s">
        <v>100</v>
      </c>
      <c r="C17" s="37" t="s">
        <v>101</v>
      </c>
      <c r="D17" s="768"/>
    </row>
    <row r="18" spans="1:4" x14ac:dyDescent="0.25">
      <c r="A18" s="33"/>
    </row>
    <row r="19" spans="1:4" x14ac:dyDescent="0.25">
      <c r="A19" s="33"/>
    </row>
    <row r="20" spans="1:4" x14ac:dyDescent="0.25">
      <c r="A20" s="33"/>
    </row>
    <row r="21" spans="1:4" x14ac:dyDescent="0.25">
      <c r="A21" s="33"/>
    </row>
    <row r="22" spans="1:4" x14ac:dyDescent="0.25">
      <c r="A22" s="33"/>
    </row>
    <row r="23" spans="1:4" x14ac:dyDescent="0.25">
      <c r="A23" s="33"/>
    </row>
    <row r="24" spans="1:4" x14ac:dyDescent="0.25">
      <c r="A24" s="33"/>
    </row>
    <row r="25" spans="1:4" x14ac:dyDescent="0.25">
      <c r="A25" s="33"/>
    </row>
    <row r="26" spans="1:4" x14ac:dyDescent="0.25">
      <c r="A26" s="33"/>
    </row>
    <row r="27" spans="1:4" x14ac:dyDescent="0.25">
      <c r="A27" s="33"/>
    </row>
    <row r="28" spans="1:4" x14ac:dyDescent="0.25">
      <c r="A28" s="33"/>
    </row>
    <row r="29" spans="1:4" x14ac:dyDescent="0.25">
      <c r="A29" s="33"/>
    </row>
    <row r="30" spans="1:4" x14ac:dyDescent="0.25">
      <c r="A30" s="33"/>
    </row>
    <row r="31" spans="1:4" x14ac:dyDescent="0.25">
      <c r="A31" s="33"/>
    </row>
    <row r="32" spans="1:4" x14ac:dyDescent="0.25">
      <c r="A32" s="33"/>
    </row>
    <row r="33" spans="1:1" x14ac:dyDescent="0.25">
      <c r="A33" s="33"/>
    </row>
    <row r="34" spans="1:1" x14ac:dyDescent="0.25">
      <c r="A34" s="33"/>
    </row>
    <row r="35" spans="1:1" x14ac:dyDescent="0.25">
      <c r="A35" s="33"/>
    </row>
    <row r="36" spans="1:1" x14ac:dyDescent="0.25">
      <c r="A36" s="33"/>
    </row>
    <row r="37" spans="1:1" x14ac:dyDescent="0.25">
      <c r="A37" s="33"/>
    </row>
    <row r="38" spans="1:1" x14ac:dyDescent="0.25">
      <c r="A38" s="33"/>
    </row>
    <row r="39" spans="1:1" x14ac:dyDescent="0.25">
      <c r="A39" s="33"/>
    </row>
    <row r="40" spans="1:1" x14ac:dyDescent="0.25">
      <c r="A40" s="33"/>
    </row>
    <row r="41" spans="1:1" x14ac:dyDescent="0.25">
      <c r="A41" s="33"/>
    </row>
    <row r="42" spans="1:1" x14ac:dyDescent="0.25">
      <c r="A42" s="33"/>
    </row>
    <row r="43" spans="1:1" x14ac:dyDescent="0.25">
      <c r="A43" s="33"/>
    </row>
    <row r="44" spans="1:1" x14ac:dyDescent="0.25">
      <c r="A44" s="33"/>
    </row>
    <row r="45" spans="1:1" x14ac:dyDescent="0.25">
      <c r="A45" s="33"/>
    </row>
    <row r="81" spans="1:1" x14ac:dyDescent="0.25">
      <c r="A81" s="34"/>
    </row>
    <row r="82" spans="1:1" x14ac:dyDescent="0.25">
      <c r="A82" s="34"/>
    </row>
    <row r="83" spans="1:1" x14ac:dyDescent="0.25">
      <c r="A83" s="35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Admin</cp:lastModifiedBy>
  <cp:lastPrinted>2019-09-24T06:31:40Z</cp:lastPrinted>
  <dcterms:created xsi:type="dcterms:W3CDTF">2017-01-25T04:28:39Z</dcterms:created>
  <dcterms:modified xsi:type="dcterms:W3CDTF">2024-06-25T14:48:23Z</dcterms:modified>
</cp:coreProperties>
</file>