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05" yWindow="-105" windowWidth="19425" windowHeight="10425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1" l="1"/>
  <c r="P2" i="31"/>
  <c r="V2" i="31"/>
  <c r="G2" i="19"/>
  <c r="N2" i="19"/>
  <c r="T2" i="19"/>
  <c r="G2" i="22"/>
  <c r="Q2" i="22"/>
  <c r="V2" i="22"/>
  <c r="AB2" i="22"/>
  <c r="H9" i="17"/>
  <c r="R9" i="17"/>
  <c r="G2" i="17"/>
  <c r="Q2" i="17"/>
  <c r="V2" i="17"/>
  <c r="AB2" i="17"/>
  <c r="H2" i="27"/>
  <c r="P2" i="27"/>
  <c r="V2" i="27"/>
  <c r="I38" i="31"/>
  <c r="I16" i="31"/>
  <c r="I9" i="31"/>
  <c r="H23" i="19"/>
  <c r="I13" i="27"/>
  <c r="I28" i="31"/>
  <c r="I20" i="31"/>
  <c r="I24" i="31"/>
  <c r="I47" i="31"/>
  <c r="I75" i="31"/>
  <c r="G2" i="20" l="1"/>
  <c r="Q2" i="20"/>
  <c r="V2" i="20"/>
  <c r="AB2" i="20"/>
  <c r="H9" i="22"/>
  <c r="R9" i="22"/>
  <c r="I74" i="31"/>
  <c r="I73" i="31"/>
  <c r="I64" i="31"/>
  <c r="I54" i="31"/>
  <c r="H9" i="19"/>
  <c r="I44" i="31"/>
  <c r="I51" i="31"/>
  <c r="I61" i="31"/>
  <c r="I33" i="31"/>
  <c r="I12" i="27"/>
  <c r="I72" i="31"/>
  <c r="H20" i="19"/>
  <c r="I63" i="31"/>
  <c r="I11" i="27"/>
  <c r="I10" i="27"/>
  <c r="H22" i="19"/>
  <c r="I9" i="27"/>
  <c r="I57" i="31"/>
  <c r="I60" i="31"/>
  <c r="I37" i="31"/>
  <c r="I36" i="31"/>
  <c r="I42" i="31"/>
  <c r="I32" i="31" l="1"/>
  <c r="I43" i="31" l="1"/>
  <c r="I14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<sst xmlns="http://schemas.openxmlformats.org/spreadsheetml/2006/main" count="755" uniqueCount="299">
  <si>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</si>
  <si>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</si>
  <si>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</si>
  <si>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</si>
  <si>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</si>
  <si>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</si>
  <si>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</si>
  <si>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</si>
  <si>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</si>
  <si>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</si>
  <si>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</si>
  <si>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</si>
  <si>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</si>
  <si>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</si>
  <si>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</si>
  <si>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</si>
  <si>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</si>
  <si>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</si>
  <si>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</si>
  <si>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</si>
  <si>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</si>
  <si>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</si>
  <si>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</si>
  <si>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</si>
  <si>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</si>
  <si>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</si>
  <si>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</si>
  <si>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</si>
  <si>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</si>
  <si>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</si>
  <si>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</si>
  <si>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</si>
  <si>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</si>
  <si>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</si>
  <si>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</si>
  <si>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</si>
  <si>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</si>
  <si>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</si>
  <si>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</si>
  <si>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</si>
  <si>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</si>
  <si>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</si>
  <si>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</si>
  <si>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</si>
  <si>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</si>
  <si>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</si>
  <si>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</si>
  <si>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</si>
  <si>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</si>
  <si>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</si>
  <si>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</si>
  <si>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</si>
  <si>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</si>
  <si>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</si>
  <si>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</si>
  <si>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</si>
  <si>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</si>
  <si>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</si>
  <si>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</si>
  <si>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</si>
  <si>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</si>
  <si>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</si>
  <si>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</si>
  <si>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</si>
  <si>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</si>
  <si>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</si>
  <si>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</si>
  <si>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</si>
  <si>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</si>
  <si>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</si>
  <si>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</si>
  <si>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</si>
  <si>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</si>
  <si>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</si>
  <si>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</si>
  <si>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</si>
  <si>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</si>
  <si>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</si>
  <si>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</si>
  <si>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</si>
  <si>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</si>
  <si>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</si>
  <si>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</si>
  <si>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</si>
  <si>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</si>
  <si>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</si>
  <si>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</si>
  <si>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</si>
  <si>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</si>
  <si>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</si>
  <si>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</si>
  <si>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</si>
  <si>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</si>
  <si>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</si>
  <si>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</si>
  <si>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</si>
  <si>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</si>
  <si>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</si>
  <si>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</si>
  <si>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</si>
  <si>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</si>
  <si>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</si>
  <si>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</si>
  <si>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</si>
  <si>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</si>
  <si>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</si>
  <si>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</si>
  <si>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</si>
  <si>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</si>
  <si>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</si>
  <si>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</si>
  <si>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</si>
  <si>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</si>
  <si>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</si>
  <si>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</si>
  <si>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</si>
  <si>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</si>
  <si>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</si>
  <si>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</si>
  <si>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</si>
  <si>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</si>
  <si>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</si>
  <si>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</si>
  <si>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</si>
  <si>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</si>
  <si>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</si>
  <si>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</si>
  <si>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</si>
  <si>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</si>
  <si>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</si>
  <si>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</si>
  <si>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</si>
  <si>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</si>
  <si>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</si>
  <si>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</si>
  <si>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</si>
  <si>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</si>
  <si>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</si>
  <si>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</si>
  <si>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</si>
  <si>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</si>
  <si>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</si>
  <si>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</si>
  <si>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</si>
  <si>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</si>
  <si>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</si>
  <si>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</si>
  <si>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</si>
  <si>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</si>
  <si>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</si>
  <si>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Оказание охранных услуг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</si>
  <si>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</si>
  <si>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</si>
  <si>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</si>
  <si>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</si>
  <si>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</si>
  <si>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0818300019923000373-01</t>
  </si>
  <si>
    <t>235300582900</t>
  </si>
  <si>
    <t>ИП Эжбаев Ю.Н.</t>
  </si>
  <si>
    <t>В течение 7 рабочих дней после подписания документа о приемке</t>
  </si>
  <si>
    <t>Услуги по организации питания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</si>
  <si>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</si>
  <si>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</si>
  <si>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</si>
  <si>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</si>
  <si>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</si>
  <si>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</si>
  <si>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</si>
  <si>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А-179</t>
  </si>
  <si>
    <t>Работы по  техническому обслуживанию установки системы пожарного мониторинга "Стрелец-мониторинг"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</si>
  <si>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</si>
  <si>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</si>
  <si>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</si>
  <si>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ООО "РН-Карт"</t>
  </si>
  <si>
    <t>Да</t>
  </si>
  <si>
    <t>б/н</t>
  </si>
  <si>
    <t>Базирование транспортных средств</t>
  </si>
  <si>
    <t>Холодное водоснабжение</t>
  </si>
  <si>
    <t>ИП Лукоянов Ю.В.</t>
  </si>
  <si>
    <t>ООО "Водоснабжение"</t>
  </si>
  <si>
    <t>в течение 10 рабочих дней с даты подписания акта оказанных услуг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</si>
  <si>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</si>
  <si>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</si>
  <si>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</si>
  <si>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</si>
  <si>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</si>
  <si>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</si>
  <si>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</si>
  <si>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Бензин</t>
  </si>
  <si>
    <t>Систематическая дератизация</t>
  </si>
  <si>
    <t>ООО "Дезинфекция"</t>
  </si>
  <si>
    <t>ООО "РООС"</t>
  </si>
  <si>
    <t>Откачка и вывоз ЖБО</t>
  </si>
  <si>
    <t>2304067057</t>
  </si>
  <si>
    <t>с 01.01.2025 по 31.12.2025</t>
  </si>
  <si>
    <t>25-11-02596/25</t>
  </si>
  <si>
    <t>в течение 10 рабочих дней с даты подписания акта сдачи-приемки оказанных услуг</t>
  </si>
  <si>
    <t>34001048</t>
  </si>
  <si>
    <t>42</t>
  </si>
  <si>
    <t>ДГ 25/43</t>
  </si>
  <si>
    <t>34550724/038602</t>
  </si>
  <si>
    <t>Техническое обслуживание комплекса тревожной сигнализации</t>
  </si>
  <si>
    <t>ИП Даценко И.Н.</t>
  </si>
  <si>
    <t>с 01.01.2025 по 31.05.2025</t>
  </si>
  <si>
    <t>210009817619-122024</t>
  </si>
  <si>
    <t>Услуги по идентификации АСН в ГАИС "Эра-Глонасс"</t>
  </si>
  <si>
    <t>АО "ГЛОНАСС"</t>
  </si>
  <si>
    <t>В течение  10 рабочих дней со дня подписания акта оказанных услуг</t>
  </si>
  <si>
    <t>в срок, не превышающий 10 рабочих дней с даты подписания отчетных документов</t>
  </si>
  <si>
    <t>в течение 7 рабочих дней с даты подписания акта оказанных услуг</t>
  </si>
  <si>
    <t xml:space="preserve"> 32353015333240000039</t>
  </si>
  <si>
    <t>23070500320</t>
  </si>
  <si>
    <t>Электроэнергия</t>
  </si>
  <si>
    <t>ПАО "ТНС эерго Кубань"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</si>
  <si>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</si>
  <si>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243235301533323530100100140018010244</t>
  </si>
  <si>
    <t xml:space="preserve">0818300019924000328 </t>
  </si>
  <si>
    <t>3235301533324000010</t>
  </si>
  <si>
    <t>с 01 января 2025 г. по 27 мая 2025 г. до 23 ч.59 включительно)</t>
  </si>
  <si>
    <t>233235301533323530100100120015629244</t>
  </si>
  <si>
    <t>0818300019924000324</t>
  </si>
  <si>
    <t>с 09.01.2025 по 23.05.2025г</t>
  </si>
  <si>
    <t>3235301533324000008</t>
  </si>
  <si>
    <t>21/25</t>
  </si>
  <si>
    <t>с 01.01.2025 по 30.06.2025</t>
  </si>
  <si>
    <t>1/25</t>
  </si>
  <si>
    <t>Оказание услуг по организации питания</t>
  </si>
  <si>
    <t>2/25</t>
  </si>
  <si>
    <t>3/25</t>
  </si>
  <si>
    <t>с 09.01.2025 по 23.05.2025</t>
  </si>
  <si>
    <t>с 09.01.2025 по 31.01.2025</t>
  </si>
  <si>
    <t>Услуги по подготовке декларации НВОС</t>
  </si>
  <si>
    <t>235307568414</t>
  </si>
  <si>
    <t>ИП Козырева Е.Н.</t>
  </si>
  <si>
    <t>с момента заключения контракта по 31.12.2025г.</t>
  </si>
  <si>
    <t>В течение 7 дней с момента подписания акта о приемке оказанных услуг</t>
  </si>
  <si>
    <t>А0172103</t>
  </si>
  <si>
    <t>Учебная литература</t>
  </si>
  <si>
    <t>А0174570</t>
  </si>
  <si>
    <t>Акционерное общество "Издательство "Просвещение"</t>
  </si>
  <si>
    <t>с 20.02.2025 по 30.06.2025</t>
  </si>
  <si>
    <t>в течение 10 рабочих дней с даты подписания документа о приемке</t>
  </si>
  <si>
    <t>б/н от 07.02.2025</t>
  </si>
  <si>
    <t>43</t>
  </si>
  <si>
    <t>01.02.2025 по 31.12.2025г.</t>
  </si>
  <si>
    <t>66-ТО</t>
  </si>
  <si>
    <t>Проверка тех. состояния транспортных средств</t>
  </si>
  <si>
    <t>235305769122</t>
  </si>
  <si>
    <t>ИП Барма И.Н.</t>
  </si>
  <si>
    <t>Не ранее чем через 5 рабочих дней со дня поступления заявки Заказчика</t>
  </si>
  <si>
    <t>В течение 10 рабочих дней с момента подписания акта о приемке оказанных услуг</t>
  </si>
  <si>
    <t>Ремонт автомобиля</t>
  </si>
  <si>
    <t>235303483777</t>
  </si>
  <si>
    <t>ИП Аполонов А.А.</t>
  </si>
  <si>
    <t>в течение 10 рабочих дней с даты подписания акта выполненных работ</t>
  </si>
  <si>
    <t>21.02.2025</t>
  </si>
  <si>
    <t>21/1</t>
  </si>
  <si>
    <t>Стойка охраны</t>
  </si>
  <si>
    <t>ООО "ТИТ-Мебель"</t>
  </si>
  <si>
    <t>в течение 30 рабочих дней со дня заключения контракта.</t>
  </si>
  <si>
    <t>в течение 10 рабочих дней с даты подписания акта приемки товара</t>
  </si>
  <si>
    <t>б/н от 18.02.2025</t>
  </si>
  <si>
    <t>4/21</t>
  </si>
  <si>
    <t>с 03.02.2025 по 23.05.2025</t>
  </si>
  <si>
    <t>34550725/011963</t>
  </si>
  <si>
    <t>с 01.04.2025 по 30.06.2025</t>
  </si>
  <si>
    <t>23-12192</t>
  </si>
  <si>
    <t>Полиграфическая продукция</t>
  </si>
  <si>
    <t>ООО "СпецБланк-Москва"</t>
  </si>
  <si>
    <t>в течение 40 календарных дней  после подписания контракта</t>
  </si>
  <si>
    <t>1 от 17.02.2025</t>
  </si>
  <si>
    <t>АТ00-002488</t>
  </si>
  <si>
    <t>Право на использование програмного обеспечения</t>
  </si>
  <si>
    <t>2311187588</t>
  </si>
  <si>
    <t>ООО Айти Мониторинг"</t>
  </si>
  <si>
    <t>В течение 15 рабочих дней, со дня подписания сторонами договора</t>
  </si>
  <si>
    <t>в течение 10 рабочих дней с даты подписания УПД</t>
  </si>
  <si>
    <t>Бумага для офисной техники</t>
  </si>
  <si>
    <t>ООО "Югпромснаб"</t>
  </si>
  <si>
    <t>В течение 10 рабочих дней с даты подписания  договора</t>
  </si>
  <si>
    <t>в течение 10 рабочих дней с даты подписания универсального передаточного документа</t>
  </si>
  <si>
    <t>б/н от 16.04.2025</t>
  </si>
  <si>
    <t>Услуги по выполнению предрейсового и послерейсового медицинского осмотра водителей и предрейсового и послерейсового  технического осмотра транспортного средства</t>
  </si>
  <si>
    <t>да</t>
  </si>
  <si>
    <t>21-04/2025</t>
  </si>
  <si>
    <t>Ковер Самбо</t>
  </si>
  <si>
    <t>ООО "РУССАМБО"</t>
  </si>
  <si>
    <t>с момента подписания договора до 10.05.2024</t>
  </si>
  <si>
    <t>Учебно-педагогическая документация</t>
  </si>
  <si>
    <t>2310132554</t>
  </si>
  <si>
    <t>ООО "Краснодарский учколлектор"</t>
  </si>
  <si>
    <t>с момента заключения контракта до 15.08.2025г</t>
  </si>
  <si>
    <t>в течение 7 рабочих дней с даты подписания акта выполненных работ</t>
  </si>
  <si>
    <t>А0218803</t>
  </si>
  <si>
    <t>с 25.02.2025 по 30.06.2025</t>
  </si>
  <si>
    <t>с24.04.2025 по 25.08.2025</t>
  </si>
  <si>
    <t xml:space="preserve">3235301533325000003 </t>
  </si>
  <si>
    <t xml:space="preserve">3235301533325000001 </t>
  </si>
  <si>
    <t xml:space="preserve">	3235301533325000002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</si>
</sst>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90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8" xfId="0" applyNumberFormat="1" applyFont="1" applyFill="1" applyBorder="1" applyAlignment="1">
      <alignment horizontal="center" vertical="center" wrapText="1"/>
    </xf>
    <xf numFmtId="49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>
      <alignment horizontal="center" vertical="center" wrapText="1"/>
    </xf>
    <xf numFmtId="167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5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5" fillId="18" borderId="36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9" fontId="15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5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9" fontId="15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2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1" fillId="4" borderId="77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18" borderId="57" xfId="0" applyNumberFormat="1" applyFont="1" applyFill="1" applyBorder="1" applyAlignment="1">
      <alignment horizontal="center" vertical="center" wrapText="1"/>
    </xf>
    <xf numFmtId="49" fontId="15" fillId="18" borderId="58" xfId="0" applyNumberFormat="1" applyFont="1" applyFill="1" applyBorder="1" applyAlignment="1">
      <alignment horizontal="center" vertical="center" wrapText="1"/>
    </xf>
    <xf numFmtId="49" fontId="15" fillId="18" borderId="59" xfId="0" applyNumberFormat="1" applyFont="1" applyFill="1" applyBorder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14" fontId="1" fillId="2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4" fontId="1" fillId="2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4" fontId="1" fillId="2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3" xfId="0" applyNumberFormat="1" applyFont="1" applyFill="1" applyBorder="1" applyAlignment="1">
      <alignment horizontal="center" vertical="center" wrapText="1"/>
    </xf>
    <xf numFmtId="49" fontId="15" fillId="18" borderId="35" xfId="0" applyNumberFormat="1" applyFont="1" applyFill="1" applyBorder="1" applyAlignment="1">
      <alignment horizontal="center" vertical="center" wrapText="1"/>
    </xf>
    <xf numFmtId="49" fontId="15" fillId="18" borderId="34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1" xfId="0" applyNumberFormat="1" applyFont="1" applyFill="1" applyBorder="1" applyAlignment="1">
      <alignment horizontal="center" vertical="center" wrapText="1"/>
    </xf>
    <xf numFmtId="49" fontId="15" fillId="18" borderId="52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49" fontId="15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5" fillId="18" borderId="71" xfId="0" applyNumberFormat="1" applyFont="1" applyFill="1" applyBorder="1" applyAlignment="1">
      <alignment horizontal="center" vertical="center" wrapText="1"/>
    </xf>
    <xf numFmtId="49" fontId="15" fillId="18" borderId="72" xfId="0" applyNumberFormat="1" applyFont="1" applyFill="1" applyBorder="1" applyAlignment="1">
      <alignment horizontal="center" vertical="center" wrapText="1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73" xfId="0" applyNumberFormat="1" applyFont="1" applyFill="1" applyBorder="1" applyAlignment="1">
      <alignment horizontal="center" vertical="center" wrapText="1"/>
    </xf>
    <xf numFmtId="49" fontId="15" fillId="4" borderId="74" xfId="0" applyNumberFormat="1" applyFont="1" applyFill="1" applyBorder="1" applyAlignment="1">
      <alignment horizontal="center" vertical="center" wrapText="1"/>
    </xf>
    <xf numFmtId="49" fontId="15" fillId="4" borderId="75" xfId="0" applyNumberFormat="1" applyFont="1" applyFill="1" applyBorder="1" applyAlignment="1">
      <alignment horizontal="center" vertical="center" wrapText="1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4" fontId="1" fillId="20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4" fontId="1" fillId="2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8" xfId="0" applyNumberFormat="1" applyFont="1" applyFill="1" applyBorder="1" applyAlignment="1">
      <alignment horizontal="center" vertical="center" wrapText="1"/>
    </xf>
    <xf numFmtId="49" fontId="15" fillId="18" borderId="49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2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4" fontId="1" fillId="2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2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76" xfId="0" applyNumberFormat="1" applyFont="1" applyFill="1" applyBorder="1" applyAlignment="1">
      <alignment horizontal="center" vertical="center" wrapText="1"/>
    </xf>
    <xf numFmtId="49" fontId="15" fillId="4" borderId="79" xfId="0" applyNumberFormat="1" applyFont="1" applyFill="1" applyBorder="1" applyAlignment="1">
      <alignment horizontal="center" vertical="center" wrapText="1"/>
    </xf>
    <xf numFmtId="49" fontId="15" fillId="4" borderId="82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49" fontId="16" fillId="0" borderId="61" xfId="0" applyNumberFormat="1" applyFont="1" applyBorder="1" applyAlignment="1" applyProtection="1">
      <alignment vertical="center" wrapText="1"/>
      <protection locked="0"/>
    </xf>
    <xf numFmtId="49" fontId="16" fillId="0" borderId="68" xfId="0" applyNumberFormat="1" applyFont="1" applyBorder="1" applyAlignment="1" applyProtection="1">
      <alignment vertical="center" wrapText="1"/>
      <protection locked="0"/>
    </xf>
    <xf numFmtId="49" fontId="16" fillId="0" borderId="64" xfId="0" applyNumberFormat="1" applyFont="1" applyBorder="1" applyAlignment="1" applyProtection="1">
      <alignment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13" zoomScale="70" zoomScaleNormal="70" workbookViewId="0">
      <selection activeCell="H5" sqref="H5:J5"/>
    </sheetView>
  </sheetViews>
  <sheetFormatPr defaultColWidth="0" defaultRowHeight="15" x14ac:dyDescent="0.25"/>
  <cols>
    <col min="1" max="2" width="9.140625" style="8" customWidth="1"/>
    <col min="3" max="3" width="25.42578125" style="8" customWidth="1"/>
    <col min="4" max="5" width="9.140625" style="8" customWidth="1"/>
    <col min="6" max="6" width="11.570312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425781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5703125" style="8" hidden="1" customWidth="1"/>
    <col min="24" max="16384" width="9.140625" style="8" hidden="1"/>
  </cols>
  <sheetData>
    <row r="1" spans="1:14" ht="73.5" customHeight="1" thickBot="1" x14ac:dyDescent="0.3">
      <c r="A1" s="480" t="s">
        <v>141</v>
      </c>
      <c r="B1" s="481"/>
      <c r="C1" s="481"/>
      <c r="D1" s="481"/>
      <c r="E1" s="482" t="s">
        <v>145</v>
      </c>
      <c r="F1" s="483"/>
      <c r="G1" s="483"/>
      <c r="H1" s="483"/>
      <c r="I1" s="483"/>
      <c r="J1" s="483"/>
      <c r="K1" s="483"/>
      <c r="L1" s="483"/>
      <c r="M1" s="483"/>
      <c r="N1" s="484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518" t="s">
        <v>25</v>
      </c>
      <c r="B4" s="519"/>
      <c r="C4" s="4">
        <v>9057677.9600000009</v>
      </c>
      <c r="D4" s="5"/>
      <c r="E4" s="520" t="s">
        <v>140</v>
      </c>
      <c r="F4" s="521"/>
      <c r="G4" s="522"/>
      <c r="H4" s="523">
        <v>2000000</v>
      </c>
      <c r="I4" s="524"/>
      <c r="J4" s="525"/>
      <c r="K4" s="17"/>
      <c r="L4" s="76" t="s">
        <v>55</v>
      </c>
      <c r="M4" s="520">
        <v>2079948.08</v>
      </c>
      <c r="N4" s="522"/>
    </row>
    <row r="5" spans="1:14" ht="30.75" customHeight="1" thickBot="1" x14ac:dyDescent="0.3">
      <c r="A5" s="518" t="s">
        <v>26</v>
      </c>
      <c r="B5" s="519"/>
      <c r="C5" s="6">
        <f>C4-G15+J15</f>
        <v>4581176.4250000007</v>
      </c>
      <c r="D5" s="5"/>
      <c r="E5" s="520" t="s">
        <v>53</v>
      </c>
      <c r="F5" s="521"/>
      <c r="G5" s="522"/>
      <c r="H5" s="513">
        <f>H4-G12</f>
        <v>1970006</v>
      </c>
      <c r="I5" s="514"/>
      <c r="J5" s="515"/>
      <c r="K5" s="17"/>
      <c r="L5" s="76" t="s">
        <v>54</v>
      </c>
      <c r="M5" s="516">
        <f>M4-G13</f>
        <v>373047.10000000009</v>
      </c>
      <c r="N5" s="517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526" t="s">
        <v>27</v>
      </c>
      <c r="B8" s="527"/>
      <c r="C8" s="528"/>
      <c r="D8" s="526" t="s">
        <v>28</v>
      </c>
      <c r="E8" s="527"/>
      <c r="F8" s="528"/>
      <c r="G8" s="529" t="s">
        <v>29</v>
      </c>
      <c r="H8" s="530"/>
      <c r="I8" s="531"/>
      <c r="J8" s="529" t="s">
        <v>142</v>
      </c>
      <c r="K8" s="530"/>
      <c r="L8" s="531"/>
      <c r="M8" s="526" t="s">
        <v>30</v>
      </c>
      <c r="N8" s="528"/>
    </row>
    <row r="9" spans="1:14" ht="41.25" customHeight="1" thickBot="1" x14ac:dyDescent="0.3">
      <c r="A9" s="504" t="s">
        <v>31</v>
      </c>
      <c r="B9" s="505"/>
      <c r="C9" s="506"/>
      <c r="D9" s="503">
        <f>'Состоявшиеся аукционы'!G2</f>
        <v>740880</v>
      </c>
      <c r="E9" s="503"/>
      <c r="F9" s="503"/>
      <c r="G9" s="503">
        <f>'Состоявшиеся аукционы'!Q2</f>
        <v>674200.8</v>
      </c>
      <c r="H9" s="503"/>
      <c r="I9" s="503"/>
      <c r="J9" s="500">
        <f>'Состоявшиеся аукционы'!AB2</f>
        <v>0</v>
      </c>
      <c r="K9" s="501"/>
      <c r="L9" s="502"/>
      <c r="M9" s="503">
        <f t="shared" ref="M9:M15" si="0">D9-G9</f>
        <v>66679.199999999953</v>
      </c>
      <c r="N9" s="503"/>
    </row>
    <row r="10" spans="1:14" ht="78.75" customHeight="1" thickBot="1" x14ac:dyDescent="0.3">
      <c r="A10" s="504" t="s">
        <v>49</v>
      </c>
      <c r="B10" s="505"/>
      <c r="C10" s="506"/>
      <c r="D10" s="503">
        <f>'Несостоявшиеся аукционы'!G2</f>
        <v>847247.54</v>
      </c>
      <c r="E10" s="503"/>
      <c r="F10" s="503"/>
      <c r="G10" s="503">
        <f>'Несостоявшиеся аукционы'!Q2</f>
        <v>847247.54</v>
      </c>
      <c r="H10" s="503"/>
      <c r="I10" s="503"/>
      <c r="J10" s="500">
        <f>'Несостоявшиеся аукционы'!AB2</f>
        <v>0</v>
      </c>
      <c r="K10" s="501"/>
      <c r="L10" s="502"/>
      <c r="M10" s="503">
        <f t="shared" si="0"/>
        <v>0</v>
      </c>
      <c r="N10" s="503"/>
    </row>
    <row r="11" spans="1:14" ht="40.5" customHeight="1" thickBot="1" x14ac:dyDescent="0.3">
      <c r="A11" s="504" t="s">
        <v>83</v>
      </c>
      <c r="B11" s="505"/>
      <c r="C11" s="506"/>
      <c r="D11" s="500">
        <f>'Иные конкурентные закупки'!G2</f>
        <v>0</v>
      </c>
      <c r="E11" s="501"/>
      <c r="F11" s="502"/>
      <c r="G11" s="500">
        <f>'Иные конкурентные закупки'!Q2</f>
        <v>0</v>
      </c>
      <c r="H11" s="501"/>
      <c r="I11" s="502"/>
      <c r="J11" s="500">
        <f>'Иные конкурентные закупки'!AB2</f>
        <v>0</v>
      </c>
      <c r="K11" s="501"/>
      <c r="L11" s="502"/>
      <c r="M11" s="500">
        <f t="shared" si="0"/>
        <v>0</v>
      </c>
      <c r="N11" s="502"/>
    </row>
    <row r="12" spans="1:14" ht="54.75" customHeight="1" thickBot="1" x14ac:dyDescent="0.3">
      <c r="A12" s="507" t="s">
        <v>50</v>
      </c>
      <c r="B12" s="508"/>
      <c r="C12" s="509"/>
      <c r="D12" s="503">
        <f>'Ед. поставщик п.4 ч.1'!H2</f>
        <v>29994</v>
      </c>
      <c r="E12" s="503"/>
      <c r="F12" s="503"/>
      <c r="G12" s="503">
        <f>D12</f>
        <v>29994</v>
      </c>
      <c r="H12" s="503"/>
      <c r="I12" s="503"/>
      <c r="J12" s="500">
        <f>'Ед. поставщик п.4 ч.1'!V2</f>
        <v>0</v>
      </c>
      <c r="K12" s="501"/>
      <c r="L12" s="502"/>
      <c r="M12" s="503">
        <f t="shared" si="0"/>
        <v>0</v>
      </c>
      <c r="N12" s="503"/>
    </row>
    <row r="13" spans="1:14" ht="45.75" customHeight="1" thickBot="1" x14ac:dyDescent="0.3">
      <c r="A13" s="507" t="s">
        <v>51</v>
      </c>
      <c r="B13" s="508"/>
      <c r="C13" s="509"/>
      <c r="D13" s="503">
        <f>'Ед. поставщик п.5 ч.1'!H2</f>
        <v>1706900.98</v>
      </c>
      <c r="E13" s="503"/>
      <c r="F13" s="503"/>
      <c r="G13" s="503">
        <f>D13</f>
        <v>1706900.98</v>
      </c>
      <c r="H13" s="503"/>
      <c r="I13" s="503"/>
      <c r="J13" s="500">
        <f>'Ед. поставщик п.5 ч.1'!V2</f>
        <v>139403.32</v>
      </c>
      <c r="K13" s="501"/>
      <c r="L13" s="502"/>
      <c r="M13" s="503">
        <f t="shared" si="0"/>
        <v>0</v>
      </c>
      <c r="N13" s="503"/>
    </row>
    <row r="14" spans="1:14" ht="45.75" customHeight="1" thickBot="1" x14ac:dyDescent="0.3">
      <c r="A14" s="497" t="s">
        <v>52</v>
      </c>
      <c r="B14" s="498"/>
      <c r="C14" s="499"/>
      <c r="D14" s="500">
        <f>'Ед.поставщик за искл. п.4,5 ч.1'!G2</f>
        <v>1357561.5350000001</v>
      </c>
      <c r="E14" s="501"/>
      <c r="F14" s="502"/>
      <c r="G14" s="500">
        <f>D14</f>
        <v>1357561.5350000001</v>
      </c>
      <c r="H14" s="501"/>
      <c r="I14" s="502"/>
      <c r="J14" s="500">
        <f>'Ед.поставщик за искл. п.4,5 ч.1'!T2</f>
        <v>0</v>
      </c>
      <c r="K14" s="501"/>
      <c r="L14" s="502"/>
      <c r="M14" s="503">
        <f t="shared" si="0"/>
        <v>0</v>
      </c>
      <c r="N14" s="503"/>
    </row>
    <row r="15" spans="1:14" ht="21" thickBot="1" x14ac:dyDescent="0.3">
      <c r="A15" s="510" t="s">
        <v>146</v>
      </c>
      <c r="B15" s="511"/>
      <c r="C15" s="512"/>
      <c r="D15" s="503">
        <f>SUM(D9:D14)</f>
        <v>4682584.0549999997</v>
      </c>
      <c r="E15" s="503"/>
      <c r="F15" s="503"/>
      <c r="G15" s="500">
        <f>SUM(G9:G14)</f>
        <v>4615904.8550000004</v>
      </c>
      <c r="H15" s="501"/>
      <c r="I15" s="502"/>
      <c r="J15" s="500">
        <f>SUM(J9:J14)</f>
        <v>139403.32</v>
      </c>
      <c r="K15" s="501"/>
      <c r="L15" s="502"/>
      <c r="M15" s="503">
        <f t="shared" si="0"/>
        <v>66679.199999999255</v>
      </c>
      <c r="N15" s="503"/>
    </row>
    <row r="18" spans="1:12" ht="15.75" thickBot="1" x14ac:dyDescent="0.3"/>
    <row r="19" spans="1:12" ht="23.25" customHeight="1" x14ac:dyDescent="0.25">
      <c r="A19" s="485" t="s">
        <v>35</v>
      </c>
      <c r="B19" s="486"/>
      <c r="C19" s="487"/>
      <c r="D19" s="491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2852641.23</v>
      </c>
      <c r="E19" s="492"/>
      <c r="F19" s="492"/>
      <c r="G19" s="493"/>
      <c r="I19" s="15"/>
      <c r="J19" s="15"/>
      <c r="K19" s="15"/>
      <c r="L19" s="15"/>
    </row>
    <row r="20" spans="1:12" ht="24" customHeight="1" thickBot="1" x14ac:dyDescent="0.3">
      <c r="A20" s="488"/>
      <c r="B20" s="489"/>
      <c r="C20" s="490"/>
      <c r="D20" s="494"/>
      <c r="E20" s="495"/>
      <c r="F20" s="495"/>
      <c r="G20" s="496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4"/>
  <sheetViews>
    <sheetView showGridLines="0" topLeftCell="G1" zoomScale="50" zoomScaleNormal="50" workbookViewId="0">
      <pane ySplit="8" topLeftCell="A9" activePane="bottomLeft" state="frozen"/>
      <selection activeCell="I1" sqref="I1"/>
      <selection pane="bottomLeft" activeCell="Q13" sqref="Q13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570312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425781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5703125" style="2" customWidth="1"/>
    <col min="21" max="21" width="24.5703125" style="11" customWidth="1"/>
    <col min="22" max="22" width="25.5703125" style="26" customWidth="1"/>
    <col min="23" max="23" width="17.570312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29994</v>
      </c>
      <c r="K2" s="532"/>
      <c r="L2" s="532"/>
      <c r="M2" s="532"/>
      <c r="N2" s="533" t="s">
        <v>137</v>
      </c>
      <c r="O2" s="535"/>
      <c r="P2" s="66">
        <f>SUM(P9:P9999)</f>
        <v>29994</v>
      </c>
      <c r="R2" s="65"/>
      <c r="S2" s="533" t="s">
        <v>45</v>
      </c>
      <c r="T2" s="534"/>
      <c r="U2" s="535"/>
      <c r="V2" s="67">
        <f>SUM(V9:V9999)</f>
        <v>0</v>
      </c>
    </row>
    <row r="3" spans="1:24" x14ac:dyDescent="0.25">
      <c r="A3" s="532"/>
      <c r="B3" s="532"/>
      <c r="C3" s="532"/>
      <c r="D3" s="532"/>
      <c r="E3" s="532"/>
      <c r="N3" s="65"/>
    </row>
    <row r="4" spans="1:24" ht="39.950000000000003" customHeight="1" x14ac:dyDescent="0.25">
      <c r="J4" s="536"/>
      <c r="K4" s="536"/>
      <c r="M4" s="536"/>
      <c r="N4" s="536"/>
      <c r="O4" s="536"/>
      <c r="P4" s="536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80" customFormat="1" ht="75" x14ac:dyDescent="0.25">
      <c r="A9" s="213">
        <v>1</v>
      </c>
      <c r="B9" s="220" t="s">
        <v>56</v>
      </c>
      <c r="C9" s="215" t="s">
        <v>147</v>
      </c>
      <c r="D9" s="215" t="s">
        <v>153</v>
      </c>
      <c r="E9" s="215">
        <v>10113</v>
      </c>
      <c r="F9" s="397">
        <v>45702</v>
      </c>
      <c r="G9" s="215" t="s">
        <v>231</v>
      </c>
      <c r="H9" s="218">
        <v>7000</v>
      </c>
      <c r="I9" s="214">
        <f>IF(X9 = 124, H9 + SUM(S9:S9) - SUM(T9:T9) - SUM(P9:P9) - V9,0)</f>
        <v>0</v>
      </c>
      <c r="J9" s="215" t="s">
        <v>232</v>
      </c>
      <c r="K9" s="215" t="s">
        <v>233</v>
      </c>
      <c r="L9" s="215" t="s">
        <v>147</v>
      </c>
      <c r="M9" s="215" t="s">
        <v>234</v>
      </c>
      <c r="N9" s="219">
        <v>45702</v>
      </c>
      <c r="O9" s="219" t="s">
        <v>235</v>
      </c>
      <c r="P9" s="236">
        <v>7000</v>
      </c>
      <c r="Q9" s="216">
        <v>45706</v>
      </c>
      <c r="R9" s="215"/>
      <c r="S9" s="218"/>
      <c r="T9" s="218"/>
      <c r="U9" s="218"/>
      <c r="V9" s="217"/>
      <c r="W9" s="212"/>
      <c r="X9" s="80">
        <v>124</v>
      </c>
    </row>
    <row r="10" spans="1:24" s="80" customFormat="1" ht="93.75" x14ac:dyDescent="0.25">
      <c r="A10" s="237">
        <v>2</v>
      </c>
      <c r="B10" s="220" t="s">
        <v>56</v>
      </c>
      <c r="C10" s="239" t="s">
        <v>147</v>
      </c>
      <c r="D10" s="215" t="s">
        <v>153</v>
      </c>
      <c r="E10" s="239" t="s">
        <v>245</v>
      </c>
      <c r="F10" s="398">
        <v>45692</v>
      </c>
      <c r="G10" s="239" t="s">
        <v>246</v>
      </c>
      <c r="H10" s="238">
        <v>2400</v>
      </c>
      <c r="I10" s="242">
        <f>IF(X10 = 125, H10 + SUM(S10:S10) - SUM(T10:T10) - SUM(P10:P10) - V10,0)</f>
        <v>0</v>
      </c>
      <c r="J10" s="239" t="s">
        <v>247</v>
      </c>
      <c r="K10" s="239" t="s">
        <v>248</v>
      </c>
      <c r="L10" s="239" t="s">
        <v>147</v>
      </c>
      <c r="M10" s="239" t="s">
        <v>249</v>
      </c>
      <c r="N10" s="253">
        <v>45692</v>
      </c>
      <c r="O10" s="219" t="s">
        <v>250</v>
      </c>
      <c r="P10" s="254">
        <v>2400</v>
      </c>
      <c r="Q10" s="241">
        <v>45700</v>
      </c>
      <c r="R10" s="239"/>
      <c r="S10" s="238"/>
      <c r="T10" s="238"/>
      <c r="U10" s="238"/>
      <c r="V10" s="252"/>
      <c r="W10" s="240"/>
      <c r="X10" s="80">
        <v>125</v>
      </c>
    </row>
    <row r="11" spans="1:24" s="80" customFormat="1" ht="56.25" x14ac:dyDescent="0.25">
      <c r="A11" s="243">
        <v>3</v>
      </c>
      <c r="B11" s="220" t="s">
        <v>56</v>
      </c>
      <c r="C11" s="245" t="s">
        <v>147</v>
      </c>
      <c r="D11" s="215" t="s">
        <v>153</v>
      </c>
      <c r="E11" s="245" t="s">
        <v>116</v>
      </c>
      <c r="F11" s="398">
        <v>45709</v>
      </c>
      <c r="G11" s="245" t="s">
        <v>251</v>
      </c>
      <c r="H11" s="244">
        <v>15490</v>
      </c>
      <c r="I11" s="249">
        <f>IF(X11 = 126, H11 + SUM(S11:S11) - SUM(T11:T11) - SUM(P11:P11) - V11,0)</f>
        <v>0</v>
      </c>
      <c r="J11" s="245" t="s">
        <v>252</v>
      </c>
      <c r="K11" s="245" t="s">
        <v>253</v>
      </c>
      <c r="L11" s="245" t="s">
        <v>147</v>
      </c>
      <c r="M11" s="245" t="s">
        <v>255</v>
      </c>
      <c r="N11" s="255">
        <v>45709</v>
      </c>
      <c r="O11" s="255" t="s">
        <v>276</v>
      </c>
      <c r="P11" s="254">
        <v>15490</v>
      </c>
      <c r="Q11" s="248">
        <v>45714</v>
      </c>
      <c r="R11" s="245"/>
      <c r="S11" s="244"/>
      <c r="T11" s="244"/>
      <c r="U11" s="244"/>
      <c r="V11" s="252"/>
      <c r="W11" s="247"/>
      <c r="X11" s="80">
        <v>126</v>
      </c>
    </row>
    <row r="12" spans="1:24" s="80" customFormat="1" ht="75" x14ac:dyDescent="0.25">
      <c r="A12" s="274">
        <v>4</v>
      </c>
      <c r="B12" s="220" t="s">
        <v>56</v>
      </c>
      <c r="C12" s="275" t="s">
        <v>147</v>
      </c>
      <c r="D12" s="215" t="s">
        <v>153</v>
      </c>
      <c r="E12" s="275" t="s">
        <v>271</v>
      </c>
      <c r="F12" s="401">
        <v>45748</v>
      </c>
      <c r="G12" s="275" t="s">
        <v>272</v>
      </c>
      <c r="H12" s="276">
        <v>4000</v>
      </c>
      <c r="I12" s="277">
        <f>IF(X12 = 127, H12 + SUM(S12:S12) - SUM(T12:T12) - SUM(P12:P12) - V12,0)</f>
        <v>0</v>
      </c>
      <c r="J12" s="275" t="s">
        <v>273</v>
      </c>
      <c r="K12" s="275" t="s">
        <v>274</v>
      </c>
      <c r="L12" s="275" t="s">
        <v>147</v>
      </c>
      <c r="M12" s="275" t="s">
        <v>275</v>
      </c>
      <c r="N12" s="280">
        <v>45748</v>
      </c>
      <c r="O12" s="272" t="s">
        <v>254</v>
      </c>
      <c r="P12" s="458">
        <v>4000</v>
      </c>
      <c r="Q12" s="278">
        <v>45749</v>
      </c>
      <c r="R12" s="275"/>
      <c r="S12" s="276"/>
      <c r="T12" s="276"/>
      <c r="U12" s="276"/>
      <c r="V12" s="279"/>
      <c r="W12" s="273"/>
      <c r="X12" s="80">
        <v>127</v>
      </c>
    </row>
    <row r="13" spans="1:24" s="80" customFormat="1" ht="75" x14ac:dyDescent="0.25">
      <c r="A13" s="419">
        <v>5</v>
      </c>
      <c r="B13" s="220" t="s">
        <v>56</v>
      </c>
      <c r="C13" s="420" t="s">
        <v>147</v>
      </c>
      <c r="D13" s="215" t="s">
        <v>153</v>
      </c>
      <c r="E13" s="420" t="s">
        <v>129</v>
      </c>
      <c r="F13" s="432">
        <v>45755</v>
      </c>
      <c r="G13" s="420" t="s">
        <v>288</v>
      </c>
      <c r="H13" s="422">
        <v>1104</v>
      </c>
      <c r="I13" s="423">
        <f>IF(X13 = 128, H13 + SUM(S13:S13) - SUM(T13:T13) - SUM(P13:P13) - V13,0)</f>
        <v>0</v>
      </c>
      <c r="J13" s="420" t="s">
        <v>289</v>
      </c>
      <c r="K13" s="420" t="s">
        <v>290</v>
      </c>
      <c r="L13" s="420" t="s">
        <v>147</v>
      </c>
      <c r="M13" s="420" t="s">
        <v>291</v>
      </c>
      <c r="N13" s="432">
        <v>45770</v>
      </c>
      <c r="O13" s="272" t="s">
        <v>292</v>
      </c>
      <c r="P13" s="465">
        <v>1104</v>
      </c>
      <c r="Q13" s="421">
        <v>45772</v>
      </c>
      <c r="R13" s="420"/>
      <c r="S13" s="422"/>
      <c r="T13" s="422"/>
      <c r="U13" s="422"/>
      <c r="V13" s="431"/>
      <c r="W13" s="427"/>
      <c r="X13" s="80">
        <v>128</v>
      </c>
    </row>
    <row r="14" spans="1:24" ht="16.5" customHeight="1" x14ac:dyDescent="0.25">
      <c r="A14" s="101"/>
      <c r="B14" s="134"/>
      <c r="C14" s="102"/>
      <c r="D14" s="134"/>
      <c r="E14" s="128"/>
      <c r="F14" s="106"/>
      <c r="G14" s="102"/>
      <c r="H14" s="107"/>
      <c r="I14" s="108">
        <f>IF(X14 = 72, H14 + SUM(S14:S14) - SUM(T14:T14) - SUM(P14:P14) - V14,0)</f>
        <v>0</v>
      </c>
      <c r="J14" s="102"/>
      <c r="K14" s="102"/>
      <c r="L14" s="102"/>
      <c r="M14" s="127"/>
      <c r="N14" s="106"/>
      <c r="O14" s="129"/>
      <c r="P14" s="107"/>
      <c r="Q14" s="103"/>
      <c r="R14" s="105"/>
      <c r="S14" s="107"/>
      <c r="T14" s="107"/>
      <c r="U14" s="107"/>
      <c r="V14" s="104"/>
      <c r="W14" s="105"/>
      <c r="X14" s="2">
        <v>129</v>
      </c>
    </row>
  </sheetData>
  <sheetProtection algorithmName="SHA-512" hashValue="Fx5Up2qq9guKG1VgS05ynOlmU43phx4OueN7CTaGiG1zHhbcYpQ3t1omzWtDrqd5jv+Vg8eu23mk8B5BPirBmg==" saltValue="6xl0a+YibY3JdsvH7VvYyw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76"/>
  <sheetViews>
    <sheetView showGridLines="0" topLeftCell="G1" zoomScale="50" zoomScaleNormal="50" workbookViewId="0">
      <pane ySplit="8" topLeftCell="A9" activePane="bottomLeft" state="frozen"/>
      <selection pane="bottomLeft" activeCell="O63" sqref="O63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42578125" style="3" customWidth="1"/>
    <col min="6" max="6" width="32.42578125" style="3" customWidth="1"/>
    <col min="7" max="7" width="40.42578125" style="11" customWidth="1"/>
    <col min="8" max="8" width="27.5703125" style="3" customWidth="1"/>
    <col min="9" max="9" width="33" style="3" customWidth="1"/>
    <col min="10" max="11" width="27.425781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42578125" style="3" customWidth="1"/>
    <col min="16" max="16" width="24.5703125" style="26" customWidth="1"/>
    <col min="17" max="17" width="24.42578125" style="11" customWidth="1"/>
    <col min="18" max="18" width="23.42578125" style="3" customWidth="1"/>
    <col min="19" max="19" width="25.5703125" style="3" customWidth="1"/>
    <col min="20" max="20" width="26" style="3" customWidth="1"/>
    <col min="21" max="21" width="23.570312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669" t="s">
        <v>24</v>
      </c>
      <c r="G2" s="670"/>
      <c r="H2" s="75">
        <f>SUM(H9:H9999)</f>
        <v>1706900.98</v>
      </c>
      <c r="I2" s="65"/>
      <c r="N2" s="533" t="s">
        <v>137</v>
      </c>
      <c r="O2" s="535"/>
      <c r="P2" s="66">
        <f>SUM(P9:P9999)</f>
        <v>776146.87999999989</v>
      </c>
      <c r="R2" s="65"/>
      <c r="S2" s="533" t="s">
        <v>45</v>
      </c>
      <c r="T2" s="534"/>
      <c r="U2" s="535"/>
      <c r="V2" s="67">
        <f>SUM(V9:V9999)</f>
        <v>139403.32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35000000000002" customHeight="1" x14ac:dyDescent="0.25">
      <c r="A9" s="683">
        <v>1</v>
      </c>
      <c r="B9" s="771" t="s">
        <v>56</v>
      </c>
      <c r="C9" s="771" t="s">
        <v>147</v>
      </c>
      <c r="D9" s="771" t="s">
        <v>155</v>
      </c>
      <c r="E9" s="771" t="s">
        <v>195</v>
      </c>
      <c r="F9" s="780">
        <v>45566</v>
      </c>
      <c r="G9" s="783" t="s">
        <v>148</v>
      </c>
      <c r="H9" s="768">
        <v>230728.3</v>
      </c>
      <c r="I9" s="786">
        <f>IF(X9 = 1, H9 + SUM(S9:S15) - SUM(T9:T15) - SUM(P9:P15) - V9,0)</f>
        <v>136041.25</v>
      </c>
      <c r="J9" s="789">
        <v>2308070396</v>
      </c>
      <c r="K9" s="792" t="s">
        <v>149</v>
      </c>
      <c r="L9" s="771" t="s">
        <v>147</v>
      </c>
      <c r="M9" s="771" t="s">
        <v>194</v>
      </c>
      <c r="N9" s="454">
        <v>45666</v>
      </c>
      <c r="O9" s="765" t="s">
        <v>154</v>
      </c>
      <c r="P9" s="442">
        <v>23514.78</v>
      </c>
      <c r="Q9" s="443">
        <v>45685</v>
      </c>
      <c r="R9" s="444"/>
      <c r="S9" s="445"/>
      <c r="T9" s="446"/>
      <c r="U9" s="768"/>
      <c r="V9" s="774"/>
      <c r="W9" s="777"/>
      <c r="X9" s="80">
        <v>1</v>
      </c>
    </row>
    <row r="10" spans="1:24" s="110" customFormat="1" x14ac:dyDescent="0.25">
      <c r="A10" s="684"/>
      <c r="B10" s="772"/>
      <c r="C10" s="772"/>
      <c r="D10" s="772"/>
      <c r="E10" s="772"/>
      <c r="F10" s="781"/>
      <c r="G10" s="784"/>
      <c r="H10" s="769"/>
      <c r="I10" s="787"/>
      <c r="J10" s="790"/>
      <c r="K10" s="793"/>
      <c r="L10" s="772"/>
      <c r="M10" s="772"/>
      <c r="N10" s="455">
        <v>45688</v>
      </c>
      <c r="O10" s="766"/>
      <c r="P10" s="447">
        <v>16627.64</v>
      </c>
      <c r="Q10" s="448">
        <v>45700</v>
      </c>
      <c r="R10" s="449"/>
      <c r="S10" s="450"/>
      <c r="T10" s="450"/>
      <c r="U10" s="769"/>
      <c r="V10" s="775"/>
      <c r="W10" s="778"/>
      <c r="X10" s="110">
        <v>1</v>
      </c>
    </row>
    <row r="11" spans="1:24" s="110" customFormat="1" x14ac:dyDescent="0.25">
      <c r="A11" s="684"/>
      <c r="B11" s="772"/>
      <c r="C11" s="772"/>
      <c r="D11" s="772"/>
      <c r="E11" s="772"/>
      <c r="F11" s="781"/>
      <c r="G11" s="784"/>
      <c r="H11" s="769"/>
      <c r="I11" s="787"/>
      <c r="J11" s="790"/>
      <c r="K11" s="793"/>
      <c r="L11" s="772"/>
      <c r="M11" s="772"/>
      <c r="N11" s="455">
        <v>45689</v>
      </c>
      <c r="O11" s="766"/>
      <c r="P11" s="447">
        <v>18955.86</v>
      </c>
      <c r="Q11" s="448">
        <v>45695</v>
      </c>
      <c r="R11" s="449"/>
      <c r="S11" s="450"/>
      <c r="T11" s="450"/>
      <c r="U11" s="769"/>
      <c r="V11" s="775"/>
      <c r="W11" s="778"/>
      <c r="X11" s="110">
        <v>1</v>
      </c>
    </row>
    <row r="12" spans="1:24" s="110" customFormat="1" x14ac:dyDescent="0.25">
      <c r="A12" s="684"/>
      <c r="B12" s="772"/>
      <c r="C12" s="772"/>
      <c r="D12" s="772"/>
      <c r="E12" s="772"/>
      <c r="F12" s="781"/>
      <c r="G12" s="784"/>
      <c r="H12" s="769"/>
      <c r="I12" s="787"/>
      <c r="J12" s="790"/>
      <c r="K12" s="793"/>
      <c r="L12" s="772"/>
      <c r="M12" s="772"/>
      <c r="N12" s="455">
        <v>45716</v>
      </c>
      <c r="O12" s="766"/>
      <c r="P12" s="447">
        <v>5334.45</v>
      </c>
      <c r="Q12" s="448">
        <v>45729</v>
      </c>
      <c r="R12" s="449"/>
      <c r="S12" s="450"/>
      <c r="T12" s="450"/>
      <c r="U12" s="769"/>
      <c r="V12" s="775"/>
      <c r="W12" s="778"/>
      <c r="X12" s="110">
        <v>1</v>
      </c>
    </row>
    <row r="13" spans="1:24" s="110" customFormat="1" x14ac:dyDescent="0.25">
      <c r="A13" s="684"/>
      <c r="B13" s="772"/>
      <c r="C13" s="772"/>
      <c r="D13" s="772"/>
      <c r="E13" s="772"/>
      <c r="F13" s="781"/>
      <c r="G13" s="784"/>
      <c r="H13" s="769"/>
      <c r="I13" s="787"/>
      <c r="J13" s="790"/>
      <c r="K13" s="793"/>
      <c r="L13" s="772"/>
      <c r="M13" s="772"/>
      <c r="N13" s="455">
        <v>45717</v>
      </c>
      <c r="O13" s="766"/>
      <c r="P13" s="447">
        <v>11909.66</v>
      </c>
      <c r="Q13" s="448">
        <v>45720</v>
      </c>
      <c r="R13" s="449"/>
      <c r="S13" s="450"/>
      <c r="T13" s="450"/>
      <c r="U13" s="769"/>
      <c r="V13" s="775"/>
      <c r="W13" s="778"/>
      <c r="X13" s="110">
        <v>1</v>
      </c>
    </row>
    <row r="14" spans="1:24" s="110" customFormat="1" x14ac:dyDescent="0.25">
      <c r="A14" s="684"/>
      <c r="B14" s="772"/>
      <c r="C14" s="772"/>
      <c r="D14" s="772"/>
      <c r="E14" s="772"/>
      <c r="F14" s="781"/>
      <c r="G14" s="784"/>
      <c r="H14" s="769"/>
      <c r="I14" s="787"/>
      <c r="J14" s="790"/>
      <c r="K14" s="793"/>
      <c r="L14" s="772"/>
      <c r="M14" s="772"/>
      <c r="N14" s="455">
        <v>45747</v>
      </c>
      <c r="O14" s="766"/>
      <c r="P14" s="447">
        <v>12342.24</v>
      </c>
      <c r="Q14" s="448">
        <v>45763</v>
      </c>
      <c r="R14" s="449"/>
      <c r="S14" s="450"/>
      <c r="T14" s="450"/>
      <c r="U14" s="769"/>
      <c r="V14" s="775"/>
      <c r="W14" s="778"/>
      <c r="X14" s="110">
        <v>1</v>
      </c>
    </row>
    <row r="15" spans="1:24" s="110" customFormat="1" x14ac:dyDescent="0.25">
      <c r="A15" s="685"/>
      <c r="B15" s="773"/>
      <c r="C15" s="773"/>
      <c r="D15" s="773"/>
      <c r="E15" s="773"/>
      <c r="F15" s="782"/>
      <c r="G15" s="785"/>
      <c r="H15" s="770"/>
      <c r="I15" s="788"/>
      <c r="J15" s="791"/>
      <c r="K15" s="794"/>
      <c r="L15" s="773"/>
      <c r="M15" s="773"/>
      <c r="N15" s="456">
        <v>45778</v>
      </c>
      <c r="O15" s="767"/>
      <c r="P15" s="451">
        <v>6002.42</v>
      </c>
      <c r="Q15" s="452"/>
      <c r="R15" s="453"/>
      <c r="S15" s="451"/>
      <c r="T15" s="451"/>
      <c r="U15" s="770"/>
      <c r="V15" s="776"/>
      <c r="W15" s="779"/>
      <c r="X15" s="110">
        <v>1</v>
      </c>
    </row>
    <row r="16" spans="1:24" s="80" customFormat="1" ht="63.6" customHeight="1" x14ac:dyDescent="0.25">
      <c r="A16" s="795">
        <v>2</v>
      </c>
      <c r="B16" s="771" t="s">
        <v>56</v>
      </c>
      <c r="C16" s="771" t="s">
        <v>147</v>
      </c>
      <c r="D16" s="771" t="s">
        <v>153</v>
      </c>
      <c r="E16" s="771" t="s">
        <v>161</v>
      </c>
      <c r="F16" s="780">
        <v>45653</v>
      </c>
      <c r="G16" s="783" t="s">
        <v>162</v>
      </c>
      <c r="H16" s="768">
        <v>24254.1</v>
      </c>
      <c r="I16" s="786">
        <f>IF(X16 = 33, H16 + SUM(S16:S19) - SUM(T16:T19) - SUM(P16:P19) - V16,0)</f>
        <v>8084.6999999999989</v>
      </c>
      <c r="J16" s="789">
        <v>2308131994</v>
      </c>
      <c r="K16" s="792" t="s">
        <v>163</v>
      </c>
      <c r="L16" s="771" t="s">
        <v>147</v>
      </c>
      <c r="M16" s="771" t="s">
        <v>224</v>
      </c>
      <c r="N16" s="454">
        <v>45688</v>
      </c>
      <c r="O16" s="765" t="s">
        <v>164</v>
      </c>
      <c r="P16" s="442">
        <v>4042.35</v>
      </c>
      <c r="Q16" s="443">
        <v>45702</v>
      </c>
      <c r="R16" s="444"/>
      <c r="S16" s="445"/>
      <c r="T16" s="445"/>
      <c r="U16" s="768"/>
      <c r="V16" s="774"/>
      <c r="W16" s="777"/>
      <c r="X16" s="80">
        <v>33</v>
      </c>
    </row>
    <row r="17" spans="1:24" s="110" customFormat="1" x14ac:dyDescent="0.25">
      <c r="A17" s="796"/>
      <c r="B17" s="772"/>
      <c r="C17" s="772"/>
      <c r="D17" s="772"/>
      <c r="E17" s="772"/>
      <c r="F17" s="781"/>
      <c r="G17" s="784"/>
      <c r="H17" s="769"/>
      <c r="I17" s="787"/>
      <c r="J17" s="790"/>
      <c r="K17" s="793"/>
      <c r="L17" s="772"/>
      <c r="M17" s="772"/>
      <c r="N17" s="455">
        <v>45716</v>
      </c>
      <c r="O17" s="766"/>
      <c r="P17" s="447">
        <v>4042.35</v>
      </c>
      <c r="Q17" s="448">
        <v>45720</v>
      </c>
      <c r="R17" s="449"/>
      <c r="S17" s="450"/>
      <c r="T17" s="450"/>
      <c r="U17" s="769"/>
      <c r="V17" s="775"/>
      <c r="W17" s="778"/>
      <c r="X17" s="110">
        <v>33</v>
      </c>
    </row>
    <row r="18" spans="1:24" s="110" customFormat="1" x14ac:dyDescent="0.25">
      <c r="A18" s="796"/>
      <c r="B18" s="772"/>
      <c r="C18" s="772"/>
      <c r="D18" s="772"/>
      <c r="E18" s="772"/>
      <c r="F18" s="781"/>
      <c r="G18" s="784"/>
      <c r="H18" s="769"/>
      <c r="I18" s="787"/>
      <c r="J18" s="790"/>
      <c r="K18" s="793"/>
      <c r="L18" s="772"/>
      <c r="M18" s="772"/>
      <c r="N18" s="455">
        <v>45747</v>
      </c>
      <c r="O18" s="766"/>
      <c r="P18" s="447">
        <v>4042.35</v>
      </c>
      <c r="Q18" s="448">
        <v>45754</v>
      </c>
      <c r="R18" s="449"/>
      <c r="S18" s="450"/>
      <c r="T18" s="450"/>
      <c r="U18" s="769"/>
      <c r="V18" s="775"/>
      <c r="W18" s="778"/>
      <c r="X18" s="110">
        <v>33</v>
      </c>
    </row>
    <row r="19" spans="1:24" s="110" customFormat="1" x14ac:dyDescent="0.25">
      <c r="A19" s="797"/>
      <c r="B19" s="773"/>
      <c r="C19" s="773"/>
      <c r="D19" s="773"/>
      <c r="E19" s="773"/>
      <c r="F19" s="782"/>
      <c r="G19" s="785"/>
      <c r="H19" s="770"/>
      <c r="I19" s="788"/>
      <c r="J19" s="791"/>
      <c r="K19" s="794"/>
      <c r="L19" s="773"/>
      <c r="M19" s="773"/>
      <c r="N19" s="456">
        <v>45777</v>
      </c>
      <c r="O19" s="767"/>
      <c r="P19" s="451">
        <v>4042.35</v>
      </c>
      <c r="Q19" s="452"/>
      <c r="R19" s="453"/>
      <c r="S19" s="451"/>
      <c r="T19" s="451"/>
      <c r="U19" s="770"/>
      <c r="V19" s="776"/>
      <c r="W19" s="779"/>
      <c r="X19" s="110">
        <v>33</v>
      </c>
    </row>
    <row r="20" spans="1:24" s="80" customFormat="1" ht="54" customHeight="1" x14ac:dyDescent="0.25">
      <c r="A20" s="677">
        <v>3</v>
      </c>
      <c r="B20" s="627" t="s">
        <v>56</v>
      </c>
      <c r="C20" s="627" t="s">
        <v>147</v>
      </c>
      <c r="D20" s="627" t="s">
        <v>153</v>
      </c>
      <c r="E20" s="627" t="s">
        <v>165</v>
      </c>
      <c r="F20" s="630">
        <v>45657</v>
      </c>
      <c r="G20" s="636" t="s">
        <v>166</v>
      </c>
      <c r="H20" s="639">
        <v>24000</v>
      </c>
      <c r="I20" s="642">
        <f>IF(X20 = 34, H20 + SUM(S20:S23) - SUM(T20:T23) - SUM(P20:P23) - V20,0)</f>
        <v>16000</v>
      </c>
      <c r="J20" s="645">
        <v>2353002302</v>
      </c>
      <c r="K20" s="648" t="s">
        <v>167</v>
      </c>
      <c r="L20" s="627" t="s">
        <v>147</v>
      </c>
      <c r="M20" s="627" t="s">
        <v>194</v>
      </c>
      <c r="N20" s="428">
        <v>45688</v>
      </c>
      <c r="O20" s="680" t="s">
        <v>196</v>
      </c>
      <c r="P20" s="411">
        <v>2000</v>
      </c>
      <c r="Q20" s="412">
        <v>45695</v>
      </c>
      <c r="R20" s="413"/>
      <c r="S20" s="414"/>
      <c r="T20" s="414"/>
      <c r="U20" s="639"/>
      <c r="V20" s="624"/>
      <c r="W20" s="633"/>
      <c r="X20" s="80">
        <v>34</v>
      </c>
    </row>
    <row r="21" spans="1:24" s="110" customFormat="1" x14ac:dyDescent="0.25">
      <c r="A21" s="678"/>
      <c r="B21" s="628"/>
      <c r="C21" s="628"/>
      <c r="D21" s="628"/>
      <c r="E21" s="628"/>
      <c r="F21" s="631"/>
      <c r="G21" s="637"/>
      <c r="H21" s="640"/>
      <c r="I21" s="643"/>
      <c r="J21" s="646"/>
      <c r="K21" s="649"/>
      <c r="L21" s="628"/>
      <c r="M21" s="628"/>
      <c r="N21" s="429">
        <v>45716</v>
      </c>
      <c r="O21" s="681"/>
      <c r="P21" s="415">
        <v>2000</v>
      </c>
      <c r="Q21" s="416">
        <v>45720</v>
      </c>
      <c r="R21" s="417"/>
      <c r="S21" s="418"/>
      <c r="T21" s="418"/>
      <c r="U21" s="640"/>
      <c r="V21" s="625"/>
      <c r="W21" s="634"/>
      <c r="X21" s="110">
        <v>34</v>
      </c>
    </row>
    <row r="22" spans="1:24" s="110" customFormat="1" x14ac:dyDescent="0.25">
      <c r="A22" s="678"/>
      <c r="B22" s="628"/>
      <c r="C22" s="628"/>
      <c r="D22" s="628"/>
      <c r="E22" s="628"/>
      <c r="F22" s="631"/>
      <c r="G22" s="637"/>
      <c r="H22" s="640"/>
      <c r="I22" s="643"/>
      <c r="J22" s="646"/>
      <c r="K22" s="649"/>
      <c r="L22" s="628"/>
      <c r="M22" s="628"/>
      <c r="N22" s="429">
        <v>45747</v>
      </c>
      <c r="O22" s="681"/>
      <c r="P22" s="415">
        <v>2000</v>
      </c>
      <c r="Q22" s="416">
        <v>45749</v>
      </c>
      <c r="R22" s="417"/>
      <c r="S22" s="418"/>
      <c r="T22" s="418"/>
      <c r="U22" s="640"/>
      <c r="V22" s="625"/>
      <c r="W22" s="634"/>
      <c r="X22" s="110">
        <v>34</v>
      </c>
    </row>
    <row r="23" spans="1:24" s="110" customFormat="1" x14ac:dyDescent="0.25">
      <c r="A23" s="679"/>
      <c r="B23" s="629"/>
      <c r="C23" s="629"/>
      <c r="D23" s="629"/>
      <c r="E23" s="629"/>
      <c r="F23" s="632"/>
      <c r="G23" s="638"/>
      <c r="H23" s="641"/>
      <c r="I23" s="644"/>
      <c r="J23" s="647"/>
      <c r="K23" s="650"/>
      <c r="L23" s="629"/>
      <c r="M23" s="629"/>
      <c r="N23" s="430">
        <v>45777</v>
      </c>
      <c r="O23" s="682"/>
      <c r="P23" s="424">
        <v>2000</v>
      </c>
      <c r="Q23" s="425"/>
      <c r="R23" s="426"/>
      <c r="S23" s="424"/>
      <c r="T23" s="424"/>
      <c r="U23" s="641"/>
      <c r="V23" s="626"/>
      <c r="W23" s="635"/>
      <c r="X23" s="110">
        <v>34</v>
      </c>
    </row>
    <row r="24" spans="1:24" s="80" customFormat="1" ht="72" customHeight="1" x14ac:dyDescent="0.25">
      <c r="A24" s="677">
        <v>4</v>
      </c>
      <c r="B24" s="627" t="s">
        <v>56</v>
      </c>
      <c r="C24" s="627" t="s">
        <v>147</v>
      </c>
      <c r="D24" s="627" t="s">
        <v>153</v>
      </c>
      <c r="E24" s="627" t="s">
        <v>168</v>
      </c>
      <c r="F24" s="630">
        <v>45657</v>
      </c>
      <c r="G24" s="636" t="s">
        <v>169</v>
      </c>
      <c r="H24" s="639">
        <v>36000</v>
      </c>
      <c r="I24" s="642">
        <f>IF(X24 = 35, H24 + SUM(S24:S27) - SUM(T24:T27) - SUM(P24:P27) - V24,0)</f>
        <v>24000</v>
      </c>
      <c r="J24" s="645">
        <v>2353002302</v>
      </c>
      <c r="K24" s="648" t="s">
        <v>167</v>
      </c>
      <c r="L24" s="627" t="s">
        <v>147</v>
      </c>
      <c r="M24" s="627" t="s">
        <v>194</v>
      </c>
      <c r="N24" s="428">
        <v>45688</v>
      </c>
      <c r="O24" s="680" t="s">
        <v>180</v>
      </c>
      <c r="P24" s="411">
        <v>3000</v>
      </c>
      <c r="Q24" s="412">
        <v>45695</v>
      </c>
      <c r="R24" s="413"/>
      <c r="S24" s="414"/>
      <c r="T24" s="414"/>
      <c r="U24" s="639"/>
      <c r="V24" s="624"/>
      <c r="W24" s="633"/>
      <c r="X24" s="80">
        <v>35</v>
      </c>
    </row>
    <row r="25" spans="1:24" s="110" customFormat="1" x14ac:dyDescent="0.25">
      <c r="A25" s="678"/>
      <c r="B25" s="628"/>
      <c r="C25" s="628"/>
      <c r="D25" s="628"/>
      <c r="E25" s="628"/>
      <c r="F25" s="631"/>
      <c r="G25" s="637"/>
      <c r="H25" s="640"/>
      <c r="I25" s="643"/>
      <c r="J25" s="646"/>
      <c r="K25" s="649"/>
      <c r="L25" s="628"/>
      <c r="M25" s="628"/>
      <c r="N25" s="429">
        <v>45716</v>
      </c>
      <c r="O25" s="681"/>
      <c r="P25" s="415">
        <v>3000</v>
      </c>
      <c r="Q25" s="416">
        <v>45720</v>
      </c>
      <c r="R25" s="417"/>
      <c r="S25" s="418"/>
      <c r="T25" s="418"/>
      <c r="U25" s="640"/>
      <c r="V25" s="625"/>
      <c r="W25" s="634"/>
      <c r="X25" s="110">
        <v>35</v>
      </c>
    </row>
    <row r="26" spans="1:24" s="110" customFormat="1" x14ac:dyDescent="0.25">
      <c r="A26" s="678"/>
      <c r="B26" s="628"/>
      <c r="C26" s="628"/>
      <c r="D26" s="628"/>
      <c r="E26" s="628"/>
      <c r="F26" s="631"/>
      <c r="G26" s="637"/>
      <c r="H26" s="640"/>
      <c r="I26" s="643"/>
      <c r="J26" s="646"/>
      <c r="K26" s="649"/>
      <c r="L26" s="628"/>
      <c r="M26" s="628"/>
      <c r="N26" s="429">
        <v>45747</v>
      </c>
      <c r="O26" s="681"/>
      <c r="P26" s="415">
        <v>3000</v>
      </c>
      <c r="Q26" s="416">
        <v>45749</v>
      </c>
      <c r="R26" s="417"/>
      <c r="S26" s="418"/>
      <c r="T26" s="418"/>
      <c r="U26" s="640"/>
      <c r="V26" s="625"/>
      <c r="W26" s="634"/>
      <c r="X26" s="110">
        <v>35</v>
      </c>
    </row>
    <row r="27" spans="1:24" s="110" customFormat="1" x14ac:dyDescent="0.25">
      <c r="A27" s="679"/>
      <c r="B27" s="629"/>
      <c r="C27" s="629"/>
      <c r="D27" s="629"/>
      <c r="E27" s="629"/>
      <c r="F27" s="632"/>
      <c r="G27" s="638"/>
      <c r="H27" s="641"/>
      <c r="I27" s="644"/>
      <c r="J27" s="647"/>
      <c r="K27" s="650"/>
      <c r="L27" s="629"/>
      <c r="M27" s="629"/>
      <c r="N27" s="430">
        <v>45777</v>
      </c>
      <c r="O27" s="682"/>
      <c r="P27" s="424">
        <v>3000</v>
      </c>
      <c r="Q27" s="425"/>
      <c r="R27" s="426"/>
      <c r="S27" s="424"/>
      <c r="T27" s="424"/>
      <c r="U27" s="641"/>
      <c r="V27" s="626"/>
      <c r="W27" s="635"/>
      <c r="X27" s="110">
        <v>35</v>
      </c>
    </row>
    <row r="28" spans="1:24" s="80" customFormat="1" ht="90" customHeight="1" x14ac:dyDescent="0.25">
      <c r="A28" s="677">
        <v>5</v>
      </c>
      <c r="B28" s="627" t="s">
        <v>56</v>
      </c>
      <c r="C28" s="627" t="s">
        <v>147</v>
      </c>
      <c r="D28" s="627" t="s">
        <v>153</v>
      </c>
      <c r="E28" s="627" t="s">
        <v>197</v>
      </c>
      <c r="F28" s="630">
        <v>45653</v>
      </c>
      <c r="G28" s="636" t="s">
        <v>170</v>
      </c>
      <c r="H28" s="639">
        <v>27331.200000000001</v>
      </c>
      <c r="I28" s="642">
        <f>IF(X28 = 36, H28 + SUM(S28:S31) - SUM(T28:T31) - SUM(P28:P31) - V28,0)</f>
        <v>18220.800000000003</v>
      </c>
      <c r="J28" s="645">
        <v>2310163739</v>
      </c>
      <c r="K28" s="648" t="s">
        <v>171</v>
      </c>
      <c r="L28" s="627" t="s">
        <v>147</v>
      </c>
      <c r="M28" s="627" t="s">
        <v>194</v>
      </c>
      <c r="N28" s="428">
        <v>45688</v>
      </c>
      <c r="O28" s="680" t="s">
        <v>172</v>
      </c>
      <c r="P28" s="411">
        <v>2277.6</v>
      </c>
      <c r="Q28" s="412">
        <v>45709</v>
      </c>
      <c r="R28" s="413"/>
      <c r="S28" s="414"/>
      <c r="T28" s="414"/>
      <c r="U28" s="639"/>
      <c r="V28" s="624"/>
      <c r="W28" s="633"/>
      <c r="X28" s="80">
        <v>36</v>
      </c>
    </row>
    <row r="29" spans="1:24" s="110" customFormat="1" x14ac:dyDescent="0.25">
      <c r="A29" s="678"/>
      <c r="B29" s="628"/>
      <c r="C29" s="628"/>
      <c r="D29" s="628"/>
      <c r="E29" s="628"/>
      <c r="F29" s="631"/>
      <c r="G29" s="637"/>
      <c r="H29" s="640"/>
      <c r="I29" s="643"/>
      <c r="J29" s="646"/>
      <c r="K29" s="649"/>
      <c r="L29" s="628"/>
      <c r="M29" s="628"/>
      <c r="N29" s="429">
        <v>45716</v>
      </c>
      <c r="O29" s="681"/>
      <c r="P29" s="415">
        <v>2277.6</v>
      </c>
      <c r="Q29" s="416">
        <v>45716</v>
      </c>
      <c r="R29" s="417"/>
      <c r="S29" s="418"/>
      <c r="T29" s="418"/>
      <c r="U29" s="640"/>
      <c r="V29" s="625"/>
      <c r="W29" s="634"/>
      <c r="X29" s="110">
        <v>36</v>
      </c>
    </row>
    <row r="30" spans="1:24" s="110" customFormat="1" x14ac:dyDescent="0.25">
      <c r="A30" s="678"/>
      <c r="B30" s="628"/>
      <c r="C30" s="628"/>
      <c r="D30" s="628"/>
      <c r="E30" s="628"/>
      <c r="F30" s="631"/>
      <c r="G30" s="637"/>
      <c r="H30" s="640"/>
      <c r="I30" s="643"/>
      <c r="J30" s="646"/>
      <c r="K30" s="649"/>
      <c r="L30" s="628"/>
      <c r="M30" s="628"/>
      <c r="N30" s="429">
        <v>45747</v>
      </c>
      <c r="O30" s="681"/>
      <c r="P30" s="415">
        <v>2277.6</v>
      </c>
      <c r="Q30" s="416">
        <v>45749</v>
      </c>
      <c r="R30" s="417"/>
      <c r="S30" s="418"/>
      <c r="T30" s="418"/>
      <c r="U30" s="640"/>
      <c r="V30" s="625"/>
      <c r="W30" s="634"/>
      <c r="X30" s="110">
        <v>36</v>
      </c>
    </row>
    <row r="31" spans="1:24" s="110" customFormat="1" x14ac:dyDescent="0.25">
      <c r="A31" s="679"/>
      <c r="B31" s="629"/>
      <c r="C31" s="629"/>
      <c r="D31" s="629"/>
      <c r="E31" s="629"/>
      <c r="F31" s="632"/>
      <c r="G31" s="638"/>
      <c r="H31" s="641"/>
      <c r="I31" s="644"/>
      <c r="J31" s="647"/>
      <c r="K31" s="650"/>
      <c r="L31" s="629"/>
      <c r="M31" s="629"/>
      <c r="N31" s="430">
        <v>45777</v>
      </c>
      <c r="O31" s="682"/>
      <c r="P31" s="424">
        <v>2277.6</v>
      </c>
      <c r="Q31" s="425"/>
      <c r="R31" s="426"/>
      <c r="S31" s="424"/>
      <c r="T31" s="424"/>
      <c r="U31" s="641"/>
      <c r="V31" s="626"/>
      <c r="W31" s="635"/>
      <c r="X31" s="110">
        <v>36</v>
      </c>
    </row>
    <row r="32" spans="1:24" s="80" customFormat="1" ht="36" customHeight="1" x14ac:dyDescent="0.25">
      <c r="A32" s="152">
        <v>6</v>
      </c>
      <c r="B32" s="153" t="s">
        <v>56</v>
      </c>
      <c r="C32" s="153" t="s">
        <v>147</v>
      </c>
      <c r="D32" s="153" t="s">
        <v>153</v>
      </c>
      <c r="E32" s="153" t="s">
        <v>175</v>
      </c>
      <c r="F32" s="391">
        <v>45653</v>
      </c>
      <c r="G32" s="173" t="s">
        <v>176</v>
      </c>
      <c r="H32" s="158">
        <v>36000</v>
      </c>
      <c r="I32" s="168">
        <f>IF(X32 = 39, H32 + SUM(S32:S32) - SUM(T32:T32) - SUM(P32:P32) - V32,0)</f>
        <v>27000</v>
      </c>
      <c r="J32" s="167">
        <v>235306577600</v>
      </c>
      <c r="K32" s="174" t="s">
        <v>178</v>
      </c>
      <c r="L32" s="153" t="s">
        <v>147</v>
      </c>
      <c r="M32" s="153" t="s">
        <v>194</v>
      </c>
      <c r="N32" s="133">
        <v>45747</v>
      </c>
      <c r="O32" s="159" t="s">
        <v>207</v>
      </c>
      <c r="P32" s="459">
        <v>9000</v>
      </c>
      <c r="Q32" s="130">
        <v>45749</v>
      </c>
      <c r="R32" s="131"/>
      <c r="S32" s="132"/>
      <c r="T32" s="132"/>
      <c r="U32" s="158"/>
      <c r="V32" s="172"/>
      <c r="W32" s="157"/>
      <c r="X32" s="80">
        <v>39</v>
      </c>
    </row>
    <row r="33" spans="1:24" s="80" customFormat="1" ht="36" customHeight="1" x14ac:dyDescent="0.25">
      <c r="A33" s="671">
        <v>7</v>
      </c>
      <c r="B33" s="600" t="s">
        <v>56</v>
      </c>
      <c r="C33" s="600" t="s">
        <v>147</v>
      </c>
      <c r="D33" s="600" t="s">
        <v>153</v>
      </c>
      <c r="E33" s="600" t="s">
        <v>118</v>
      </c>
      <c r="F33" s="606">
        <v>45653</v>
      </c>
      <c r="G33" s="609" t="s">
        <v>177</v>
      </c>
      <c r="H33" s="612">
        <v>47175.360000000001</v>
      </c>
      <c r="I33" s="615">
        <f>IF(X33 = 40, H33 + SUM(S33:S35) - SUM(T33:T35) - SUM(P33:P35) - V33,0)</f>
        <v>43549.36</v>
      </c>
      <c r="J33" s="618">
        <v>2353023951</v>
      </c>
      <c r="K33" s="621" t="s">
        <v>179</v>
      </c>
      <c r="L33" s="600" t="s">
        <v>147</v>
      </c>
      <c r="M33" s="600" t="s">
        <v>194</v>
      </c>
      <c r="N33" s="292">
        <v>45685</v>
      </c>
      <c r="O33" s="674" t="s">
        <v>180</v>
      </c>
      <c r="P33" s="281">
        <v>1332</v>
      </c>
      <c r="Q33" s="282">
        <v>45688</v>
      </c>
      <c r="R33" s="283"/>
      <c r="S33" s="284"/>
      <c r="T33" s="284"/>
      <c r="U33" s="612"/>
      <c r="V33" s="597"/>
      <c r="W33" s="603"/>
      <c r="X33" s="80">
        <v>40</v>
      </c>
    </row>
    <row r="34" spans="1:24" s="110" customFormat="1" x14ac:dyDescent="0.25">
      <c r="A34" s="672"/>
      <c r="B34" s="601"/>
      <c r="C34" s="601"/>
      <c r="D34" s="601"/>
      <c r="E34" s="601"/>
      <c r="F34" s="607"/>
      <c r="G34" s="610"/>
      <c r="H34" s="613"/>
      <c r="I34" s="616"/>
      <c r="J34" s="619"/>
      <c r="K34" s="622"/>
      <c r="L34" s="601"/>
      <c r="M34" s="601"/>
      <c r="N34" s="293">
        <v>45714</v>
      </c>
      <c r="O34" s="675"/>
      <c r="P34" s="285">
        <v>1258</v>
      </c>
      <c r="Q34" s="286">
        <v>45716</v>
      </c>
      <c r="R34" s="287"/>
      <c r="S34" s="288"/>
      <c r="T34" s="288"/>
      <c r="U34" s="613"/>
      <c r="V34" s="598"/>
      <c r="W34" s="604"/>
      <c r="X34" s="110">
        <v>40</v>
      </c>
    </row>
    <row r="35" spans="1:24" s="110" customFormat="1" x14ac:dyDescent="0.25">
      <c r="A35" s="673"/>
      <c r="B35" s="602"/>
      <c r="C35" s="602"/>
      <c r="D35" s="602"/>
      <c r="E35" s="602"/>
      <c r="F35" s="608"/>
      <c r="G35" s="611"/>
      <c r="H35" s="614"/>
      <c r="I35" s="617"/>
      <c r="J35" s="620"/>
      <c r="K35" s="623"/>
      <c r="L35" s="602"/>
      <c r="M35" s="602"/>
      <c r="N35" s="294">
        <v>45743</v>
      </c>
      <c r="O35" s="676"/>
      <c r="P35" s="461">
        <v>1036</v>
      </c>
      <c r="Q35" s="290">
        <v>45749</v>
      </c>
      <c r="R35" s="291"/>
      <c r="S35" s="289"/>
      <c r="T35" s="289"/>
      <c r="U35" s="614"/>
      <c r="V35" s="599"/>
      <c r="W35" s="605"/>
      <c r="X35" s="110">
        <v>40</v>
      </c>
    </row>
    <row r="36" spans="1:24" s="80" customFormat="1" ht="108" customHeight="1" x14ac:dyDescent="0.25">
      <c r="A36" s="154">
        <v>8</v>
      </c>
      <c r="B36" s="151" t="s">
        <v>56</v>
      </c>
      <c r="C36" s="151" t="s">
        <v>147</v>
      </c>
      <c r="D36" s="151" t="s">
        <v>153</v>
      </c>
      <c r="E36" s="151" t="s">
        <v>198</v>
      </c>
      <c r="F36" s="392">
        <v>45653</v>
      </c>
      <c r="G36" s="164" t="s">
        <v>282</v>
      </c>
      <c r="H36" s="160">
        <v>54000</v>
      </c>
      <c r="I36" s="165">
        <f>IF(X36 = 41, H36 + SUM(S36:S36) - SUM(T36:T36) - SUM(P36:P36) - V36,0)</f>
        <v>0</v>
      </c>
      <c r="J36" s="166">
        <v>2353017179</v>
      </c>
      <c r="K36" s="150" t="s">
        <v>181</v>
      </c>
      <c r="L36" s="151" t="s">
        <v>147</v>
      </c>
      <c r="M36" s="151" t="s">
        <v>194</v>
      </c>
      <c r="N36" s="141">
        <v>45688</v>
      </c>
      <c r="O36" s="163" t="s">
        <v>180</v>
      </c>
      <c r="P36" s="231">
        <v>6600</v>
      </c>
      <c r="Q36" s="138">
        <v>45695</v>
      </c>
      <c r="R36" s="139"/>
      <c r="S36" s="140"/>
      <c r="T36" s="140"/>
      <c r="U36" s="160" t="s">
        <v>242</v>
      </c>
      <c r="V36" s="161">
        <v>47400</v>
      </c>
      <c r="W36" s="162"/>
      <c r="X36" s="80">
        <v>41</v>
      </c>
    </row>
    <row r="37" spans="1:24" s="80" customFormat="1" ht="54" customHeight="1" x14ac:dyDescent="0.25">
      <c r="A37" s="155">
        <v>9</v>
      </c>
      <c r="B37" s="156" t="s">
        <v>56</v>
      </c>
      <c r="C37" s="156" t="s">
        <v>147</v>
      </c>
      <c r="D37" s="156" t="s">
        <v>153</v>
      </c>
      <c r="E37" s="156" t="s">
        <v>199</v>
      </c>
      <c r="F37" s="393">
        <v>45656</v>
      </c>
      <c r="G37" s="176" t="s">
        <v>182</v>
      </c>
      <c r="H37" s="170">
        <v>3600</v>
      </c>
      <c r="I37" s="177">
        <f>IF(X37 = 42, H37 + SUM(S37:S37) - SUM(T37:T37) - SUM(P37:P37) - V37,0)</f>
        <v>2400</v>
      </c>
      <c r="J37" s="178">
        <v>2369000660</v>
      </c>
      <c r="K37" s="179" t="s">
        <v>183</v>
      </c>
      <c r="L37" s="156" t="s">
        <v>147</v>
      </c>
      <c r="M37" s="156" t="s">
        <v>194</v>
      </c>
      <c r="N37" s="145">
        <v>45747</v>
      </c>
      <c r="O37" s="169" t="s">
        <v>180</v>
      </c>
      <c r="P37" s="457">
        <v>1200</v>
      </c>
      <c r="Q37" s="142">
        <v>45749</v>
      </c>
      <c r="R37" s="143"/>
      <c r="S37" s="144"/>
      <c r="T37" s="144"/>
      <c r="U37" s="170"/>
      <c r="V37" s="171"/>
      <c r="W37" s="175"/>
      <c r="X37" s="80">
        <v>42</v>
      </c>
    </row>
    <row r="38" spans="1:24" s="80" customFormat="1" ht="36" customHeight="1" x14ac:dyDescent="0.25">
      <c r="A38" s="795">
        <v>10</v>
      </c>
      <c r="B38" s="771" t="s">
        <v>56</v>
      </c>
      <c r="C38" s="771" t="s">
        <v>147</v>
      </c>
      <c r="D38" s="771" t="s">
        <v>153</v>
      </c>
      <c r="E38" s="771" t="s">
        <v>187</v>
      </c>
      <c r="F38" s="780">
        <v>45653</v>
      </c>
      <c r="G38" s="783" t="s">
        <v>184</v>
      </c>
      <c r="H38" s="768">
        <v>4550</v>
      </c>
      <c r="I38" s="786">
        <f>IF(X38 = 43, H38 + SUM(S38:S41) - SUM(T38:T41) - SUM(P38:P41) - V38,0)</f>
        <v>2964.27</v>
      </c>
      <c r="J38" s="789">
        <v>7707049388</v>
      </c>
      <c r="K38" s="792" t="s">
        <v>185</v>
      </c>
      <c r="L38" s="771" t="s">
        <v>186</v>
      </c>
      <c r="M38" s="771" t="s">
        <v>194</v>
      </c>
      <c r="N38" s="454">
        <v>45688</v>
      </c>
      <c r="O38" s="765" t="s">
        <v>180</v>
      </c>
      <c r="P38" s="442">
        <v>396.05</v>
      </c>
      <c r="Q38" s="443">
        <v>45695</v>
      </c>
      <c r="R38" s="444"/>
      <c r="S38" s="445"/>
      <c r="T38" s="445"/>
      <c r="U38" s="768"/>
      <c r="V38" s="774"/>
      <c r="W38" s="777"/>
      <c r="X38" s="80">
        <v>43</v>
      </c>
    </row>
    <row r="39" spans="1:24" s="110" customFormat="1" x14ac:dyDescent="0.25">
      <c r="A39" s="796"/>
      <c r="B39" s="772"/>
      <c r="C39" s="772"/>
      <c r="D39" s="772"/>
      <c r="E39" s="772"/>
      <c r="F39" s="781"/>
      <c r="G39" s="784"/>
      <c r="H39" s="769"/>
      <c r="I39" s="787"/>
      <c r="J39" s="790"/>
      <c r="K39" s="793"/>
      <c r="L39" s="772"/>
      <c r="M39" s="772"/>
      <c r="N39" s="455">
        <v>45716</v>
      </c>
      <c r="O39" s="766"/>
      <c r="P39" s="447">
        <v>390</v>
      </c>
      <c r="Q39" s="448">
        <v>45727</v>
      </c>
      <c r="R39" s="449"/>
      <c r="S39" s="450"/>
      <c r="T39" s="450"/>
      <c r="U39" s="769"/>
      <c r="V39" s="775"/>
      <c r="W39" s="778"/>
      <c r="X39" s="110">
        <v>43</v>
      </c>
    </row>
    <row r="40" spans="1:24" s="110" customFormat="1" x14ac:dyDescent="0.25">
      <c r="A40" s="796"/>
      <c r="B40" s="772"/>
      <c r="C40" s="772"/>
      <c r="D40" s="772"/>
      <c r="E40" s="772"/>
      <c r="F40" s="781"/>
      <c r="G40" s="784"/>
      <c r="H40" s="769"/>
      <c r="I40" s="787"/>
      <c r="J40" s="790"/>
      <c r="K40" s="793"/>
      <c r="L40" s="772"/>
      <c r="M40" s="772"/>
      <c r="N40" s="455">
        <v>45747</v>
      </c>
      <c r="O40" s="766"/>
      <c r="P40" s="447">
        <v>396.48</v>
      </c>
      <c r="Q40" s="448">
        <v>45756</v>
      </c>
      <c r="R40" s="449"/>
      <c r="S40" s="450"/>
      <c r="T40" s="450"/>
      <c r="U40" s="769"/>
      <c r="V40" s="775"/>
      <c r="W40" s="778"/>
      <c r="X40" s="110">
        <v>43</v>
      </c>
    </row>
    <row r="41" spans="1:24" s="110" customFormat="1" x14ac:dyDescent="0.25">
      <c r="A41" s="797"/>
      <c r="B41" s="773"/>
      <c r="C41" s="773"/>
      <c r="D41" s="773"/>
      <c r="E41" s="773"/>
      <c r="F41" s="782"/>
      <c r="G41" s="785"/>
      <c r="H41" s="770"/>
      <c r="I41" s="788"/>
      <c r="J41" s="791"/>
      <c r="K41" s="794"/>
      <c r="L41" s="773"/>
      <c r="M41" s="773"/>
      <c r="N41" s="456">
        <v>45777</v>
      </c>
      <c r="O41" s="767"/>
      <c r="P41" s="451">
        <v>403.2</v>
      </c>
      <c r="Q41" s="452"/>
      <c r="R41" s="453"/>
      <c r="S41" s="451"/>
      <c r="T41" s="451"/>
      <c r="U41" s="770"/>
      <c r="V41" s="776"/>
      <c r="W41" s="779"/>
      <c r="X41" s="110">
        <v>43</v>
      </c>
    </row>
    <row r="42" spans="1:24" s="80" customFormat="1" ht="42" customHeight="1" x14ac:dyDescent="0.25">
      <c r="A42" s="181">
        <v>11</v>
      </c>
      <c r="B42" s="182" t="s">
        <v>56</v>
      </c>
      <c r="C42" s="182" t="s">
        <v>147</v>
      </c>
      <c r="D42" s="182" t="s">
        <v>153</v>
      </c>
      <c r="E42" s="182" t="s">
        <v>223</v>
      </c>
      <c r="F42" s="394">
        <v>45653</v>
      </c>
      <c r="G42" s="184" t="s">
        <v>189</v>
      </c>
      <c r="H42" s="185">
        <v>13372.8</v>
      </c>
      <c r="I42" s="186">
        <f>IF(X42 = 46, H42 + SUM(S42:S42) - SUM(T42:T42) - SUM(P42:P42) - V42,0)</f>
        <v>10029.599999999999</v>
      </c>
      <c r="J42" s="187">
        <v>2353018870</v>
      </c>
      <c r="K42" s="188" t="s">
        <v>190</v>
      </c>
      <c r="L42" s="182" t="s">
        <v>147</v>
      </c>
      <c r="M42" s="182" t="s">
        <v>194</v>
      </c>
      <c r="N42" s="183">
        <v>45743</v>
      </c>
      <c r="O42" s="147" t="s">
        <v>180</v>
      </c>
      <c r="P42" s="460">
        <v>3343.2</v>
      </c>
      <c r="Q42" s="135">
        <v>45749</v>
      </c>
      <c r="R42" s="136"/>
      <c r="S42" s="137"/>
      <c r="T42" s="137"/>
      <c r="U42" s="148"/>
      <c r="V42" s="149"/>
      <c r="W42" s="146"/>
      <c r="X42" s="80">
        <v>46</v>
      </c>
    </row>
    <row r="43" spans="1:24" s="80" customFormat="1" ht="56.25" x14ac:dyDescent="0.25">
      <c r="A43" s="112">
        <v>12</v>
      </c>
      <c r="B43" s="109" t="s">
        <v>56</v>
      </c>
      <c r="C43" s="113" t="s">
        <v>147</v>
      </c>
      <c r="D43" s="109" t="s">
        <v>153</v>
      </c>
      <c r="E43" s="113" t="s">
        <v>36</v>
      </c>
      <c r="F43" s="395">
        <v>45656</v>
      </c>
      <c r="G43" s="114" t="s">
        <v>192</v>
      </c>
      <c r="H43" s="115">
        <v>15000</v>
      </c>
      <c r="I43" s="116">
        <f>IF(X43 = 47, H43 + SUM(S43:S43) - SUM(T43:T43) - SUM(P43:P43) - V43,0)</f>
        <v>15000</v>
      </c>
      <c r="J43" s="117">
        <v>2369007754</v>
      </c>
      <c r="K43" s="118" t="s">
        <v>191</v>
      </c>
      <c r="L43" s="113" t="s">
        <v>147</v>
      </c>
      <c r="M43" s="113" t="s">
        <v>194</v>
      </c>
      <c r="N43" s="121"/>
      <c r="O43" s="111" t="s">
        <v>180</v>
      </c>
      <c r="P43" s="189"/>
      <c r="Q43" s="114"/>
      <c r="R43" s="113"/>
      <c r="S43" s="115"/>
      <c r="T43" s="115"/>
      <c r="U43" s="115"/>
      <c r="V43" s="119"/>
      <c r="W43" s="120"/>
      <c r="X43" s="80">
        <v>47</v>
      </c>
    </row>
    <row r="44" spans="1:24" s="80" customFormat="1" ht="54" customHeight="1" x14ac:dyDescent="0.25">
      <c r="A44" s="660">
        <v>13</v>
      </c>
      <c r="B44" s="573" t="s">
        <v>56</v>
      </c>
      <c r="C44" s="573" t="s">
        <v>147</v>
      </c>
      <c r="D44" s="573" t="s">
        <v>153</v>
      </c>
      <c r="E44" s="573" t="s">
        <v>200</v>
      </c>
      <c r="F44" s="579">
        <v>45656</v>
      </c>
      <c r="G44" s="582" t="s">
        <v>188</v>
      </c>
      <c r="H44" s="585">
        <v>190094.52</v>
      </c>
      <c r="I44" s="588">
        <f>IF(X44 = 80, H44 + SUM(S44:S46) - SUM(T44:T46) - SUM(P44:P46) - V44,0)</f>
        <v>-1.4551915228366852E-11</v>
      </c>
      <c r="J44" s="591">
        <v>7743529527</v>
      </c>
      <c r="K44" s="594" t="s">
        <v>173</v>
      </c>
      <c r="L44" s="573" t="s">
        <v>147</v>
      </c>
      <c r="M44" s="573" t="s">
        <v>203</v>
      </c>
      <c r="N44" s="330">
        <v>45688</v>
      </c>
      <c r="O44" s="663" t="s">
        <v>208</v>
      </c>
      <c r="P44" s="319">
        <v>32205</v>
      </c>
      <c r="Q44" s="320">
        <v>45701</v>
      </c>
      <c r="R44" s="321"/>
      <c r="S44" s="322"/>
      <c r="T44" s="322"/>
      <c r="U44" s="666" t="s">
        <v>281</v>
      </c>
      <c r="V44" s="570">
        <v>76839.520000000004</v>
      </c>
      <c r="W44" s="576"/>
      <c r="X44" s="80">
        <v>80</v>
      </c>
    </row>
    <row r="45" spans="1:24" s="110" customFormat="1" x14ac:dyDescent="0.25">
      <c r="A45" s="661"/>
      <c r="B45" s="574"/>
      <c r="C45" s="574"/>
      <c r="D45" s="574"/>
      <c r="E45" s="574"/>
      <c r="F45" s="580"/>
      <c r="G45" s="583"/>
      <c r="H45" s="586"/>
      <c r="I45" s="589"/>
      <c r="J45" s="592"/>
      <c r="K45" s="595"/>
      <c r="L45" s="574"/>
      <c r="M45" s="574"/>
      <c r="N45" s="331">
        <v>45716</v>
      </c>
      <c r="O45" s="664"/>
      <c r="P45" s="323">
        <v>47216</v>
      </c>
      <c r="Q45" s="324">
        <v>45723</v>
      </c>
      <c r="R45" s="325"/>
      <c r="S45" s="326"/>
      <c r="T45" s="326"/>
      <c r="U45" s="667"/>
      <c r="V45" s="571"/>
      <c r="W45" s="577"/>
      <c r="X45" s="110">
        <v>80</v>
      </c>
    </row>
    <row r="46" spans="1:24" s="110" customFormat="1" x14ac:dyDescent="0.25">
      <c r="A46" s="662"/>
      <c r="B46" s="575"/>
      <c r="C46" s="575"/>
      <c r="D46" s="575"/>
      <c r="E46" s="575"/>
      <c r="F46" s="581"/>
      <c r="G46" s="584"/>
      <c r="H46" s="587"/>
      <c r="I46" s="590"/>
      <c r="J46" s="593"/>
      <c r="K46" s="596"/>
      <c r="L46" s="575"/>
      <c r="M46" s="575"/>
      <c r="N46" s="332">
        <v>45747</v>
      </c>
      <c r="O46" s="665"/>
      <c r="P46" s="462">
        <v>33834</v>
      </c>
      <c r="Q46" s="328">
        <v>45756</v>
      </c>
      <c r="R46" s="329"/>
      <c r="S46" s="327"/>
      <c r="T46" s="327"/>
      <c r="U46" s="668"/>
      <c r="V46" s="572"/>
      <c r="W46" s="578"/>
      <c r="X46" s="110">
        <v>80</v>
      </c>
    </row>
    <row r="47" spans="1:24" s="80" customFormat="1" ht="54" customHeight="1" x14ac:dyDescent="0.25">
      <c r="A47" s="677">
        <v>14</v>
      </c>
      <c r="B47" s="627" t="s">
        <v>56</v>
      </c>
      <c r="C47" s="627" t="s">
        <v>147</v>
      </c>
      <c r="D47" s="627" t="s">
        <v>153</v>
      </c>
      <c r="E47" s="627" t="s">
        <v>129</v>
      </c>
      <c r="F47" s="680">
        <v>45672</v>
      </c>
      <c r="G47" s="636" t="s">
        <v>201</v>
      </c>
      <c r="H47" s="639">
        <v>18000</v>
      </c>
      <c r="I47" s="642">
        <f>IF(X47 = 81, H47 + SUM(S47:S50) - SUM(T47:T50) - SUM(P47:P50) - V47,0)</f>
        <v>12000</v>
      </c>
      <c r="J47" s="645">
        <v>231107998282</v>
      </c>
      <c r="K47" s="648" t="s">
        <v>202</v>
      </c>
      <c r="L47" s="627" t="s">
        <v>147</v>
      </c>
      <c r="M47" s="627" t="s">
        <v>194</v>
      </c>
      <c r="N47" s="428">
        <v>45688</v>
      </c>
      <c r="O47" s="680" t="s">
        <v>180</v>
      </c>
      <c r="P47" s="411">
        <v>1500</v>
      </c>
      <c r="Q47" s="412">
        <v>45695</v>
      </c>
      <c r="R47" s="413"/>
      <c r="S47" s="414"/>
      <c r="T47" s="414"/>
      <c r="U47" s="639"/>
      <c r="V47" s="624"/>
      <c r="W47" s="633"/>
      <c r="X47" s="80">
        <v>81</v>
      </c>
    </row>
    <row r="48" spans="1:24" s="110" customFormat="1" x14ac:dyDescent="0.25">
      <c r="A48" s="678"/>
      <c r="B48" s="628"/>
      <c r="C48" s="628"/>
      <c r="D48" s="628"/>
      <c r="E48" s="628"/>
      <c r="F48" s="681"/>
      <c r="G48" s="637"/>
      <c r="H48" s="640"/>
      <c r="I48" s="643"/>
      <c r="J48" s="646"/>
      <c r="K48" s="649"/>
      <c r="L48" s="628"/>
      <c r="M48" s="628"/>
      <c r="N48" s="429">
        <v>45733</v>
      </c>
      <c r="O48" s="681"/>
      <c r="P48" s="415">
        <v>1500</v>
      </c>
      <c r="Q48" s="416">
        <v>45741</v>
      </c>
      <c r="R48" s="417"/>
      <c r="S48" s="418"/>
      <c r="T48" s="418"/>
      <c r="U48" s="640"/>
      <c r="V48" s="625"/>
      <c r="W48" s="634"/>
      <c r="X48" s="110">
        <v>81</v>
      </c>
    </row>
    <row r="49" spans="1:24" s="110" customFormat="1" x14ac:dyDescent="0.25">
      <c r="A49" s="678"/>
      <c r="B49" s="628"/>
      <c r="C49" s="628"/>
      <c r="D49" s="628"/>
      <c r="E49" s="628"/>
      <c r="F49" s="681"/>
      <c r="G49" s="637"/>
      <c r="H49" s="640"/>
      <c r="I49" s="643"/>
      <c r="J49" s="646"/>
      <c r="K49" s="649"/>
      <c r="L49" s="628"/>
      <c r="M49" s="628"/>
      <c r="N49" s="429">
        <v>45747</v>
      </c>
      <c r="O49" s="681"/>
      <c r="P49" s="415">
        <v>1500</v>
      </c>
      <c r="Q49" s="416">
        <v>45749</v>
      </c>
      <c r="R49" s="417"/>
      <c r="S49" s="418"/>
      <c r="T49" s="418"/>
      <c r="U49" s="640"/>
      <c r="V49" s="625"/>
      <c r="W49" s="634"/>
      <c r="X49" s="110">
        <v>81</v>
      </c>
    </row>
    <row r="50" spans="1:24" s="110" customFormat="1" x14ac:dyDescent="0.25">
      <c r="A50" s="679"/>
      <c r="B50" s="629"/>
      <c r="C50" s="629"/>
      <c r="D50" s="629"/>
      <c r="E50" s="629"/>
      <c r="F50" s="682"/>
      <c r="G50" s="638"/>
      <c r="H50" s="641"/>
      <c r="I50" s="644"/>
      <c r="J50" s="647"/>
      <c r="K50" s="650"/>
      <c r="L50" s="629"/>
      <c r="M50" s="629"/>
      <c r="N50" s="430">
        <v>45777</v>
      </c>
      <c r="O50" s="682"/>
      <c r="P50" s="424">
        <v>1500</v>
      </c>
      <c r="Q50" s="425"/>
      <c r="R50" s="426"/>
      <c r="S50" s="424"/>
      <c r="T50" s="424"/>
      <c r="U50" s="641"/>
      <c r="V50" s="626"/>
      <c r="W50" s="635"/>
      <c r="X50" s="110">
        <v>81</v>
      </c>
    </row>
    <row r="51" spans="1:24" s="80" customFormat="1" ht="36" customHeight="1" x14ac:dyDescent="0.25">
      <c r="A51" s="732">
        <v>15</v>
      </c>
      <c r="B51" s="741" t="s">
        <v>56</v>
      </c>
      <c r="C51" s="741" t="s">
        <v>147</v>
      </c>
      <c r="D51" s="741" t="s">
        <v>153</v>
      </c>
      <c r="E51" s="741" t="s">
        <v>204</v>
      </c>
      <c r="F51" s="750">
        <v>45672</v>
      </c>
      <c r="G51" s="753" t="s">
        <v>205</v>
      </c>
      <c r="H51" s="738">
        <v>2340</v>
      </c>
      <c r="I51" s="756">
        <f>IF(X51 = 82, H51 + SUM(S51:S53) - SUM(T51:T53) - SUM(P51:P53) - V51,0)</f>
        <v>2133</v>
      </c>
      <c r="J51" s="759">
        <v>7703383783</v>
      </c>
      <c r="K51" s="762" t="s">
        <v>206</v>
      </c>
      <c r="L51" s="741" t="s">
        <v>147</v>
      </c>
      <c r="M51" s="741" t="s">
        <v>194</v>
      </c>
      <c r="N51" s="316">
        <v>45688</v>
      </c>
      <c r="O51" s="735" t="s">
        <v>209</v>
      </c>
      <c r="P51" s="305">
        <v>69</v>
      </c>
      <c r="Q51" s="306">
        <v>45706</v>
      </c>
      <c r="R51" s="307"/>
      <c r="S51" s="308"/>
      <c r="T51" s="308"/>
      <c r="U51" s="738"/>
      <c r="V51" s="744"/>
      <c r="W51" s="747"/>
      <c r="X51" s="80">
        <v>82</v>
      </c>
    </row>
    <row r="52" spans="1:24" s="110" customFormat="1" x14ac:dyDescent="0.25">
      <c r="A52" s="733"/>
      <c r="B52" s="742"/>
      <c r="C52" s="742"/>
      <c r="D52" s="742"/>
      <c r="E52" s="742"/>
      <c r="F52" s="751"/>
      <c r="G52" s="754"/>
      <c r="H52" s="739"/>
      <c r="I52" s="757"/>
      <c r="J52" s="760"/>
      <c r="K52" s="763"/>
      <c r="L52" s="742"/>
      <c r="M52" s="742"/>
      <c r="N52" s="317">
        <v>45716</v>
      </c>
      <c r="O52" s="736"/>
      <c r="P52" s="309">
        <v>69</v>
      </c>
      <c r="Q52" s="310">
        <v>45733</v>
      </c>
      <c r="R52" s="311"/>
      <c r="S52" s="312"/>
      <c r="T52" s="312"/>
      <c r="U52" s="739"/>
      <c r="V52" s="745"/>
      <c r="W52" s="748"/>
      <c r="X52" s="110">
        <v>82</v>
      </c>
    </row>
    <row r="53" spans="1:24" s="110" customFormat="1" x14ac:dyDescent="0.25">
      <c r="A53" s="734"/>
      <c r="B53" s="743"/>
      <c r="C53" s="743"/>
      <c r="D53" s="743"/>
      <c r="E53" s="743"/>
      <c r="F53" s="752"/>
      <c r="G53" s="755"/>
      <c r="H53" s="740"/>
      <c r="I53" s="758"/>
      <c r="J53" s="761"/>
      <c r="K53" s="764"/>
      <c r="L53" s="743"/>
      <c r="M53" s="743"/>
      <c r="N53" s="318">
        <v>45747</v>
      </c>
      <c r="O53" s="737"/>
      <c r="P53" s="463">
        <v>69</v>
      </c>
      <c r="Q53" s="314">
        <v>45763</v>
      </c>
      <c r="R53" s="315"/>
      <c r="S53" s="313"/>
      <c r="T53" s="313"/>
      <c r="U53" s="740"/>
      <c r="V53" s="746"/>
      <c r="W53" s="749"/>
      <c r="X53" s="110">
        <v>82</v>
      </c>
    </row>
    <row r="54" spans="1:24" s="80" customFormat="1" ht="36" customHeight="1" x14ac:dyDescent="0.25">
      <c r="A54" s="537">
        <v>16</v>
      </c>
      <c r="B54" s="546" t="s">
        <v>56</v>
      </c>
      <c r="C54" s="546" t="s">
        <v>147</v>
      </c>
      <c r="D54" s="546" t="s">
        <v>153</v>
      </c>
      <c r="E54" s="546" t="s">
        <v>225</v>
      </c>
      <c r="F54" s="555">
        <v>45653</v>
      </c>
      <c r="G54" s="558" t="s">
        <v>226</v>
      </c>
      <c r="H54" s="543">
        <v>31680</v>
      </c>
      <c r="I54" s="561">
        <f>IF(X54 = 85, H54 + SUM(S54:S56) - SUM(T54:T56) - SUM(P54:P56) - V54,0)</f>
        <v>16434</v>
      </c>
      <c r="J54" s="564">
        <v>235300582900</v>
      </c>
      <c r="K54" s="567" t="s">
        <v>158</v>
      </c>
      <c r="L54" s="546" t="s">
        <v>147</v>
      </c>
      <c r="M54" s="546" t="s">
        <v>229</v>
      </c>
      <c r="N54" s="355">
        <v>45688</v>
      </c>
      <c r="O54" s="540" t="s">
        <v>180</v>
      </c>
      <c r="P54" s="344">
        <v>5112</v>
      </c>
      <c r="Q54" s="345">
        <v>45702</v>
      </c>
      <c r="R54" s="346"/>
      <c r="S54" s="347"/>
      <c r="T54" s="347"/>
      <c r="U54" s="543"/>
      <c r="V54" s="549"/>
      <c r="W54" s="552"/>
      <c r="X54" s="80">
        <v>85</v>
      </c>
    </row>
    <row r="55" spans="1:24" s="110" customFormat="1" x14ac:dyDescent="0.25">
      <c r="A55" s="538"/>
      <c r="B55" s="547"/>
      <c r="C55" s="547"/>
      <c r="D55" s="547"/>
      <c r="E55" s="547"/>
      <c r="F55" s="556"/>
      <c r="G55" s="559"/>
      <c r="H55" s="544"/>
      <c r="I55" s="562"/>
      <c r="J55" s="565"/>
      <c r="K55" s="568"/>
      <c r="L55" s="547"/>
      <c r="M55" s="547"/>
      <c r="N55" s="358">
        <v>45728</v>
      </c>
      <c r="O55" s="541"/>
      <c r="P55" s="348">
        <v>5256</v>
      </c>
      <c r="Q55" s="349">
        <v>45733</v>
      </c>
      <c r="R55" s="350"/>
      <c r="S55" s="351"/>
      <c r="T55" s="351"/>
      <c r="U55" s="544"/>
      <c r="V55" s="550"/>
      <c r="W55" s="553"/>
      <c r="X55" s="110">
        <v>85</v>
      </c>
    </row>
    <row r="56" spans="1:24" s="110" customFormat="1" x14ac:dyDescent="0.25">
      <c r="A56" s="539"/>
      <c r="B56" s="548"/>
      <c r="C56" s="548"/>
      <c r="D56" s="548"/>
      <c r="E56" s="548"/>
      <c r="F56" s="557"/>
      <c r="G56" s="560"/>
      <c r="H56" s="545"/>
      <c r="I56" s="563"/>
      <c r="J56" s="566"/>
      <c r="K56" s="569"/>
      <c r="L56" s="548"/>
      <c r="M56" s="548"/>
      <c r="N56" s="356">
        <v>45756</v>
      </c>
      <c r="O56" s="542"/>
      <c r="P56" s="467">
        <v>4878</v>
      </c>
      <c r="Q56" s="353">
        <v>45763</v>
      </c>
      <c r="R56" s="354"/>
      <c r="S56" s="352"/>
      <c r="T56" s="352"/>
      <c r="U56" s="545"/>
      <c r="V56" s="551"/>
      <c r="W56" s="554"/>
      <c r="X56" s="110">
        <v>85</v>
      </c>
    </row>
    <row r="57" spans="1:24" s="80" customFormat="1" ht="36" customHeight="1" x14ac:dyDescent="0.25">
      <c r="A57" s="654">
        <v>17</v>
      </c>
      <c r="B57" s="651" t="s">
        <v>56</v>
      </c>
      <c r="C57" s="651" t="s">
        <v>147</v>
      </c>
      <c r="D57" s="651" t="s">
        <v>153</v>
      </c>
      <c r="E57" s="651" t="s">
        <v>227</v>
      </c>
      <c r="F57" s="692">
        <v>45653</v>
      </c>
      <c r="G57" s="695" t="s">
        <v>226</v>
      </c>
      <c r="H57" s="657">
        <v>109854</v>
      </c>
      <c r="I57" s="698">
        <f>IF(X57 = 86, H57 + SUM(S57:S59) - SUM(T57:T59) - SUM(P57:P59) - V57,0)</f>
        <v>3.637978807091713E-12</v>
      </c>
      <c r="J57" s="701">
        <v>235300582900</v>
      </c>
      <c r="K57" s="704" t="s">
        <v>158</v>
      </c>
      <c r="L57" s="651" t="s">
        <v>147</v>
      </c>
      <c r="M57" s="651" t="s">
        <v>230</v>
      </c>
      <c r="N57" s="200">
        <v>45688</v>
      </c>
      <c r="O57" s="707" t="s">
        <v>180</v>
      </c>
      <c r="P57" s="232">
        <v>87010</v>
      </c>
      <c r="Q57" s="202">
        <v>45702</v>
      </c>
      <c r="R57" s="203"/>
      <c r="S57" s="201"/>
      <c r="T57" s="201"/>
      <c r="U57" s="657" t="s">
        <v>261</v>
      </c>
      <c r="V57" s="686">
        <v>14085.8</v>
      </c>
      <c r="W57" s="689"/>
      <c r="X57" s="80">
        <v>86</v>
      </c>
    </row>
    <row r="58" spans="1:24" s="110" customFormat="1" x14ac:dyDescent="0.25">
      <c r="A58" s="655"/>
      <c r="B58" s="652"/>
      <c r="C58" s="652"/>
      <c r="D58" s="652"/>
      <c r="E58" s="652"/>
      <c r="F58" s="693"/>
      <c r="G58" s="696"/>
      <c r="H58" s="658"/>
      <c r="I58" s="699"/>
      <c r="J58" s="702"/>
      <c r="K58" s="705"/>
      <c r="L58" s="652"/>
      <c r="M58" s="652"/>
      <c r="N58" s="208">
        <v>45688</v>
      </c>
      <c r="O58" s="708"/>
      <c r="P58" s="233">
        <v>3608.8</v>
      </c>
      <c r="Q58" s="210">
        <v>45695</v>
      </c>
      <c r="R58" s="211"/>
      <c r="S58" s="209"/>
      <c r="T58" s="209"/>
      <c r="U58" s="658"/>
      <c r="V58" s="687"/>
      <c r="W58" s="690"/>
      <c r="X58" s="110">
        <v>86</v>
      </c>
    </row>
    <row r="59" spans="1:24" s="110" customFormat="1" x14ac:dyDescent="0.25">
      <c r="A59" s="656"/>
      <c r="B59" s="653"/>
      <c r="C59" s="653"/>
      <c r="D59" s="653"/>
      <c r="E59" s="653"/>
      <c r="F59" s="694"/>
      <c r="G59" s="697"/>
      <c r="H59" s="659"/>
      <c r="I59" s="700"/>
      <c r="J59" s="703"/>
      <c r="K59" s="706"/>
      <c r="L59" s="653"/>
      <c r="M59" s="653"/>
      <c r="N59" s="204">
        <v>45688</v>
      </c>
      <c r="O59" s="709"/>
      <c r="P59" s="234">
        <v>5149.3999999999996</v>
      </c>
      <c r="Q59" s="206">
        <v>45706</v>
      </c>
      <c r="R59" s="207"/>
      <c r="S59" s="205"/>
      <c r="T59" s="205"/>
      <c r="U59" s="659"/>
      <c r="V59" s="688"/>
      <c r="W59" s="691"/>
      <c r="X59" s="110">
        <v>86</v>
      </c>
    </row>
    <row r="60" spans="1:24" s="80" customFormat="1" ht="56.25" x14ac:dyDescent="0.25">
      <c r="A60" s="191">
        <v>18</v>
      </c>
      <c r="B60" s="109" t="s">
        <v>56</v>
      </c>
      <c r="C60" s="180" t="s">
        <v>147</v>
      </c>
      <c r="D60" s="109" t="s">
        <v>153</v>
      </c>
      <c r="E60" s="192" t="s">
        <v>228</v>
      </c>
      <c r="F60" s="396">
        <v>45672</v>
      </c>
      <c r="G60" s="193" t="s">
        <v>226</v>
      </c>
      <c r="H60" s="194">
        <v>10472</v>
      </c>
      <c r="I60" s="195">
        <f>IF(X60 = 87, H60 + SUM(S60:S60) - SUM(T60:T60) - SUM(P60:P60) - V60,0)</f>
        <v>0</v>
      </c>
      <c r="J60" s="196">
        <v>235300582900</v>
      </c>
      <c r="K60" s="197" t="s">
        <v>158</v>
      </c>
      <c r="L60" s="180" t="s">
        <v>147</v>
      </c>
      <c r="M60" s="192" t="s">
        <v>230</v>
      </c>
      <c r="N60" s="199">
        <v>45688</v>
      </c>
      <c r="O60" s="111" t="s">
        <v>180</v>
      </c>
      <c r="P60" s="235">
        <v>9394</v>
      </c>
      <c r="Q60" s="193">
        <v>45706</v>
      </c>
      <c r="R60" s="192"/>
      <c r="S60" s="194"/>
      <c r="T60" s="194"/>
      <c r="U60" s="194" t="s">
        <v>261</v>
      </c>
      <c r="V60" s="198">
        <v>1078</v>
      </c>
      <c r="W60" s="190"/>
      <c r="X60" s="80">
        <v>87</v>
      </c>
    </row>
    <row r="61" spans="1:24" s="80" customFormat="1" ht="108" customHeight="1" x14ac:dyDescent="0.25">
      <c r="A61" s="710">
        <v>19</v>
      </c>
      <c r="B61" s="716" t="s">
        <v>56</v>
      </c>
      <c r="C61" s="716" t="s">
        <v>147</v>
      </c>
      <c r="D61" s="716" t="s">
        <v>153</v>
      </c>
      <c r="E61" s="716" t="s">
        <v>243</v>
      </c>
      <c r="F61" s="722">
        <v>45688</v>
      </c>
      <c r="G61" s="724" t="s">
        <v>282</v>
      </c>
      <c r="H61" s="714">
        <v>62208</v>
      </c>
      <c r="I61" s="726">
        <f>IF(X61 = 88, H61 + SUM(S61:S62) - SUM(T61:T62) - SUM(P61:P62) - V61,0)</f>
        <v>47304</v>
      </c>
      <c r="J61" s="728">
        <v>2353017179</v>
      </c>
      <c r="K61" s="730" t="s">
        <v>181</v>
      </c>
      <c r="L61" s="716" t="s">
        <v>147</v>
      </c>
      <c r="M61" s="716" t="s">
        <v>244</v>
      </c>
      <c r="N61" s="302">
        <v>45716</v>
      </c>
      <c r="O61" s="712" t="s">
        <v>180</v>
      </c>
      <c r="P61" s="295">
        <v>7776</v>
      </c>
      <c r="Q61" s="296">
        <v>45721</v>
      </c>
      <c r="R61" s="297"/>
      <c r="S61" s="298"/>
      <c r="T61" s="298"/>
      <c r="U61" s="714"/>
      <c r="V61" s="718"/>
      <c r="W61" s="720"/>
      <c r="X61" s="80">
        <v>88</v>
      </c>
    </row>
    <row r="62" spans="1:24" s="110" customFormat="1" x14ac:dyDescent="0.25">
      <c r="A62" s="711"/>
      <c r="B62" s="717"/>
      <c r="C62" s="717"/>
      <c r="D62" s="717"/>
      <c r="E62" s="717"/>
      <c r="F62" s="723"/>
      <c r="G62" s="725"/>
      <c r="H62" s="715"/>
      <c r="I62" s="727"/>
      <c r="J62" s="729"/>
      <c r="K62" s="731"/>
      <c r="L62" s="717"/>
      <c r="M62" s="717"/>
      <c r="N62" s="303">
        <v>45747</v>
      </c>
      <c r="O62" s="713"/>
      <c r="P62" s="304">
        <v>7128</v>
      </c>
      <c r="Q62" s="300">
        <v>45756</v>
      </c>
      <c r="R62" s="301"/>
      <c r="S62" s="299"/>
      <c r="T62" s="299"/>
      <c r="U62" s="715"/>
      <c r="V62" s="719"/>
      <c r="W62" s="721"/>
      <c r="X62" s="110">
        <v>88</v>
      </c>
    </row>
    <row r="63" spans="1:24" s="80" customFormat="1" ht="75" x14ac:dyDescent="0.25">
      <c r="A63" s="243">
        <v>20</v>
      </c>
      <c r="B63" s="109" t="s">
        <v>56</v>
      </c>
      <c r="C63" s="192" t="s">
        <v>147</v>
      </c>
      <c r="D63" s="109" t="s">
        <v>153</v>
      </c>
      <c r="E63" s="245" t="s">
        <v>256</v>
      </c>
      <c r="F63" s="398">
        <v>45713</v>
      </c>
      <c r="G63" s="248" t="s">
        <v>257</v>
      </c>
      <c r="H63" s="244">
        <v>31000</v>
      </c>
      <c r="I63" s="249">
        <f>IF(X63 = 89, H63 + SUM(S63:S63) - SUM(T63:T63) - SUM(P63:P63) - V63,0)</f>
        <v>0</v>
      </c>
      <c r="J63" s="250">
        <v>2311204586</v>
      </c>
      <c r="K63" s="251" t="s">
        <v>258</v>
      </c>
      <c r="L63" s="245" t="s">
        <v>147</v>
      </c>
      <c r="M63" s="245" t="s">
        <v>259</v>
      </c>
      <c r="N63" s="255">
        <v>45713</v>
      </c>
      <c r="O63" s="199" t="s">
        <v>260</v>
      </c>
      <c r="P63" s="254">
        <v>31000</v>
      </c>
      <c r="Q63" s="248">
        <v>45716</v>
      </c>
      <c r="R63" s="245"/>
      <c r="S63" s="244"/>
      <c r="T63" s="244"/>
      <c r="U63" s="244"/>
      <c r="V63" s="246"/>
      <c r="W63" s="247"/>
      <c r="X63" s="80">
        <v>89</v>
      </c>
    </row>
    <row r="64" spans="1:24" s="80" customFormat="1" ht="36" customHeight="1" x14ac:dyDescent="0.25">
      <c r="A64" s="537">
        <v>21</v>
      </c>
      <c r="B64" s="546" t="s">
        <v>56</v>
      </c>
      <c r="C64" s="546" t="s">
        <v>147</v>
      </c>
      <c r="D64" s="546" t="s">
        <v>153</v>
      </c>
      <c r="E64" s="546" t="s">
        <v>262</v>
      </c>
      <c r="F64" s="555">
        <v>45688</v>
      </c>
      <c r="G64" s="558" t="s">
        <v>226</v>
      </c>
      <c r="H64" s="543">
        <v>488382</v>
      </c>
      <c r="I64" s="561">
        <f>IF(X64 = 90, H64 + SUM(S64:S71) - SUM(T64:T71) - SUM(P64:P71) - V64,0)</f>
        <v>301857</v>
      </c>
      <c r="J64" s="564">
        <v>235300582900</v>
      </c>
      <c r="K64" s="567" t="s">
        <v>158</v>
      </c>
      <c r="L64" s="546" t="s">
        <v>147</v>
      </c>
      <c r="M64" s="546" t="s">
        <v>263</v>
      </c>
      <c r="N64" s="355">
        <v>45728</v>
      </c>
      <c r="O64" s="540" t="s">
        <v>180</v>
      </c>
      <c r="P64" s="344">
        <v>9702</v>
      </c>
      <c r="Q64" s="345">
        <v>45733</v>
      </c>
      <c r="R64" s="346"/>
      <c r="S64" s="347"/>
      <c r="T64" s="347"/>
      <c r="U64" s="543"/>
      <c r="V64" s="549"/>
      <c r="W64" s="552"/>
      <c r="X64" s="80">
        <v>90</v>
      </c>
    </row>
    <row r="65" spans="1:24" s="110" customFormat="1" x14ac:dyDescent="0.25">
      <c r="A65" s="538"/>
      <c r="B65" s="547"/>
      <c r="C65" s="547"/>
      <c r="D65" s="547"/>
      <c r="E65" s="547"/>
      <c r="F65" s="556"/>
      <c r="G65" s="559"/>
      <c r="H65" s="544"/>
      <c r="I65" s="562"/>
      <c r="J65" s="565"/>
      <c r="K65" s="568"/>
      <c r="L65" s="547"/>
      <c r="M65" s="547"/>
      <c r="N65" s="356">
        <v>45728</v>
      </c>
      <c r="O65" s="541"/>
      <c r="P65" s="348">
        <v>79464</v>
      </c>
      <c r="Q65" s="349">
        <v>45733</v>
      </c>
      <c r="R65" s="350"/>
      <c r="S65" s="351"/>
      <c r="T65" s="351"/>
      <c r="U65" s="544"/>
      <c r="V65" s="550"/>
      <c r="W65" s="553"/>
      <c r="X65" s="110">
        <v>90</v>
      </c>
    </row>
    <row r="66" spans="1:24" s="110" customFormat="1" x14ac:dyDescent="0.25">
      <c r="A66" s="538"/>
      <c r="B66" s="547"/>
      <c r="C66" s="547"/>
      <c r="D66" s="547"/>
      <c r="E66" s="547"/>
      <c r="F66" s="556"/>
      <c r="G66" s="559"/>
      <c r="H66" s="544"/>
      <c r="I66" s="562"/>
      <c r="J66" s="565"/>
      <c r="K66" s="568"/>
      <c r="L66" s="547"/>
      <c r="M66" s="547"/>
      <c r="N66" s="356">
        <v>45728</v>
      </c>
      <c r="O66" s="541"/>
      <c r="P66" s="348">
        <v>4869.3999999999996</v>
      </c>
      <c r="Q66" s="349">
        <v>45733</v>
      </c>
      <c r="R66" s="350"/>
      <c r="S66" s="351"/>
      <c r="T66" s="351"/>
      <c r="U66" s="544"/>
      <c r="V66" s="550"/>
      <c r="W66" s="553"/>
      <c r="X66" s="110">
        <v>90</v>
      </c>
    </row>
    <row r="67" spans="1:24" s="110" customFormat="1" x14ac:dyDescent="0.25">
      <c r="A67" s="538"/>
      <c r="B67" s="547"/>
      <c r="C67" s="547"/>
      <c r="D67" s="547"/>
      <c r="E67" s="547"/>
      <c r="F67" s="556"/>
      <c r="G67" s="559"/>
      <c r="H67" s="544"/>
      <c r="I67" s="562"/>
      <c r="J67" s="565"/>
      <c r="K67" s="568"/>
      <c r="L67" s="547"/>
      <c r="M67" s="547"/>
      <c r="N67" s="356">
        <v>45728</v>
      </c>
      <c r="O67" s="541"/>
      <c r="P67" s="348">
        <v>1943.2</v>
      </c>
      <c r="Q67" s="349">
        <v>45733</v>
      </c>
      <c r="R67" s="350"/>
      <c r="S67" s="351"/>
      <c r="T67" s="351"/>
      <c r="U67" s="544"/>
      <c r="V67" s="550"/>
      <c r="W67" s="553"/>
      <c r="X67" s="110">
        <v>90</v>
      </c>
    </row>
    <row r="68" spans="1:24" s="110" customFormat="1" x14ac:dyDescent="0.25">
      <c r="A68" s="538"/>
      <c r="B68" s="547"/>
      <c r="C68" s="547"/>
      <c r="D68" s="547"/>
      <c r="E68" s="547"/>
      <c r="F68" s="556"/>
      <c r="G68" s="559"/>
      <c r="H68" s="544"/>
      <c r="I68" s="562"/>
      <c r="J68" s="565"/>
      <c r="K68" s="568"/>
      <c r="L68" s="547"/>
      <c r="M68" s="547"/>
      <c r="N68" s="356">
        <v>45756</v>
      </c>
      <c r="O68" s="541"/>
      <c r="P68" s="348">
        <v>8162</v>
      </c>
      <c r="Q68" s="349">
        <v>45763</v>
      </c>
      <c r="R68" s="350"/>
      <c r="S68" s="351"/>
      <c r="T68" s="351"/>
      <c r="U68" s="544"/>
      <c r="V68" s="550"/>
      <c r="W68" s="553"/>
      <c r="X68" s="110">
        <v>90</v>
      </c>
    </row>
    <row r="69" spans="1:24" s="110" customFormat="1" x14ac:dyDescent="0.25">
      <c r="A69" s="538"/>
      <c r="B69" s="547"/>
      <c r="C69" s="547"/>
      <c r="D69" s="547"/>
      <c r="E69" s="547"/>
      <c r="F69" s="556"/>
      <c r="G69" s="559"/>
      <c r="H69" s="544"/>
      <c r="I69" s="562"/>
      <c r="J69" s="565"/>
      <c r="K69" s="568"/>
      <c r="L69" s="547"/>
      <c r="M69" s="547"/>
      <c r="N69" s="356">
        <v>45756</v>
      </c>
      <c r="O69" s="541"/>
      <c r="P69" s="348">
        <v>76538</v>
      </c>
      <c r="Q69" s="349">
        <v>45763</v>
      </c>
      <c r="R69" s="350"/>
      <c r="S69" s="351"/>
      <c r="T69" s="351"/>
      <c r="U69" s="544"/>
      <c r="V69" s="550"/>
      <c r="W69" s="553"/>
      <c r="X69" s="110">
        <v>90</v>
      </c>
    </row>
    <row r="70" spans="1:24" s="110" customFormat="1" x14ac:dyDescent="0.25">
      <c r="A70" s="538"/>
      <c r="B70" s="547"/>
      <c r="C70" s="547"/>
      <c r="D70" s="547"/>
      <c r="E70" s="547"/>
      <c r="F70" s="556"/>
      <c r="G70" s="559"/>
      <c r="H70" s="544"/>
      <c r="I70" s="562"/>
      <c r="J70" s="565"/>
      <c r="K70" s="568"/>
      <c r="L70" s="547"/>
      <c r="M70" s="547"/>
      <c r="N70" s="356">
        <v>45756</v>
      </c>
      <c r="O70" s="541"/>
      <c r="P70" s="348">
        <v>1943.2</v>
      </c>
      <c r="Q70" s="349">
        <v>45763</v>
      </c>
      <c r="R70" s="350"/>
      <c r="S70" s="351"/>
      <c r="T70" s="351"/>
      <c r="U70" s="544"/>
      <c r="V70" s="550"/>
      <c r="W70" s="553"/>
      <c r="X70" s="110">
        <v>90</v>
      </c>
    </row>
    <row r="71" spans="1:24" s="110" customFormat="1" x14ac:dyDescent="0.25">
      <c r="A71" s="539"/>
      <c r="B71" s="548"/>
      <c r="C71" s="548"/>
      <c r="D71" s="548"/>
      <c r="E71" s="548"/>
      <c r="F71" s="557"/>
      <c r="G71" s="560"/>
      <c r="H71" s="545"/>
      <c r="I71" s="563"/>
      <c r="J71" s="566"/>
      <c r="K71" s="569"/>
      <c r="L71" s="548"/>
      <c r="M71" s="548"/>
      <c r="N71" s="357">
        <v>45756</v>
      </c>
      <c r="O71" s="542"/>
      <c r="P71" s="467">
        <v>3903.2</v>
      </c>
      <c r="Q71" s="353">
        <v>45763</v>
      </c>
      <c r="R71" s="354"/>
      <c r="S71" s="352"/>
      <c r="T71" s="352"/>
      <c r="U71" s="545"/>
      <c r="V71" s="551"/>
      <c r="W71" s="554"/>
      <c r="X71" s="110">
        <v>90</v>
      </c>
    </row>
    <row r="72" spans="1:24" s="80" customFormat="1" ht="75" x14ac:dyDescent="0.25">
      <c r="A72" s="267">
        <v>22</v>
      </c>
      <c r="B72" s="263" t="s">
        <v>56</v>
      </c>
      <c r="C72" s="263" t="s">
        <v>147</v>
      </c>
      <c r="D72" s="263" t="s">
        <v>153</v>
      </c>
      <c r="E72" s="263" t="s">
        <v>264</v>
      </c>
      <c r="F72" s="400">
        <v>45748</v>
      </c>
      <c r="G72" s="264" t="s">
        <v>188</v>
      </c>
      <c r="H72" s="265">
        <v>145276.79999999999</v>
      </c>
      <c r="I72" s="266">
        <f>IF(X72 = 91, H72 + SUM(S72:S72) - SUM(T72:T72) - SUM(P72:P72) - V72,0)</f>
        <v>108332.79999999999</v>
      </c>
      <c r="J72" s="268">
        <v>7743529527</v>
      </c>
      <c r="K72" s="269" t="s">
        <v>173</v>
      </c>
      <c r="L72" s="263" t="s">
        <v>147</v>
      </c>
      <c r="M72" s="263" t="s">
        <v>265</v>
      </c>
      <c r="N72" s="271">
        <v>45777</v>
      </c>
      <c r="O72" s="271" t="s">
        <v>208</v>
      </c>
      <c r="P72" s="265">
        <v>36944</v>
      </c>
      <c r="Q72" s="264"/>
      <c r="R72" s="263"/>
      <c r="S72" s="265"/>
      <c r="T72" s="265"/>
      <c r="U72" s="265"/>
      <c r="V72" s="270"/>
      <c r="W72" s="262"/>
      <c r="X72" s="80">
        <v>91</v>
      </c>
    </row>
    <row r="73" spans="1:24" s="80" customFormat="1" ht="72" customHeight="1" x14ac:dyDescent="0.25">
      <c r="A73" s="367">
        <v>23</v>
      </c>
      <c r="B73" s="361" t="s">
        <v>56</v>
      </c>
      <c r="C73" s="361" t="s">
        <v>147</v>
      </c>
      <c r="D73" s="361" t="s">
        <v>153</v>
      </c>
      <c r="E73" s="361" t="s">
        <v>266</v>
      </c>
      <c r="F73" s="399">
        <v>45714</v>
      </c>
      <c r="G73" s="360" t="s">
        <v>267</v>
      </c>
      <c r="H73" s="362">
        <v>6698.9</v>
      </c>
      <c r="I73" s="368">
        <f>IF(X73 = 92, H73 + SUM(S73:S73) - SUM(T73:T73) - SUM(P73:P73) - V73,0)</f>
        <v>0</v>
      </c>
      <c r="J73" s="369">
        <v>7706526550</v>
      </c>
      <c r="K73" s="370" t="s">
        <v>268</v>
      </c>
      <c r="L73" s="361" t="s">
        <v>147</v>
      </c>
      <c r="M73" s="361" t="s">
        <v>269</v>
      </c>
      <c r="N73" s="365">
        <v>45730</v>
      </c>
      <c r="O73" s="365" t="s">
        <v>180</v>
      </c>
      <c r="P73" s="359">
        <v>6698.9</v>
      </c>
      <c r="Q73" s="360">
        <v>45741</v>
      </c>
      <c r="R73" s="361"/>
      <c r="S73" s="362"/>
      <c r="T73" s="362"/>
      <c r="U73" s="362"/>
      <c r="V73" s="371"/>
      <c r="W73" s="372"/>
      <c r="X73" s="80">
        <v>92</v>
      </c>
    </row>
    <row r="74" spans="1:24" s="80" customFormat="1" ht="75" x14ac:dyDescent="0.25">
      <c r="A74" s="373">
        <v>24</v>
      </c>
      <c r="B74" s="361" t="s">
        <v>56</v>
      </c>
      <c r="C74" s="361" t="s">
        <v>283</v>
      </c>
      <c r="D74" s="361" t="s">
        <v>153</v>
      </c>
      <c r="E74" s="374" t="s">
        <v>36</v>
      </c>
      <c r="F74" s="375">
        <v>45756</v>
      </c>
      <c r="G74" s="376" t="s">
        <v>277</v>
      </c>
      <c r="H74" s="377">
        <v>5100</v>
      </c>
      <c r="I74" s="378">
        <f>IF(X74 = 93, H74 + SUM(S74:S74) - SUM(T74:T74) - SUM(P74:P74) - V74,0)</f>
        <v>0</v>
      </c>
      <c r="J74" s="379">
        <v>2309084120</v>
      </c>
      <c r="K74" s="380" t="s">
        <v>278</v>
      </c>
      <c r="L74" s="374" t="s">
        <v>147</v>
      </c>
      <c r="M74" s="374" t="s">
        <v>279</v>
      </c>
      <c r="N74" s="375">
        <v>45758</v>
      </c>
      <c r="O74" s="365" t="s">
        <v>280</v>
      </c>
      <c r="P74" s="464">
        <v>5100</v>
      </c>
      <c r="Q74" s="376">
        <v>45763</v>
      </c>
      <c r="R74" s="374"/>
      <c r="S74" s="377"/>
      <c r="T74" s="377"/>
      <c r="U74" s="377"/>
      <c r="V74" s="381"/>
      <c r="W74" s="382"/>
      <c r="X74" s="80">
        <v>93</v>
      </c>
    </row>
    <row r="75" spans="1:24" s="80" customFormat="1" ht="75" x14ac:dyDescent="0.25">
      <c r="A75" s="402">
        <v>25</v>
      </c>
      <c r="B75" s="388" t="s">
        <v>56</v>
      </c>
      <c r="C75" s="403" t="s">
        <v>147</v>
      </c>
      <c r="D75" s="388" t="s">
        <v>153</v>
      </c>
      <c r="E75" s="403" t="s">
        <v>284</v>
      </c>
      <c r="F75" s="410">
        <v>45758</v>
      </c>
      <c r="G75" s="404" t="s">
        <v>285</v>
      </c>
      <c r="H75" s="405">
        <v>89783</v>
      </c>
      <c r="I75" s="406">
        <f>IF(X75 = 94, H75 + SUM(S75:S75) - SUM(T75:T75) - SUM(P75:P75) - V75,0)</f>
        <v>0</v>
      </c>
      <c r="J75" s="407">
        <v>7329022201</v>
      </c>
      <c r="K75" s="408" t="s">
        <v>286</v>
      </c>
      <c r="L75" s="403" t="s">
        <v>147</v>
      </c>
      <c r="M75" s="403" t="s">
        <v>287</v>
      </c>
      <c r="N75" s="410">
        <v>45762</v>
      </c>
      <c r="O75" s="390" t="s">
        <v>280</v>
      </c>
      <c r="P75" s="466">
        <v>89783</v>
      </c>
      <c r="Q75" s="404">
        <v>45772</v>
      </c>
      <c r="R75" s="403"/>
      <c r="S75" s="405"/>
      <c r="T75" s="405"/>
      <c r="U75" s="405"/>
      <c r="V75" s="409"/>
      <c r="W75" s="389"/>
      <c r="X75" s="80">
        <v>94</v>
      </c>
    </row>
    <row r="76" spans="1:24" x14ac:dyDescent="0.25">
      <c r="X76" s="2">
        <v>95</v>
      </c>
    </row>
  </sheetData>
  <sheetProtection algorithmName="SHA-512" hashValue="QVMTrCVH7OBLh24gwI3COnHWCQPidfvH870iSlE9lQQ+91nUPYYFJ3XhMv9xR6qXJe9QHuBkb8PKU3tIz+f9+w==" saltValue="E7J8ixntlkO1MpSg1CsHUA==" spinCount="100000" sheet="1" objects="1" scenarios="1" formatCells="0" formatColumns="0" formatRows="0"/>
  <mergeCells count="241">
    <mergeCell ref="A38:A41"/>
    <mergeCell ref="O38:O41"/>
    <mergeCell ref="U38:U41"/>
    <mergeCell ref="B38:B41"/>
    <mergeCell ref="V38:V41"/>
    <mergeCell ref="C38:C41"/>
    <mergeCell ref="W38:W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A16:A19"/>
    <mergeCell ref="O16:O19"/>
    <mergeCell ref="U16:U19"/>
    <mergeCell ref="B16:B19"/>
    <mergeCell ref="V16:V19"/>
    <mergeCell ref="C16:C19"/>
    <mergeCell ref="W16:W19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M16:M19"/>
    <mergeCell ref="O9:O15"/>
    <mergeCell ref="U9:U15"/>
    <mergeCell ref="B9:B15"/>
    <mergeCell ref="V9:V15"/>
    <mergeCell ref="C9:C15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V28:V31"/>
    <mergeCell ref="C28:C31"/>
    <mergeCell ref="W28:W31"/>
    <mergeCell ref="D28:D31"/>
    <mergeCell ref="E28:E31"/>
    <mergeCell ref="F28:F31"/>
    <mergeCell ref="G28:G31"/>
    <mergeCell ref="H28:H31"/>
    <mergeCell ref="I28:I31"/>
    <mergeCell ref="J28:J31"/>
    <mergeCell ref="K28:K31"/>
    <mergeCell ref="L28:L31"/>
    <mergeCell ref="M28:M31"/>
    <mergeCell ref="V20:V23"/>
    <mergeCell ref="C20:C23"/>
    <mergeCell ref="W20:W23"/>
    <mergeCell ref="D20:D23"/>
    <mergeCell ref="E20:E23"/>
    <mergeCell ref="F20:F23"/>
    <mergeCell ref="G20:G23"/>
    <mergeCell ref="H20:H23"/>
    <mergeCell ref="I20:I23"/>
    <mergeCell ref="J20:J23"/>
    <mergeCell ref="K20:K23"/>
    <mergeCell ref="L20:L23"/>
    <mergeCell ref="M20:M23"/>
    <mergeCell ref="A47:A50"/>
    <mergeCell ref="O47:O50"/>
    <mergeCell ref="U47:U50"/>
    <mergeCell ref="B47:B50"/>
    <mergeCell ref="V47:V50"/>
    <mergeCell ref="C47:C50"/>
    <mergeCell ref="W47:W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  <mergeCell ref="A51:A53"/>
    <mergeCell ref="O51:O53"/>
    <mergeCell ref="U51:U53"/>
    <mergeCell ref="B51:B53"/>
    <mergeCell ref="V51:V53"/>
    <mergeCell ref="C51:C53"/>
    <mergeCell ref="W51:W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A61:A62"/>
    <mergeCell ref="O61:O62"/>
    <mergeCell ref="U61:U62"/>
    <mergeCell ref="B61:B62"/>
    <mergeCell ref="V61:V62"/>
    <mergeCell ref="C61:C62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V57:V59"/>
    <mergeCell ref="W57:W59"/>
    <mergeCell ref="F57:F59"/>
    <mergeCell ref="G57:G59"/>
    <mergeCell ref="H57:H59"/>
    <mergeCell ref="I57:I59"/>
    <mergeCell ref="J57:J59"/>
    <mergeCell ref="K57:K59"/>
    <mergeCell ref="L57:L59"/>
    <mergeCell ref="M57:M59"/>
    <mergeCell ref="O57:O59"/>
    <mergeCell ref="A44:A46"/>
    <mergeCell ref="O44:O46"/>
    <mergeCell ref="U44:U46"/>
    <mergeCell ref="S2:U2"/>
    <mergeCell ref="F2:G2"/>
    <mergeCell ref="N2:O2"/>
    <mergeCell ref="A33:A35"/>
    <mergeCell ref="O33:O35"/>
    <mergeCell ref="U33:U35"/>
    <mergeCell ref="B33:B35"/>
    <mergeCell ref="A24:A27"/>
    <mergeCell ref="O24:O27"/>
    <mergeCell ref="U24:U27"/>
    <mergeCell ref="B24:B27"/>
    <mergeCell ref="B44:B46"/>
    <mergeCell ref="A20:A23"/>
    <mergeCell ref="O20:O23"/>
    <mergeCell ref="U20:U23"/>
    <mergeCell ref="B20:B23"/>
    <mergeCell ref="A28:A31"/>
    <mergeCell ref="O28:O31"/>
    <mergeCell ref="U28:U31"/>
    <mergeCell ref="B28:B31"/>
    <mergeCell ref="A9:A15"/>
    <mergeCell ref="D57:D59"/>
    <mergeCell ref="A57:A59"/>
    <mergeCell ref="B57:B59"/>
    <mergeCell ref="C57:C59"/>
    <mergeCell ref="E57:E59"/>
    <mergeCell ref="U57:U59"/>
    <mergeCell ref="A54:A56"/>
    <mergeCell ref="B54:B56"/>
    <mergeCell ref="J54:J56"/>
    <mergeCell ref="K54:K56"/>
    <mergeCell ref="L54:L56"/>
    <mergeCell ref="M54:M56"/>
    <mergeCell ref="O54:O56"/>
    <mergeCell ref="U54:U56"/>
    <mergeCell ref="V54:V56"/>
    <mergeCell ref="C54:C56"/>
    <mergeCell ref="W54:W56"/>
    <mergeCell ref="D54:D56"/>
    <mergeCell ref="E54:E56"/>
    <mergeCell ref="F54:F56"/>
    <mergeCell ref="G54:G56"/>
    <mergeCell ref="H54:H56"/>
    <mergeCell ref="I54:I56"/>
    <mergeCell ref="V24:V27"/>
    <mergeCell ref="C24:C27"/>
    <mergeCell ref="D24:D27"/>
    <mergeCell ref="E24:E27"/>
    <mergeCell ref="F24:F27"/>
    <mergeCell ref="W24:W27"/>
    <mergeCell ref="G24:G27"/>
    <mergeCell ref="H24:H27"/>
    <mergeCell ref="I24:I27"/>
    <mergeCell ref="J24:J27"/>
    <mergeCell ref="K24:K27"/>
    <mergeCell ref="L24:L27"/>
    <mergeCell ref="M24:M27"/>
    <mergeCell ref="V33:V35"/>
    <mergeCell ref="C33:C35"/>
    <mergeCell ref="W33:W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V44:V46"/>
    <mergeCell ref="C44:C46"/>
    <mergeCell ref="W44:W46"/>
    <mergeCell ref="D44:D46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A64:A71"/>
    <mergeCell ref="O64:O71"/>
    <mergeCell ref="U64:U71"/>
    <mergeCell ref="B64:B71"/>
    <mergeCell ref="V64:V71"/>
    <mergeCell ref="C64:C71"/>
    <mergeCell ref="W64:W71"/>
    <mergeCell ref="D64:D71"/>
    <mergeCell ref="E64:E71"/>
    <mergeCell ref="F64:F71"/>
    <mergeCell ref="G64:G71"/>
    <mergeCell ref="H64:H71"/>
    <mergeCell ref="I64:I71"/>
    <mergeCell ref="J64:J71"/>
    <mergeCell ref="K64:K71"/>
    <mergeCell ref="L64:L71"/>
    <mergeCell ref="M64:M7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4"/>
  <sheetViews>
    <sheetView showGridLines="0" topLeftCell="F1" zoomScale="50" zoomScaleNormal="50" workbookViewId="0">
      <pane ySplit="8" topLeftCell="A18" activePane="bottomLeft" state="frozen"/>
      <selection pane="bottomLeft" activeCell="N19" sqref="N19"/>
    </sheetView>
  </sheetViews>
  <sheetFormatPr defaultColWidth="0" defaultRowHeight="18.75" x14ac:dyDescent="0.25"/>
  <cols>
    <col min="1" max="1" width="8.425781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425781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5703125" style="10" customWidth="1"/>
    <col min="15" max="16" width="24.425781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669" t="s">
        <v>24</v>
      </c>
      <c r="F2" s="670"/>
      <c r="G2" s="75">
        <f>SUM(G9:G9999)</f>
        <v>1357561.5350000001</v>
      </c>
      <c r="L2" s="812" t="s">
        <v>137</v>
      </c>
      <c r="M2" s="813"/>
      <c r="N2" s="66">
        <f>SUM(N9:N9999)</f>
        <v>950556.28</v>
      </c>
      <c r="P2" s="65"/>
      <c r="Q2" s="533" t="s">
        <v>45</v>
      </c>
      <c r="R2" s="534"/>
      <c r="S2" s="535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816">
        <v>1</v>
      </c>
      <c r="B9" s="819" t="s">
        <v>210</v>
      </c>
      <c r="C9" s="819" t="s">
        <v>153</v>
      </c>
      <c r="D9" s="819" t="s">
        <v>211</v>
      </c>
      <c r="E9" s="822">
        <v>45649</v>
      </c>
      <c r="F9" s="825" t="s">
        <v>212</v>
      </c>
      <c r="G9" s="828">
        <v>774185.67</v>
      </c>
      <c r="H9" s="834">
        <f>IF(V9 = 2, G9 + SUM(Q9:Q19) - SUM(R9:R19) - SUM(N9:N19) - T9,0)</f>
        <v>650577.86</v>
      </c>
      <c r="I9" s="837">
        <v>2308119595</v>
      </c>
      <c r="J9" s="819" t="s">
        <v>213</v>
      </c>
      <c r="K9" s="819" t="s">
        <v>194</v>
      </c>
      <c r="L9" s="341">
        <v>45688</v>
      </c>
      <c r="M9" s="819" t="s">
        <v>214</v>
      </c>
      <c r="N9" s="333">
        <v>131391.35999999999</v>
      </c>
      <c r="O9" s="341">
        <v>45702</v>
      </c>
      <c r="P9" s="334"/>
      <c r="Q9" s="335"/>
      <c r="R9" s="335"/>
      <c r="S9" s="825"/>
      <c r="T9" s="828"/>
      <c r="U9" s="831"/>
      <c r="V9" s="80">
        <v>2</v>
      </c>
    </row>
    <row r="10" spans="1:22" s="110" customFormat="1" x14ac:dyDescent="0.25">
      <c r="A10" s="817"/>
      <c r="B10" s="820"/>
      <c r="C10" s="820"/>
      <c r="D10" s="820"/>
      <c r="E10" s="823"/>
      <c r="F10" s="826"/>
      <c r="G10" s="829"/>
      <c r="H10" s="835"/>
      <c r="I10" s="838"/>
      <c r="J10" s="820"/>
      <c r="K10" s="820"/>
      <c r="L10" s="342">
        <v>45689</v>
      </c>
      <c r="M10" s="820"/>
      <c r="N10" s="336">
        <v>47789.14</v>
      </c>
      <c r="O10" s="342">
        <v>45701</v>
      </c>
      <c r="P10" s="337"/>
      <c r="Q10" s="338"/>
      <c r="R10" s="338"/>
      <c r="S10" s="826"/>
      <c r="T10" s="829"/>
      <c r="U10" s="832"/>
      <c r="V10" s="110">
        <v>2</v>
      </c>
    </row>
    <row r="11" spans="1:22" s="110" customFormat="1" x14ac:dyDescent="0.25">
      <c r="A11" s="817"/>
      <c r="B11" s="820"/>
      <c r="C11" s="820"/>
      <c r="D11" s="820"/>
      <c r="E11" s="823"/>
      <c r="F11" s="826"/>
      <c r="G11" s="829"/>
      <c r="H11" s="835"/>
      <c r="I11" s="838"/>
      <c r="J11" s="820"/>
      <c r="K11" s="820"/>
      <c r="L11" s="342">
        <v>45689</v>
      </c>
      <c r="M11" s="820"/>
      <c r="N11" s="336">
        <v>57392.959999999999</v>
      </c>
      <c r="O11" s="342">
        <v>45702</v>
      </c>
      <c r="P11" s="337" t="s">
        <v>270</v>
      </c>
      <c r="Q11" s="338">
        <v>425814.33</v>
      </c>
      <c r="R11" s="338"/>
      <c r="S11" s="826"/>
      <c r="T11" s="829"/>
      <c r="U11" s="832"/>
      <c r="V11" s="110">
        <v>2</v>
      </c>
    </row>
    <row r="12" spans="1:22" s="110" customFormat="1" x14ac:dyDescent="0.25">
      <c r="A12" s="817"/>
      <c r="B12" s="820"/>
      <c r="C12" s="820"/>
      <c r="D12" s="820"/>
      <c r="E12" s="823"/>
      <c r="F12" s="826"/>
      <c r="G12" s="829"/>
      <c r="H12" s="835"/>
      <c r="I12" s="838"/>
      <c r="J12" s="820"/>
      <c r="K12" s="820"/>
      <c r="L12" s="342">
        <v>45716</v>
      </c>
      <c r="M12" s="820"/>
      <c r="N12" s="336">
        <v>58771.25</v>
      </c>
      <c r="O12" s="342">
        <v>45734</v>
      </c>
      <c r="P12" s="337"/>
      <c r="Q12" s="338"/>
      <c r="R12" s="338"/>
      <c r="S12" s="826"/>
      <c r="T12" s="829"/>
      <c r="U12" s="832"/>
      <c r="V12" s="110">
        <v>2</v>
      </c>
    </row>
    <row r="13" spans="1:22" s="110" customFormat="1" x14ac:dyDescent="0.25">
      <c r="A13" s="817"/>
      <c r="B13" s="820"/>
      <c r="C13" s="820"/>
      <c r="D13" s="820"/>
      <c r="E13" s="823"/>
      <c r="F13" s="826"/>
      <c r="G13" s="829"/>
      <c r="H13" s="835"/>
      <c r="I13" s="838"/>
      <c r="J13" s="820"/>
      <c r="K13" s="820"/>
      <c r="L13" s="342">
        <v>45717</v>
      </c>
      <c r="M13" s="820"/>
      <c r="N13" s="336">
        <v>43037.59</v>
      </c>
      <c r="O13" s="342">
        <v>45719</v>
      </c>
      <c r="P13" s="337"/>
      <c r="Q13" s="338"/>
      <c r="R13" s="338"/>
      <c r="S13" s="826"/>
      <c r="T13" s="829"/>
      <c r="U13" s="832"/>
      <c r="V13" s="110">
        <v>2</v>
      </c>
    </row>
    <row r="14" spans="1:22" s="110" customFormat="1" x14ac:dyDescent="0.25">
      <c r="A14" s="817"/>
      <c r="B14" s="820"/>
      <c r="C14" s="820"/>
      <c r="D14" s="820"/>
      <c r="E14" s="823"/>
      <c r="F14" s="826"/>
      <c r="G14" s="829"/>
      <c r="H14" s="835"/>
      <c r="I14" s="838"/>
      <c r="J14" s="820"/>
      <c r="K14" s="820"/>
      <c r="L14" s="342">
        <v>45717</v>
      </c>
      <c r="M14" s="820"/>
      <c r="N14" s="336">
        <v>71393.53</v>
      </c>
      <c r="O14" s="342">
        <v>45734</v>
      </c>
      <c r="P14" s="337"/>
      <c r="Q14" s="338"/>
      <c r="R14" s="338"/>
      <c r="S14" s="826"/>
      <c r="T14" s="829"/>
      <c r="U14" s="832"/>
      <c r="V14" s="110">
        <v>2</v>
      </c>
    </row>
    <row r="15" spans="1:22" s="110" customFormat="1" x14ac:dyDescent="0.25">
      <c r="A15" s="817"/>
      <c r="B15" s="820"/>
      <c r="C15" s="820"/>
      <c r="D15" s="820"/>
      <c r="E15" s="823"/>
      <c r="F15" s="826"/>
      <c r="G15" s="829"/>
      <c r="H15" s="835"/>
      <c r="I15" s="838"/>
      <c r="J15" s="820"/>
      <c r="K15" s="820"/>
      <c r="L15" s="342">
        <v>45747</v>
      </c>
      <c r="M15" s="820"/>
      <c r="N15" s="336">
        <v>3534.4</v>
      </c>
      <c r="O15" s="342">
        <v>45763</v>
      </c>
      <c r="P15" s="337"/>
      <c r="Q15" s="338"/>
      <c r="R15" s="338"/>
      <c r="S15" s="826"/>
      <c r="T15" s="829"/>
      <c r="U15" s="832"/>
      <c r="V15" s="110">
        <v>2</v>
      </c>
    </row>
    <row r="16" spans="1:22" s="110" customFormat="1" x14ac:dyDescent="0.25">
      <c r="A16" s="817"/>
      <c r="B16" s="820"/>
      <c r="C16" s="820"/>
      <c r="D16" s="820"/>
      <c r="E16" s="823"/>
      <c r="F16" s="826"/>
      <c r="G16" s="829"/>
      <c r="H16" s="835"/>
      <c r="I16" s="838"/>
      <c r="J16" s="820"/>
      <c r="K16" s="820"/>
      <c r="L16" s="342">
        <v>45748</v>
      </c>
      <c r="M16" s="820"/>
      <c r="N16" s="336">
        <v>53545.15</v>
      </c>
      <c r="O16" s="342">
        <v>45748</v>
      </c>
      <c r="P16" s="337"/>
      <c r="Q16" s="338"/>
      <c r="R16" s="338"/>
      <c r="S16" s="826"/>
      <c r="T16" s="829"/>
      <c r="U16" s="832"/>
      <c r="V16" s="110">
        <v>2</v>
      </c>
    </row>
    <row r="17" spans="1:22" s="110" customFormat="1" x14ac:dyDescent="0.25">
      <c r="A17" s="817"/>
      <c r="B17" s="820"/>
      <c r="C17" s="820"/>
      <c r="D17" s="820"/>
      <c r="E17" s="823"/>
      <c r="F17" s="826"/>
      <c r="G17" s="829"/>
      <c r="H17" s="835"/>
      <c r="I17" s="838"/>
      <c r="J17" s="820"/>
      <c r="K17" s="820"/>
      <c r="L17" s="342">
        <v>45748</v>
      </c>
      <c r="M17" s="820"/>
      <c r="N17" s="336">
        <v>47181</v>
      </c>
      <c r="O17" s="342">
        <v>45763</v>
      </c>
      <c r="P17" s="337"/>
      <c r="Q17" s="338"/>
      <c r="R17" s="338"/>
      <c r="S17" s="826"/>
      <c r="T17" s="829"/>
      <c r="U17" s="832"/>
      <c r="V17" s="110">
        <v>2</v>
      </c>
    </row>
    <row r="18" spans="1:22" s="110" customFormat="1" x14ac:dyDescent="0.25">
      <c r="A18" s="817"/>
      <c r="B18" s="820"/>
      <c r="C18" s="820"/>
      <c r="D18" s="820"/>
      <c r="E18" s="823"/>
      <c r="F18" s="826"/>
      <c r="G18" s="829"/>
      <c r="H18" s="835"/>
      <c r="I18" s="838"/>
      <c r="J18" s="820"/>
      <c r="K18" s="820"/>
      <c r="L18" s="342">
        <v>45777</v>
      </c>
      <c r="M18" s="820"/>
      <c r="N18" s="338"/>
      <c r="O18" s="342"/>
      <c r="P18" s="337"/>
      <c r="Q18" s="338"/>
      <c r="R18" s="338"/>
      <c r="S18" s="826"/>
      <c r="T18" s="829"/>
      <c r="U18" s="832"/>
      <c r="V18" s="110">
        <v>2</v>
      </c>
    </row>
    <row r="19" spans="1:22" s="110" customFormat="1" x14ac:dyDescent="0.25">
      <c r="A19" s="818"/>
      <c r="B19" s="821"/>
      <c r="C19" s="821"/>
      <c r="D19" s="821"/>
      <c r="E19" s="824"/>
      <c r="F19" s="827"/>
      <c r="G19" s="830"/>
      <c r="H19" s="836"/>
      <c r="I19" s="839"/>
      <c r="J19" s="821"/>
      <c r="K19" s="821"/>
      <c r="L19" s="343">
        <v>45778</v>
      </c>
      <c r="M19" s="821"/>
      <c r="N19" s="339">
        <v>35385.760000000002</v>
      </c>
      <c r="O19" s="343"/>
      <c r="P19" s="340"/>
      <c r="Q19" s="339"/>
      <c r="R19" s="339"/>
      <c r="S19" s="827"/>
      <c r="T19" s="830"/>
      <c r="U19" s="833"/>
      <c r="V19" s="110">
        <v>2</v>
      </c>
    </row>
    <row r="20" spans="1:22" s="80" customFormat="1" ht="54" customHeight="1" x14ac:dyDescent="0.25">
      <c r="A20" s="814">
        <v>2</v>
      </c>
      <c r="B20" s="800" t="s">
        <v>297</v>
      </c>
      <c r="C20" s="800" t="s">
        <v>153</v>
      </c>
      <c r="D20" s="800" t="s">
        <v>236</v>
      </c>
      <c r="E20" s="804">
        <v>45708</v>
      </c>
      <c r="F20" s="806" t="s">
        <v>237</v>
      </c>
      <c r="G20" s="798">
        <v>498597.22</v>
      </c>
      <c r="H20" s="808">
        <f>IF(V20 = 3, G20 + SUM(Q20:Q21) - SUM(R20:R21) - SUM(N20:N21) - T20,0)</f>
        <v>97463.079999999958</v>
      </c>
      <c r="I20" s="810">
        <v>7715995942</v>
      </c>
      <c r="J20" s="800" t="s">
        <v>239</v>
      </c>
      <c r="K20" s="800" t="s">
        <v>240</v>
      </c>
      <c r="L20" s="260">
        <v>45749</v>
      </c>
      <c r="M20" s="800" t="s">
        <v>241</v>
      </c>
      <c r="N20" s="438">
        <v>401134.14</v>
      </c>
      <c r="O20" s="260">
        <v>45772</v>
      </c>
      <c r="P20" s="256"/>
      <c r="Q20" s="257"/>
      <c r="R20" s="257"/>
      <c r="S20" s="806"/>
      <c r="T20" s="798"/>
      <c r="U20" s="802"/>
      <c r="V20" s="80">
        <v>3</v>
      </c>
    </row>
    <row r="21" spans="1:22" s="110" customFormat="1" x14ac:dyDescent="0.25">
      <c r="A21" s="815"/>
      <c r="B21" s="801"/>
      <c r="C21" s="801"/>
      <c r="D21" s="801"/>
      <c r="E21" s="805"/>
      <c r="F21" s="807"/>
      <c r="G21" s="799"/>
      <c r="H21" s="809"/>
      <c r="I21" s="811"/>
      <c r="J21" s="801"/>
      <c r="K21" s="801"/>
      <c r="L21" s="261"/>
      <c r="M21" s="801"/>
      <c r="N21" s="258"/>
      <c r="O21" s="261"/>
      <c r="P21" s="259"/>
      <c r="Q21" s="258"/>
      <c r="R21" s="258"/>
      <c r="S21" s="807"/>
      <c r="T21" s="799"/>
      <c r="U21" s="803"/>
      <c r="V21" s="110">
        <v>3</v>
      </c>
    </row>
    <row r="22" spans="1:22" s="80" customFormat="1" ht="75" x14ac:dyDescent="0.25">
      <c r="A22" s="229">
        <v>3</v>
      </c>
      <c r="B22" s="221" t="s">
        <v>298</v>
      </c>
      <c r="C22" s="221" t="s">
        <v>153</v>
      </c>
      <c r="D22" s="221" t="s">
        <v>238</v>
      </c>
      <c r="E22" s="230">
        <v>45713</v>
      </c>
      <c r="F22" s="227" t="s">
        <v>237</v>
      </c>
      <c r="G22" s="223">
        <v>64560.644999999997</v>
      </c>
      <c r="H22" s="224">
        <f>IF(V22 = 4, G22 + SUM(Q22:Q22) - SUM(R22:R22) - SUM(N22:N22) - T22,0)</f>
        <v>64560.644999999997</v>
      </c>
      <c r="I22" s="228">
        <v>7715995942</v>
      </c>
      <c r="J22" s="226" t="s">
        <v>239</v>
      </c>
      <c r="K22" s="226" t="s">
        <v>294</v>
      </c>
      <c r="L22" s="230"/>
      <c r="M22" s="226" t="s">
        <v>241</v>
      </c>
      <c r="N22" s="223"/>
      <c r="O22" s="230"/>
      <c r="P22" s="222"/>
      <c r="Q22" s="223"/>
      <c r="R22" s="223"/>
      <c r="S22" s="222"/>
      <c r="T22" s="223"/>
      <c r="U22" s="225"/>
      <c r="V22" s="80">
        <v>4</v>
      </c>
    </row>
    <row r="23" spans="1:22" s="80" customFormat="1" ht="75" x14ac:dyDescent="0.25">
      <c r="A23" s="439">
        <v>4</v>
      </c>
      <c r="B23" s="433" t="s">
        <v>296</v>
      </c>
      <c r="C23" s="221" t="s">
        <v>153</v>
      </c>
      <c r="D23" s="433" t="s">
        <v>293</v>
      </c>
      <c r="E23" s="441">
        <v>45771</v>
      </c>
      <c r="F23" s="227" t="s">
        <v>237</v>
      </c>
      <c r="G23" s="436">
        <v>20218</v>
      </c>
      <c r="H23" s="437">
        <f>IF(V23 = 5, G23 + SUM(Q23:Q23) - SUM(R23:R23) - SUM(N23:N23) - T23,0)</f>
        <v>20218</v>
      </c>
      <c r="I23" s="440">
        <v>7715995942</v>
      </c>
      <c r="J23" s="226" t="s">
        <v>239</v>
      </c>
      <c r="K23" s="433" t="s">
        <v>295</v>
      </c>
      <c r="L23" s="441"/>
      <c r="M23" s="226" t="s">
        <v>241</v>
      </c>
      <c r="N23" s="436"/>
      <c r="O23" s="441"/>
      <c r="P23" s="435"/>
      <c r="Q23" s="436"/>
      <c r="R23" s="436"/>
      <c r="S23" s="435"/>
      <c r="T23" s="436"/>
      <c r="U23" s="434"/>
      <c r="V23" s="80">
        <v>5</v>
      </c>
    </row>
    <row r="24" spans="1:22" x14ac:dyDescent="0.25">
      <c r="V24" s="2">
        <v>6</v>
      </c>
    </row>
  </sheetData>
  <sheetProtection algorithmName="SHA-512" hashValue="M8cCHeDQXprUkSrg02A4ZRBeyuhYbImfZe6TSuan5IpqUlLBYdJ7TUAa/zo46S79IhQI0IKfNNH6QcaGwb7/wg==" saltValue="kS/fM8gW44DnemVIV3oM1w==" spinCount="100000" sheet="1" objects="1" scenarios="1" formatCells="0" formatColumns="0" formatRows="0"/>
  <mergeCells count="33">
    <mergeCell ref="T9:T19"/>
    <mergeCell ref="C9:C19"/>
    <mergeCell ref="U9:U19"/>
    <mergeCell ref="G9:G19"/>
    <mergeCell ref="H9:H19"/>
    <mergeCell ref="I9:I19"/>
    <mergeCell ref="J9:J19"/>
    <mergeCell ref="K9:K19"/>
    <mergeCell ref="Q2:S2"/>
    <mergeCell ref="E2:F2"/>
    <mergeCell ref="L2:M2"/>
    <mergeCell ref="A20:A21"/>
    <mergeCell ref="M20:M21"/>
    <mergeCell ref="S20:S21"/>
    <mergeCell ref="B20:B21"/>
    <mergeCell ref="A9:A19"/>
    <mergeCell ref="B9:B19"/>
    <mergeCell ref="D9:D19"/>
    <mergeCell ref="E9:E19"/>
    <mergeCell ref="F9:F19"/>
    <mergeCell ref="M9:M19"/>
    <mergeCell ref="S9:S19"/>
    <mergeCell ref="T20:T21"/>
    <mergeCell ref="C20:C21"/>
    <mergeCell ref="U20:U21"/>
    <mergeCell ref="D20:D21"/>
    <mergeCell ref="E20:E21"/>
    <mergeCell ref="F20:F21"/>
    <mergeCell ref="G20:G21"/>
    <mergeCell ref="H20:H21"/>
    <mergeCell ref="I20:I21"/>
    <mergeCell ref="J20:J21"/>
    <mergeCell ref="K20:K2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L1" zoomScale="50" zoomScaleNormal="50" workbookViewId="0">
      <pane ySplit="8" topLeftCell="A9" activePane="bottomLeft" state="frozen"/>
      <selection pane="bottomLeft" activeCell="W12" sqref="W12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5703125" style="3" customWidth="1"/>
    <col min="4" max="6" width="33.5703125" style="3" customWidth="1"/>
    <col min="7" max="8" width="22.42578125" style="10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42578125" style="11" customWidth="1"/>
    <col min="21" max="21" width="27.570312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570312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669" t="s">
        <v>139</v>
      </c>
      <c r="F2" s="670"/>
      <c r="G2" s="77">
        <f>SUM(G9:G10000)</f>
        <v>740880</v>
      </c>
      <c r="O2" s="669" t="s">
        <v>24</v>
      </c>
      <c r="P2" s="670"/>
      <c r="Q2" s="75">
        <f>SUM(Q9:Q10000)</f>
        <v>674200.8</v>
      </c>
      <c r="T2" s="533" t="s">
        <v>137</v>
      </c>
      <c r="U2" s="535"/>
      <c r="V2" s="66">
        <f>SUM(V9:V10000)</f>
        <v>550368</v>
      </c>
      <c r="X2" s="65"/>
      <c r="Y2" s="533" t="s">
        <v>45</v>
      </c>
      <c r="Z2" s="534"/>
      <c r="AA2" s="535"/>
      <c r="AB2" s="67">
        <f>SUM(AB9:AB10000)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35" customHeight="1" x14ac:dyDescent="0.25">
      <c r="A9" s="840">
        <v>1</v>
      </c>
      <c r="B9" s="843" t="s">
        <v>56</v>
      </c>
      <c r="C9" s="843" t="s">
        <v>215</v>
      </c>
      <c r="D9" s="843" t="s">
        <v>153</v>
      </c>
      <c r="E9" s="843" t="s">
        <v>216</v>
      </c>
      <c r="F9" s="843" t="s">
        <v>150</v>
      </c>
      <c r="G9" s="852">
        <v>740880</v>
      </c>
      <c r="H9" s="855">
        <f>IF(AD9 = 1, G9 - Q9,0)</f>
        <v>66679.199999999953</v>
      </c>
      <c r="I9" s="852">
        <v>2</v>
      </c>
      <c r="J9" s="852">
        <v>0</v>
      </c>
      <c r="K9" s="843" t="s">
        <v>174</v>
      </c>
      <c r="L9" s="843" t="s">
        <v>217</v>
      </c>
      <c r="M9" s="843" t="s">
        <v>216</v>
      </c>
      <c r="N9" s="864">
        <v>45649</v>
      </c>
      <c r="O9" s="843" t="s">
        <v>193</v>
      </c>
      <c r="P9" s="843" t="s">
        <v>151</v>
      </c>
      <c r="Q9" s="852">
        <v>674200.8</v>
      </c>
      <c r="R9" s="855">
        <f>IF(AD9 = 1, Q9 + SUM(Y9:Y12) - SUM(Z9:Z12) - SUM(V9:V12) - AB9,0)</f>
        <v>123832.80000000005</v>
      </c>
      <c r="S9" s="843" t="s">
        <v>218</v>
      </c>
      <c r="T9" s="476">
        <v>45692</v>
      </c>
      <c r="U9" s="846" t="s">
        <v>152</v>
      </c>
      <c r="V9" s="468">
        <v>142178.4</v>
      </c>
      <c r="W9" s="479">
        <v>45700</v>
      </c>
      <c r="X9" s="469"/>
      <c r="Y9" s="470"/>
      <c r="Z9" s="470"/>
      <c r="AA9" s="849"/>
      <c r="AB9" s="858"/>
      <c r="AC9" s="861"/>
      <c r="AD9" s="80">
        <v>1</v>
      </c>
    </row>
    <row r="10" spans="1:30" s="110" customFormat="1" x14ac:dyDescent="0.25">
      <c r="A10" s="841"/>
      <c r="B10" s="844"/>
      <c r="C10" s="844"/>
      <c r="D10" s="844"/>
      <c r="E10" s="844"/>
      <c r="F10" s="844"/>
      <c r="G10" s="853"/>
      <c r="H10" s="856"/>
      <c r="I10" s="853"/>
      <c r="J10" s="853"/>
      <c r="K10" s="844"/>
      <c r="L10" s="844"/>
      <c r="M10" s="844"/>
      <c r="N10" s="865"/>
      <c r="O10" s="844"/>
      <c r="P10" s="844"/>
      <c r="Q10" s="853"/>
      <c r="R10" s="856"/>
      <c r="S10" s="844"/>
      <c r="T10" s="477">
        <v>45720</v>
      </c>
      <c r="U10" s="847"/>
      <c r="V10" s="471">
        <v>128419.2</v>
      </c>
      <c r="W10" s="477">
        <v>45722</v>
      </c>
      <c r="X10" s="472"/>
      <c r="Y10" s="473"/>
      <c r="Z10" s="473"/>
      <c r="AA10" s="850"/>
      <c r="AB10" s="859"/>
      <c r="AC10" s="862"/>
      <c r="AD10" s="110">
        <v>1</v>
      </c>
    </row>
    <row r="11" spans="1:30" s="110" customFormat="1" x14ac:dyDescent="0.25">
      <c r="A11" s="841"/>
      <c r="B11" s="844"/>
      <c r="C11" s="844"/>
      <c r="D11" s="844"/>
      <c r="E11" s="844"/>
      <c r="F11" s="844"/>
      <c r="G11" s="853"/>
      <c r="H11" s="856"/>
      <c r="I11" s="853"/>
      <c r="J11" s="853"/>
      <c r="K11" s="844"/>
      <c r="L11" s="844"/>
      <c r="M11" s="844"/>
      <c r="N11" s="865"/>
      <c r="O11" s="844"/>
      <c r="P11" s="844"/>
      <c r="Q11" s="853"/>
      <c r="R11" s="856"/>
      <c r="S11" s="844"/>
      <c r="T11" s="477">
        <v>45750</v>
      </c>
      <c r="U11" s="847"/>
      <c r="V11" s="471">
        <v>142178.4</v>
      </c>
      <c r="W11" s="477">
        <v>45754</v>
      </c>
      <c r="X11" s="472"/>
      <c r="Y11" s="473"/>
      <c r="Z11" s="473"/>
      <c r="AA11" s="850"/>
      <c r="AB11" s="859"/>
      <c r="AC11" s="862"/>
      <c r="AD11" s="110">
        <v>1</v>
      </c>
    </row>
    <row r="12" spans="1:30" s="110" customFormat="1" x14ac:dyDescent="0.25">
      <c r="A12" s="842"/>
      <c r="B12" s="845"/>
      <c r="C12" s="845"/>
      <c r="D12" s="845"/>
      <c r="E12" s="845"/>
      <c r="F12" s="845"/>
      <c r="G12" s="854"/>
      <c r="H12" s="857"/>
      <c r="I12" s="854"/>
      <c r="J12" s="854"/>
      <c r="K12" s="845"/>
      <c r="L12" s="845"/>
      <c r="M12" s="845"/>
      <c r="N12" s="866"/>
      <c r="O12" s="845"/>
      <c r="P12" s="845"/>
      <c r="Q12" s="854"/>
      <c r="R12" s="857"/>
      <c r="S12" s="845"/>
      <c r="T12" s="478">
        <v>45781</v>
      </c>
      <c r="U12" s="848"/>
      <c r="V12" s="474">
        <v>137592</v>
      </c>
      <c r="W12" s="478"/>
      <c r="X12" s="475"/>
      <c r="Y12" s="474"/>
      <c r="Z12" s="474"/>
      <c r="AA12" s="851"/>
      <c r="AB12" s="860"/>
      <c r="AC12" s="863"/>
      <c r="AD12" s="110">
        <v>1</v>
      </c>
    </row>
    <row r="13" spans="1:30" x14ac:dyDescent="0.25">
      <c r="AD13" s="2">
        <v>4</v>
      </c>
    </row>
  </sheetData>
  <sheetProtection algorithmName="SHA-512" hashValue="ZzKe4HlUiU2x7ZqJ2qXgnReqqu6rYTTVLlWj6YEPefYX0OBoItQ2jbpB69y8QcBhkxVM9I1vXe/8jEImqRU4fQ==" saltValue="aMZM2hllhp0VQY/G5TVQYg==" spinCount="100000" sheet="1" objects="1" scenarios="1" formatCells="0" formatColumns="0" formatRows="0"/>
  <mergeCells count="27">
    <mergeCell ref="AB9:AB12"/>
    <mergeCell ref="C9:C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  <mergeCell ref="A9:A12"/>
    <mergeCell ref="B9:B12"/>
    <mergeCell ref="U9:U12"/>
    <mergeCell ref="AA9:AA12"/>
    <mergeCell ref="E2:F2"/>
    <mergeCell ref="O2:P2"/>
    <mergeCell ref="Y2:AA2"/>
    <mergeCell ref="T2:U2"/>
    <mergeCell ref="Q9:Q12"/>
    <mergeCell ref="R9:R12"/>
    <mergeCell ref="S9:S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6"/>
  <sheetViews>
    <sheetView showGridLines="0" topLeftCell="L1" zoomScale="50" zoomScaleNormal="50" workbookViewId="0">
      <pane ySplit="8" topLeftCell="A9" activePane="bottomLeft" state="frozen"/>
      <selection pane="bottomLeft" activeCell="V15" sqref="V15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5703125" style="3" customWidth="1"/>
    <col min="7" max="7" width="22.42578125" style="10" customWidth="1"/>
    <col min="8" max="8" width="22.42578125" style="2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425781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669" t="s">
        <v>139</v>
      </c>
      <c r="F2" s="670"/>
      <c r="G2" s="77">
        <f>SUM(G9:G9999)</f>
        <v>847247.54</v>
      </c>
      <c r="H2" s="10"/>
      <c r="O2" s="669" t="s">
        <v>24</v>
      </c>
      <c r="P2" s="670"/>
      <c r="Q2" s="75">
        <f>SUM(Q9:Q9999)</f>
        <v>847247.54</v>
      </c>
      <c r="T2" s="533" t="s">
        <v>137</v>
      </c>
      <c r="U2" s="535"/>
      <c r="V2" s="66">
        <f>SUM(V9:V9999)</f>
        <v>545576.06999999995</v>
      </c>
      <c r="X2" s="65"/>
      <c r="Y2" s="533" t="s">
        <v>45</v>
      </c>
      <c r="Z2" s="534"/>
      <c r="AA2" s="535"/>
      <c r="AB2" s="67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22" t="s">
        <v>36</v>
      </c>
      <c r="B8" s="122"/>
      <c r="C8" s="122" t="s">
        <v>73</v>
      </c>
      <c r="D8" s="122" t="s">
        <v>74</v>
      </c>
      <c r="E8" s="122" t="s">
        <v>71</v>
      </c>
      <c r="F8" s="122" t="s">
        <v>72</v>
      </c>
      <c r="G8" s="123">
        <v>15500.01</v>
      </c>
      <c r="H8" s="123">
        <f t="shared" ref="H8" si="0">G8-Q8</f>
        <v>6725</v>
      </c>
      <c r="I8" s="124">
        <v>6</v>
      </c>
      <c r="J8" s="124">
        <v>0</v>
      </c>
      <c r="K8" s="122" t="s">
        <v>75</v>
      </c>
      <c r="L8" s="122" t="s">
        <v>76</v>
      </c>
      <c r="M8" s="122" t="s">
        <v>77</v>
      </c>
      <c r="N8" s="125">
        <v>43655</v>
      </c>
      <c r="O8" s="122" t="s">
        <v>79</v>
      </c>
      <c r="P8" s="122" t="s">
        <v>78</v>
      </c>
      <c r="Q8" s="123">
        <v>8775.01</v>
      </c>
      <c r="R8" s="123">
        <f>Q8-V8</f>
        <v>0</v>
      </c>
      <c r="S8" s="122" t="s">
        <v>80</v>
      </c>
      <c r="T8" s="125">
        <v>43677</v>
      </c>
      <c r="U8" s="122" t="s">
        <v>81</v>
      </c>
      <c r="V8" s="123">
        <v>8775.01</v>
      </c>
      <c r="W8" s="125">
        <v>43696</v>
      </c>
      <c r="X8" s="122"/>
      <c r="Y8" s="122"/>
      <c r="Z8" s="122"/>
      <c r="AA8" s="122"/>
      <c r="AB8" s="123"/>
      <c r="AC8" s="126" t="s">
        <v>64</v>
      </c>
    </row>
    <row r="9" spans="1:30" s="80" customFormat="1" ht="54.6" customHeight="1" x14ac:dyDescent="0.25">
      <c r="A9" s="867">
        <v>1</v>
      </c>
      <c r="B9" s="870" t="s">
        <v>56</v>
      </c>
      <c r="C9" s="870" t="s">
        <v>219</v>
      </c>
      <c r="D9" s="870" t="s">
        <v>153</v>
      </c>
      <c r="E9" s="870" t="s">
        <v>220</v>
      </c>
      <c r="F9" s="870" t="s">
        <v>160</v>
      </c>
      <c r="G9" s="873">
        <v>847247.54</v>
      </c>
      <c r="H9" s="876">
        <f>IF(AD9 = 1, G9 - Q9,0)</f>
        <v>0</v>
      </c>
      <c r="I9" s="873">
        <v>1</v>
      </c>
      <c r="J9" s="873">
        <v>0</v>
      </c>
      <c r="K9" s="870" t="s">
        <v>174</v>
      </c>
      <c r="L9" s="882" t="s">
        <v>222</v>
      </c>
      <c r="M9" s="870" t="s">
        <v>156</v>
      </c>
      <c r="N9" s="885">
        <v>45642</v>
      </c>
      <c r="O9" s="870" t="s">
        <v>157</v>
      </c>
      <c r="P9" s="870" t="s">
        <v>158</v>
      </c>
      <c r="Q9" s="873">
        <v>847247.54</v>
      </c>
      <c r="R9" s="876">
        <f>IF(AD9 = 1, Q9 + SUM(Y9:Y15) - SUM(Z9:Z15) - SUM(V9:V15) - AB9,0)</f>
        <v>301671.47000000009</v>
      </c>
      <c r="S9" s="870" t="s">
        <v>221</v>
      </c>
      <c r="T9" s="365">
        <v>45681</v>
      </c>
      <c r="U9" s="870" t="s">
        <v>159</v>
      </c>
      <c r="V9" s="359">
        <v>65390.78</v>
      </c>
      <c r="W9" s="365">
        <v>45712</v>
      </c>
      <c r="X9" s="361"/>
      <c r="Y9" s="362"/>
      <c r="Z9" s="362"/>
      <c r="AA9" s="870"/>
      <c r="AB9" s="873"/>
      <c r="AC9" s="879"/>
      <c r="AD9" s="80">
        <v>1</v>
      </c>
    </row>
    <row r="10" spans="1:30" s="110" customFormat="1" x14ac:dyDescent="0.25">
      <c r="A10" s="868"/>
      <c r="B10" s="871"/>
      <c r="C10" s="871"/>
      <c r="D10" s="871"/>
      <c r="E10" s="871"/>
      <c r="F10" s="871"/>
      <c r="G10" s="874"/>
      <c r="H10" s="877"/>
      <c r="I10" s="874"/>
      <c r="J10" s="874"/>
      <c r="K10" s="871"/>
      <c r="L10" s="883"/>
      <c r="M10" s="871"/>
      <c r="N10" s="886"/>
      <c r="O10" s="871"/>
      <c r="P10" s="871"/>
      <c r="Q10" s="874"/>
      <c r="R10" s="877"/>
      <c r="S10" s="871"/>
      <c r="T10" s="386">
        <v>45695</v>
      </c>
      <c r="U10" s="871"/>
      <c r="V10" s="383">
        <v>95675.45</v>
      </c>
      <c r="W10" s="386">
        <v>45712</v>
      </c>
      <c r="X10" s="384"/>
      <c r="Y10" s="385"/>
      <c r="Z10" s="385"/>
      <c r="AA10" s="871"/>
      <c r="AB10" s="874"/>
      <c r="AC10" s="880"/>
      <c r="AD10" s="110">
        <v>1</v>
      </c>
    </row>
    <row r="11" spans="1:30" s="110" customFormat="1" x14ac:dyDescent="0.25">
      <c r="A11" s="868"/>
      <c r="B11" s="871"/>
      <c r="C11" s="871"/>
      <c r="D11" s="871"/>
      <c r="E11" s="871"/>
      <c r="F11" s="871"/>
      <c r="G11" s="874"/>
      <c r="H11" s="877"/>
      <c r="I11" s="874"/>
      <c r="J11" s="874"/>
      <c r="K11" s="871"/>
      <c r="L11" s="883"/>
      <c r="M11" s="871"/>
      <c r="N11" s="886"/>
      <c r="O11" s="871"/>
      <c r="P11" s="871"/>
      <c r="Q11" s="874"/>
      <c r="R11" s="877"/>
      <c r="S11" s="871"/>
      <c r="T11" s="386">
        <v>45709</v>
      </c>
      <c r="U11" s="871"/>
      <c r="V11" s="383">
        <v>81512.47</v>
      </c>
      <c r="W11" s="386">
        <v>45716</v>
      </c>
      <c r="X11" s="384"/>
      <c r="Y11" s="385"/>
      <c r="Z11" s="385"/>
      <c r="AA11" s="871"/>
      <c r="AB11" s="874"/>
      <c r="AC11" s="880"/>
      <c r="AD11" s="110">
        <v>1</v>
      </c>
    </row>
    <row r="12" spans="1:30" s="110" customFormat="1" x14ac:dyDescent="0.25">
      <c r="A12" s="868"/>
      <c r="B12" s="871"/>
      <c r="C12" s="871"/>
      <c r="D12" s="871"/>
      <c r="E12" s="871"/>
      <c r="F12" s="871"/>
      <c r="G12" s="874"/>
      <c r="H12" s="877"/>
      <c r="I12" s="874"/>
      <c r="J12" s="874"/>
      <c r="K12" s="871"/>
      <c r="L12" s="883"/>
      <c r="M12" s="871"/>
      <c r="N12" s="886"/>
      <c r="O12" s="871"/>
      <c r="P12" s="871"/>
      <c r="Q12" s="874"/>
      <c r="R12" s="877"/>
      <c r="S12" s="871"/>
      <c r="T12" s="386">
        <v>45722</v>
      </c>
      <c r="U12" s="871"/>
      <c r="V12" s="383">
        <v>65993.460000000006</v>
      </c>
      <c r="W12" s="386">
        <v>45728</v>
      </c>
      <c r="X12" s="384"/>
      <c r="Y12" s="385"/>
      <c r="Z12" s="385"/>
      <c r="AA12" s="871"/>
      <c r="AB12" s="874"/>
      <c r="AC12" s="880"/>
      <c r="AD12" s="110">
        <v>1</v>
      </c>
    </row>
    <row r="13" spans="1:30" s="110" customFormat="1" x14ac:dyDescent="0.25">
      <c r="A13" s="868"/>
      <c r="B13" s="871"/>
      <c r="C13" s="871"/>
      <c r="D13" s="871"/>
      <c r="E13" s="871"/>
      <c r="F13" s="871"/>
      <c r="G13" s="874"/>
      <c r="H13" s="877"/>
      <c r="I13" s="874"/>
      <c r="J13" s="874"/>
      <c r="K13" s="871"/>
      <c r="L13" s="883"/>
      <c r="M13" s="871"/>
      <c r="N13" s="886"/>
      <c r="O13" s="871"/>
      <c r="P13" s="871"/>
      <c r="Q13" s="874"/>
      <c r="R13" s="877"/>
      <c r="S13" s="871"/>
      <c r="T13" s="386">
        <v>45737</v>
      </c>
      <c r="U13" s="871"/>
      <c r="V13" s="383">
        <v>87689.94</v>
      </c>
      <c r="W13" s="386">
        <v>45749</v>
      </c>
      <c r="X13" s="384"/>
      <c r="Y13" s="385"/>
      <c r="Z13" s="385"/>
      <c r="AA13" s="871"/>
      <c r="AB13" s="874"/>
      <c r="AC13" s="880"/>
      <c r="AD13" s="110">
        <v>1</v>
      </c>
    </row>
    <row r="14" spans="1:30" s="110" customFormat="1" x14ac:dyDescent="0.25">
      <c r="A14" s="868"/>
      <c r="B14" s="871"/>
      <c r="C14" s="871"/>
      <c r="D14" s="871"/>
      <c r="E14" s="871"/>
      <c r="F14" s="871"/>
      <c r="G14" s="874"/>
      <c r="H14" s="877"/>
      <c r="I14" s="874"/>
      <c r="J14" s="874"/>
      <c r="K14" s="871"/>
      <c r="L14" s="883"/>
      <c r="M14" s="871"/>
      <c r="N14" s="886"/>
      <c r="O14" s="871"/>
      <c r="P14" s="871"/>
      <c r="Q14" s="874"/>
      <c r="R14" s="877"/>
      <c r="S14" s="871"/>
      <c r="T14" s="386">
        <v>45754</v>
      </c>
      <c r="U14" s="871"/>
      <c r="V14" s="383">
        <v>61172.02</v>
      </c>
      <c r="W14" s="386">
        <v>45762</v>
      </c>
      <c r="X14" s="384"/>
      <c r="Y14" s="385"/>
      <c r="Z14" s="385"/>
      <c r="AA14" s="871"/>
      <c r="AB14" s="874"/>
      <c r="AC14" s="880"/>
      <c r="AD14" s="110">
        <v>1</v>
      </c>
    </row>
    <row r="15" spans="1:30" s="110" customFormat="1" x14ac:dyDescent="0.25">
      <c r="A15" s="869"/>
      <c r="B15" s="872"/>
      <c r="C15" s="872"/>
      <c r="D15" s="872"/>
      <c r="E15" s="872"/>
      <c r="F15" s="872"/>
      <c r="G15" s="875"/>
      <c r="H15" s="878"/>
      <c r="I15" s="875"/>
      <c r="J15" s="875"/>
      <c r="K15" s="872"/>
      <c r="L15" s="884"/>
      <c r="M15" s="872"/>
      <c r="N15" s="887"/>
      <c r="O15" s="872"/>
      <c r="P15" s="872"/>
      <c r="Q15" s="875"/>
      <c r="R15" s="878"/>
      <c r="S15" s="872"/>
      <c r="T15" s="366">
        <v>45761</v>
      </c>
      <c r="U15" s="872"/>
      <c r="V15" s="387">
        <v>88141.95</v>
      </c>
      <c r="W15" s="366">
        <v>45762</v>
      </c>
      <c r="X15" s="364"/>
      <c r="Y15" s="363"/>
      <c r="Z15" s="363"/>
      <c r="AA15" s="872"/>
      <c r="AB15" s="875"/>
      <c r="AC15" s="881"/>
      <c r="AD15" s="110">
        <v>1</v>
      </c>
    </row>
    <row r="16" spans="1:30" x14ac:dyDescent="0.25">
      <c r="AD16" s="2">
        <v>3</v>
      </c>
    </row>
  </sheetData>
  <sheetProtection algorithmName="SHA-512" hashValue="Le05q+7dB4GAS5H/NUQ3S/69uLbGYjV3uPzitJSm+lCfuEZq+gP6MieLhOcVT8RB/3RD8eywe4eTwAzdNBNW1g==" saltValue="iY/WVsLNFNsIJiHNeJg2Lw==" spinCount="100000" sheet="1" objects="1" scenarios="1" formatCells="0" formatColumns="0" formatRows="0"/>
  <mergeCells count="27">
    <mergeCell ref="AB9:AB15"/>
    <mergeCell ref="C9:C15"/>
    <mergeCell ref="AC9:AC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N9:N15"/>
    <mergeCell ref="E2:F2"/>
    <mergeCell ref="O2:P2"/>
    <mergeCell ref="Y2:AA2"/>
    <mergeCell ref="T2:U2"/>
    <mergeCell ref="R9:R15"/>
    <mergeCell ref="S9:S15"/>
    <mergeCell ref="A9:A15"/>
    <mergeCell ref="U9:U15"/>
    <mergeCell ref="AA9:AA15"/>
    <mergeCell ref="B9:B15"/>
    <mergeCell ref="Q9:Q15"/>
    <mergeCell ref="O9:O15"/>
    <mergeCell ref="P9:P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E31" sqref="E3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42578125" style="2" customWidth="1"/>
    <col min="4" max="6" width="33.5703125" style="2" customWidth="1"/>
    <col min="7" max="8" width="22.42578125" style="2" customWidth="1"/>
    <col min="9" max="9" width="24.42578125" style="2" customWidth="1"/>
    <col min="10" max="10" width="28.42578125" style="2" customWidth="1"/>
    <col min="11" max="12" width="19.5703125" style="2" customWidth="1"/>
    <col min="13" max="13" width="25.570312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425781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669" t="s">
        <v>139</v>
      </c>
      <c r="F2" s="670"/>
      <c r="G2" s="77">
        <f>SUM(G9:G9999)</f>
        <v>0</v>
      </c>
      <c r="H2" s="10"/>
      <c r="O2" s="669" t="s">
        <v>24</v>
      </c>
      <c r="P2" s="670"/>
      <c r="Q2" s="75">
        <f>SUM(Q9:Q9999)</f>
        <v>0</v>
      </c>
      <c r="T2" s="533" t="s">
        <v>137</v>
      </c>
      <c r="U2" s="535"/>
      <c r="V2" s="66">
        <f>SUM(V9:V9999)</f>
        <v>0</v>
      </c>
      <c r="X2" s="65"/>
      <c r="Y2" s="533" t="s">
        <v>45</v>
      </c>
      <c r="Z2" s="534"/>
      <c r="AA2" s="535"/>
      <c r="AB2" s="67">
        <f>SUM(AB9:AB9999)</f>
        <v>0</v>
      </c>
    </row>
    <row r="4" spans="1:30" ht="39.950000000000003" customHeight="1" x14ac:dyDescent="0.25">
      <c r="P4" s="532"/>
      <c r="Q4" s="532"/>
      <c r="R4" s="532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algorithmName="SHA-512" hashValue="2bgxDjEND0JVm3UmQ026ajuK/AWvS/sw2Rc0kEiZqzJDfz8DCGFQpo/B5yKbuEt//7TdfoXh+5RIKArx5c3tfw==" saltValue="DvOO4+0pPvhDmvV739lJq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42578125" style="32" customWidth="1"/>
    <col min="2" max="3" width="17.425781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13</v>
      </c>
      <c r="B1" s="46">
        <v>5</v>
      </c>
      <c r="C1" s="46">
        <v>9</v>
      </c>
      <c r="D1" s="890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891"/>
      <c r="E2" s="31"/>
      <c r="F2" s="59">
        <v>128</v>
      </c>
      <c r="G2" s="63">
        <v>94</v>
      </c>
      <c r="H2" s="62">
        <v>5</v>
      </c>
      <c r="I2" s="61">
        <v>3</v>
      </c>
      <c r="J2" s="60">
        <v>2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75</v>
      </c>
      <c r="B4" s="43">
        <v>25</v>
      </c>
      <c r="C4" s="43">
        <v>9</v>
      </c>
      <c r="D4" s="892" t="s">
        <v>102</v>
      </c>
      <c r="E4" s="31"/>
      <c r="F4" s="59">
        <v>129</v>
      </c>
      <c r="G4" s="63">
        <v>95</v>
      </c>
      <c r="H4" s="62">
        <v>6</v>
      </c>
      <c r="I4" s="61">
        <v>4</v>
      </c>
      <c r="J4" s="60">
        <v>3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893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23</v>
      </c>
      <c r="B7" s="45">
        <v>4</v>
      </c>
      <c r="C7" s="45">
        <v>9</v>
      </c>
      <c r="D7" s="894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895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12</v>
      </c>
      <c r="B10" s="41">
        <v>1</v>
      </c>
      <c r="C10" s="41">
        <v>9</v>
      </c>
      <c r="D10" s="896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897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15</v>
      </c>
      <c r="B13" s="39">
        <v>1</v>
      </c>
      <c r="C13" s="39">
        <v>9</v>
      </c>
      <c r="D13" s="898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899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888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889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2024-12-26T10:05:52Z</cp:lastPrinted>
  <dcterms:created xsi:type="dcterms:W3CDTF">2017-01-25T04:28:39Z</dcterms:created>
  <dcterms:modified xsi:type="dcterms:W3CDTF">2025-05-05T12:17:24Z</dcterms:modified>
</cp:coreProperties>
</file>