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Реестры закупок 2024\"/>
    </mc:Choice>
  </mc:AlternateContent>
  <workbookProtection workbookPassword="EB34" lockStructure="1"/>
  <bookViews>
    <workbookView xWindow="-105" yWindow="-105" windowWidth="19425" windowHeight="10425" tabRatio="603" firstSheet="3" activeTab="5"/>
  </bookViews>
  <sheets>
    <sheet name="Общая информация" sheetId="21" r:id="rId1"/>
    <sheet name="Ед. поставщик п.4 ч.1" sheetId="27" r:id="rId2"/>
    <sheet name="Ед. поставщик п.5 ч.1" sheetId="31" r:id="rId3"/>
    <sheet name="Ед.поставщик за искл. п.4,5 ч.1" sheetId="19" r:id="rId4"/>
    <sheet name="Состоявшиеся аукционы" sheetId="17" r:id="rId5"/>
    <sheet name="Несостоявшиеся аукционы" sheetId="22" r:id="rId6"/>
    <sheet name="Иные конкурентные закупки" sheetId="20" r:id="rId7"/>
    <sheet name="Настройки" sheetId="32" state="hidden" r:id="rId8"/>
  </sheets>
  <definedNames>
    <definedName name="_xlnm._FilterDatabase" localSheetId="1" hidden="1">'Ед. поставщик п.4 ч.1'!$A$6:$U$8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2" l="1"/>
  <c r="Q2" i="22"/>
  <c r="V2" i="22"/>
  <c r="AB2" i="22"/>
  <c r="G2" i="17"/>
  <c r="Q2" i="17"/>
  <c r="V2" i="17"/>
  <c r="AB2" i="17"/>
  <c r="G2" i="19"/>
  <c r="N2" i="19"/>
  <c r="T2" i="19"/>
  <c r="H2" i="31"/>
  <c r="P2" i="31"/>
  <c r="V2" i="31"/>
  <c r="H2" i="27"/>
  <c r="P2" i="27"/>
  <c r="V2" i="27"/>
  <c r="I18" i="31"/>
  <c r="G2" i="20"/>
  <c r="Q2" i="20"/>
  <c r="V2" i="20"/>
  <c r="AB2" i="20"/>
  <c r="I15" i="31"/>
  <c r="I12" i="27"/>
  <c r="H9" i="22"/>
  <c r="R9" i="22"/>
  <c r="I52" i="31"/>
  <c r="I35" i="31"/>
  <c r="I51" i="31"/>
  <c r="H9" i="19"/>
  <c r="H17" i="19"/>
  <c r="I47" i="31"/>
  <c r="I39" i="31"/>
  <c r="I37" i="31"/>
  <c r="I9" i="31"/>
  <c r="H9" i="17"/>
  <c r="R9" i="17"/>
  <c r="I33" i="31"/>
  <c r="I46" i="31"/>
  <c r="I11" i="27"/>
  <c r="I10" i="27"/>
  <c r="I29" i="31"/>
  <c r="I20" i="31"/>
  <c r="I25" i="31"/>
  <c r="I22" i="31"/>
  <c r="H19" i="19"/>
  <c r="I9" i="27"/>
  <c r="I41" i="31"/>
  <c r="I45" i="31"/>
  <c r="I44" i="31"/>
  <c r="I28" i="31"/>
  <c r="I27" i="31"/>
  <c r="I31" i="31"/>
  <c r="I24" i="31" l="1"/>
  <c r="I32" i="31" l="1"/>
  <c r="I13" i="27" l="1"/>
  <c r="D13" i="21" l="1"/>
  <c r="R8" i="20" l="1"/>
  <c r="H8" i="20"/>
  <c r="R8" i="22"/>
  <c r="H8" i="22"/>
  <c r="I8" i="27" l="1"/>
  <c r="J9" i="21" l="1"/>
  <c r="J13" i="21"/>
  <c r="G13" i="21" l="1"/>
  <c r="M5" i="21" s="1"/>
  <c r="J14" i="21"/>
  <c r="D14" i="21"/>
  <c r="G14" i="21" s="1"/>
  <c r="D12" i="21"/>
  <c r="J12" i="21"/>
  <c r="D19" i="21"/>
  <c r="G12" i="21" l="1"/>
  <c r="M13" i="21"/>
  <c r="M14" i="21"/>
  <c r="J11" i="21"/>
  <c r="J10" i="21"/>
  <c r="J15" i="21" l="1"/>
  <c r="D10" i="21"/>
  <c r="H5" i="21" l="1"/>
  <c r="R8" i="17"/>
  <c r="H8" i="17"/>
  <c r="D9" i="21" l="1"/>
  <c r="G10" i="21" l="1"/>
  <c r="G11" i="21" l="1"/>
  <c r="D11" i="21"/>
  <c r="D15" i="21" s="1"/>
  <c r="G9" i="21"/>
  <c r="G15" i="21" l="1"/>
  <c r="C5" i="21" s="1"/>
  <c r="M12" i="21"/>
  <c r="M11" i="21"/>
  <c r="M9" i="21"/>
  <c r="M10" i="21"/>
  <c r="M15" i="21" l="1"/>
</calcChain>
</file>

<file path=xl/sharedStrings.xml><?xml version="1.0" encoding="utf-8"?>
<sst xmlns="http://schemas.openxmlformats.org/spreadsheetml/2006/main" count="718" uniqueCount="280">
  <si>
    <t>Дата заключения</t>
  </si>
  <si>
    <t>№ договора/контракта</t>
  </si>
  <si>
    <t>Дата заключения договора/контракта</t>
  </si>
  <si>
    <t>Предмет договора/контракта</t>
  </si>
  <si>
    <t>Цена договора/контракта</t>
  </si>
  <si>
    <t>Поставщик (подрядчик, исполнитель)</t>
  </si>
  <si>
    <t>Сроки оплаты согласно договора/контракта</t>
  </si>
  <si>
    <t>Фактическая дата поставки товара (оказания услуги, выполнения работы)</t>
  </si>
  <si>
    <t>№ п/п</t>
  </si>
  <si>
    <t>Фактическая дата оплаты</t>
  </si>
  <si>
    <t>Код бюджетной классификации</t>
  </si>
  <si>
    <t>№ извещения</t>
  </si>
  <si>
    <t>Объект закупки</t>
  </si>
  <si>
    <t>Н(М)ЦК</t>
  </si>
  <si>
    <t>СМП и СОНО</t>
  </si>
  <si>
    <t>№ контракта</t>
  </si>
  <si>
    <t>Количество поданных заявок</t>
  </si>
  <si>
    <t>Количество заявок признанные несоответствующими</t>
  </si>
  <si>
    <t>Цена контракта</t>
  </si>
  <si>
    <t>Сроки поставки товара (оказания услуги, выполнения работы), согласно контракта</t>
  </si>
  <si>
    <t>Сроки оплаты согласно контракта</t>
  </si>
  <si>
    <t xml:space="preserve">№ в реестре контрактов </t>
  </si>
  <si>
    <t>Остаток по контракту</t>
  </si>
  <si>
    <t>Сумма согласно документа об исполнении контракта заказчиком</t>
  </si>
  <si>
    <t>Сумма заключенных контрактов</t>
  </si>
  <si>
    <t>СГОЗ  (общий)</t>
  </si>
  <si>
    <t>СГОЗ (остаток)</t>
  </si>
  <si>
    <t>Способ определения поставщика (подрядчика, исполнителя)</t>
  </si>
  <si>
    <t>Начальная (максимальная) цена контракта</t>
  </si>
  <si>
    <t>Фактическая цена контракта</t>
  </si>
  <si>
    <t xml:space="preserve">Экономия </t>
  </si>
  <si>
    <t>Состоявшиеся аукционы</t>
  </si>
  <si>
    <t>№ в реестре контрактов</t>
  </si>
  <si>
    <t>ИКЗ (Идентификационный код закупки)</t>
  </si>
  <si>
    <t>Экономия</t>
  </si>
  <si>
    <t>Всего средств потрачено по заключенным контрактам</t>
  </si>
  <si>
    <t>1</t>
  </si>
  <si>
    <t>Фактическая дата поставки товара (оказания услуги, выполнения работы) и (или) предоставление документов на оплату и подписание документов о приемке</t>
  </si>
  <si>
    <t>Цена контракта (Объем финансового обеспечения подлежащий к оплате в текущем фин. году)</t>
  </si>
  <si>
    <t>Сроки поставки товара (оказания услуги, выполнения работы), согласно контракта; Предоставление документов на оплату Закзчику</t>
  </si>
  <si>
    <t>Изменение контракта (№, дата)</t>
  </si>
  <si>
    <t>Расторжение контракта (№, дата)</t>
  </si>
  <si>
    <t>Примечание</t>
  </si>
  <si>
    <t>Сумма расторжения</t>
  </si>
  <si>
    <t>Сроки поставки товара (оказания услуги, выполнения работы), согласно договора/контракта; Предоставление документов на оплату Заказчику</t>
  </si>
  <si>
    <t>Общая сумма расторжений по контрактам/договорам</t>
  </si>
  <si>
    <t xml:space="preserve">ИНН поставщика (подрядчика, исполнителя) </t>
  </si>
  <si>
    <t>Наименование муниципальной программы, национального или регионального проекта</t>
  </si>
  <si>
    <t>123</t>
  </si>
  <si>
    <t>Несостоявшиеся аукционы</t>
  </si>
  <si>
    <t xml:space="preserve">Ед. поставщик п.4 ч.1 </t>
  </si>
  <si>
    <t>Ед. поставщик п. 5 ч. 1</t>
  </si>
  <si>
    <t>Ед.поставщик за искл. п.4,5 ч.1</t>
  </si>
  <si>
    <t>п.4 (остаток)</t>
  </si>
  <si>
    <t>п.5 (остаток)</t>
  </si>
  <si>
    <t>п.5 (50% СГОЗ)</t>
  </si>
  <si>
    <t>Муниципальная программа "Развитие образования"</t>
  </si>
  <si>
    <t>№ 1</t>
  </si>
  <si>
    <t>902 0113 1310110490 244</t>
  </si>
  <si>
    <t>Поставка бумаги для офисной техники</t>
  </si>
  <si>
    <t>2353019514</t>
  </si>
  <si>
    <t>ИП Котляров К.И.</t>
  </si>
  <si>
    <t>В течение 15 рабочих дней, со дня подписания сторонами контракта</t>
  </si>
  <si>
    <t>Не позднее 30 календарных дней с момента подписания Заказчиком и Подрядчиком акта приема-сдачи и предоставленного Подрядчиком документа на оплату</t>
  </si>
  <si>
    <t>Пример</t>
  </si>
  <si>
    <t>Поставка электрической энергии</t>
  </si>
  <si>
    <t>9020104 5210000190244</t>
  </si>
  <si>
    <t>3235301125818100175</t>
  </si>
  <si>
    <t>АО "НЭСК"</t>
  </si>
  <si>
    <t>Поставка электрической энергии осуществляется постоянно, в течение срока действия контракта</t>
  </si>
  <si>
    <t>До 10 числа расчетного месяца в размере 30%, до 25 числа расчетного месяца 40%, до 18 числа месяца, следующего за расчетным</t>
  </si>
  <si>
    <t>0818300019919000194</t>
  </si>
  <si>
    <t xml:space="preserve">Поставка картриджа и тонер-картриджей </t>
  </si>
  <si>
    <t xml:space="preserve">193235301125823530100103000010000244 </t>
  </si>
  <si>
    <t>902 0113 1210310010 244</t>
  </si>
  <si>
    <t>Нет</t>
  </si>
  <si>
    <t>3235301125819000079</t>
  </si>
  <si>
    <t>Ф.2019.412162</t>
  </si>
  <si>
    <t xml:space="preserve"> ООО "АНАЛИТИК ЦЕНТР" </t>
  </si>
  <si>
    <t>3443923035</t>
  </si>
  <si>
    <t>В течение 20 рабочих дней со дня заключения сторонами муниципального контракта</t>
  </si>
  <si>
    <t>Не позднее 30 календарных дней с момента подписания Заказчиком документа о приемке выполненных работ и представленного Подрядчиком документа на оплату</t>
  </si>
  <si>
    <t>СМП и СОНО                       (да/нет)</t>
  </si>
  <si>
    <t>Иные конкурентные закупки</t>
  </si>
  <si>
    <t>TekStrokaP4</t>
  </si>
  <si>
    <t>TekNomerP4</t>
  </si>
  <si>
    <t>NachStrokaP4</t>
  </si>
  <si>
    <t>NachStrokaP5</t>
  </si>
  <si>
    <t>TekNomerP5</t>
  </si>
  <si>
    <t>TekStrokaP5</t>
  </si>
  <si>
    <t>TekStrokaSt93</t>
  </si>
  <si>
    <t>TekNomerSt93</t>
  </si>
  <si>
    <t>NachStrokaSt93</t>
  </si>
  <si>
    <t>TekStrokaSEA</t>
  </si>
  <si>
    <t>TekNomerSEA</t>
  </si>
  <si>
    <t>NachStrokaSEA</t>
  </si>
  <si>
    <t>TekStrokaNEA</t>
  </si>
  <si>
    <t>TekNomerNEA</t>
  </si>
  <si>
    <t>NachStrokaNEA</t>
  </si>
  <si>
    <t>TekStrokaIKZ</t>
  </si>
  <si>
    <t>TekNomerIKZ</t>
  </si>
  <si>
    <t>NachStrokaIKZ</t>
  </si>
  <si>
    <t xml:space="preserve">Ед. поставщик п.5 ч.1 </t>
  </si>
  <si>
    <t>Изменение контракта (увеличение цены контракта в рублях)</t>
  </si>
  <si>
    <t>Изменение контракта (уменьшение цены контракта в рублях)</t>
  </si>
  <si>
    <t>Сумма расторжения в рублях</t>
  </si>
  <si>
    <t>СМП и СОНО                       (Да/Нет)</t>
  </si>
  <si>
    <t>09.01.2020</t>
  </si>
  <si>
    <t>Index</t>
  </si>
  <si>
    <t>Index+1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</si>
  <si>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</si>
  <si>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</si>
  <si>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</si>
  <si>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</si>
  <si>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</si>
  <si>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</si>
  <si>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</si>
  <si>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</si>
  <si>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</si>
  <si>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</si>
  <si>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</si>
  <si>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</si>
  <si>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</si>
  <si>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</si>
  <si>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</si>
  <si>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</si>
  <si>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</si>
  <si>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</si>
  <si>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</si>
  <si>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</si>
  <si>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</si>
  <si>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</si>
  <si>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</si>
  <si>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</si>
  <si>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</si>
  <si>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</si>
  <si>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</si>
  <si>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Сумма средств выплаченных по контрактам</t>
  </si>
  <si>
    <t>29</t>
  </si>
  <si>
    <t>Сумма начальных (максимальных) цен контрактов</t>
  </si>
  <si>
    <t>п.4 (10% от СГОЗ или 2 000 000)</t>
  </si>
  <si>
    <t>Наименование организации:</t>
  </si>
  <si>
    <t>Расторжение контракта по соглашению сторон</t>
  </si>
  <si>
    <t>Не позднее 30 календарных дней с момента подписания акта приема-сдачи и документа на оплату</t>
  </si>
  <si>
    <t>Контракт заключен в электронном виде посредством                             АИС "Портал поставщиков"   (Да/Нет)</t>
  </si>
  <si>
    <t>Муниципальное бюджетное общеобразовательное учреждение основная общеобразовательная школа № 21 имени Коломийца Василия Терентьевича муниципального образования Тимашевский район</t>
  </si>
  <si>
    <t>Всего:</t>
  </si>
  <si>
    <t>нет</t>
  </si>
  <si>
    <t>Поставка газа</t>
  </si>
  <si>
    <t xml:space="preserve">ООО "Газпром межрегионгаз Краснодар" </t>
  </si>
  <si>
    <t>Оказание охранных услуг</t>
  </si>
  <si>
    <t xml:space="preserve">ООО ЧОО "ЛЕГИОН" </t>
  </si>
  <si>
    <t>в течение не более чем 7 рабочих дней с даты подписания Заказчиком документа о приемке</t>
  </si>
  <si>
    <t>925 0000 0000000000 244</t>
  </si>
  <si>
    <t>30% плановой общей стоимости планового объема потребления природного газа в месяце, за который осуществляется оплата, вносится в срок до 18-го числа этого месяца; фактически потребленный в истекшем месяце природный газ с учетом средств, ранее внесенных, оплачивается в срок до 10-го числа месяца, следующего за месяцем, за который осуществляется оплата</t>
  </si>
  <si>
    <t>925 0000 0000000000 247</t>
  </si>
  <si>
    <t>0818300019923000373-01</t>
  </si>
  <si>
    <t>235300582900</t>
  </si>
  <si>
    <t>ИП Эжбаев Ю.Н.</t>
  </si>
  <si>
    <t>В течение 7 рабочих дней после подписания документа о приемке</t>
  </si>
  <si>
    <t>Услуги по организации питания</t>
  </si>
  <si>
    <t>20517/ТМ</t>
  </si>
  <si>
    <t>Услуги по обращению с твердыми коммунальными отходами</t>
  </si>
  <si>
    <t>АО "Мусороуборочная компания"</t>
  </si>
  <si>
    <t xml:space="preserve">до 10-го числа месяца, следующего за месяцем, в котором была оказана услуга
</t>
  </si>
  <si>
    <t>А-178</t>
  </si>
  <si>
    <t>Техническое обслуживание автоматических установок пожарной сигнализации</t>
  </si>
  <si>
    <t>ООО "Сигнал"</t>
  </si>
  <si>
    <t>А-179</t>
  </si>
  <si>
    <t>Работы по  техническому обслуживанию установки системы пожарного мониторинга "Стрелец-мониторинг"</t>
  </si>
  <si>
    <t>Централизованная охрана объекта, оборудованного комплексом технических средств охраны с выводом на пульт централизованного наблюдения</t>
  </si>
  <si>
    <t xml:space="preserve">ФГКУ "УВО ВНГ России по Краснодарскому краю" </t>
  </si>
  <si>
    <t>в срок не превышающий 10 рабочих дней с даты подписания документов о приемке оказанных услуг</t>
  </si>
  <si>
    <t>ООО "РН-Карт"</t>
  </si>
  <si>
    <t>Да</t>
  </si>
  <si>
    <t>б/н</t>
  </si>
  <si>
    <t>Базирование транспортных средств</t>
  </si>
  <si>
    <t>Холодное водоснабжение</t>
  </si>
  <si>
    <t>ИП Лукоянов Ю.В.</t>
  </si>
  <si>
    <t>ООО "Водоснабжение"</t>
  </si>
  <si>
    <t>в течение 10 рабочих дней с даты подписания акта оказанных услуг</t>
  </si>
  <si>
    <t>Услуги по выполнению предрейсового и послерейсового медицинского осмотра водитителей и предрейсового и послерейсового  технического осмотра транспортного средства</t>
  </si>
  <si>
    <t>Тимашевская РО КРО ОО "ВОА"</t>
  </si>
  <si>
    <t>Услуги по тех. сопровождению программного обеспечения спутниковой навигации</t>
  </si>
  <si>
    <t>ООО "КАНкорт"</t>
  </si>
  <si>
    <t>Услуги связи</t>
  </si>
  <si>
    <t>ПАО "Ростелеком"</t>
  </si>
  <si>
    <t xml:space="preserve">нет </t>
  </si>
  <si>
    <t>172</t>
  </si>
  <si>
    <t>Бензин</t>
  </si>
  <si>
    <t>Систематическая дератизация</t>
  </si>
  <si>
    <t>ООО "Дезинфекция"</t>
  </si>
  <si>
    <t>ООО "РООС"</t>
  </si>
  <si>
    <t>Откачка и вывоз ЖБО</t>
  </si>
  <si>
    <t>2304067057</t>
  </si>
  <si>
    <t>с 01.01.2025 по 31.12.2025</t>
  </si>
  <si>
    <t>25-11-02596/25</t>
  </si>
  <si>
    <t>в течение 10 рабочих дней с даты подписания акта сдачи-приемки оказанных услуг</t>
  </si>
  <si>
    <t>34001048</t>
  </si>
  <si>
    <t>42</t>
  </si>
  <si>
    <t>ДГ 25/43</t>
  </si>
  <si>
    <t>34550724/038602</t>
  </si>
  <si>
    <t>Техническое обслуживание комплекса тревожной сигнализации</t>
  </si>
  <si>
    <t>ИП Даценко И.Н.</t>
  </si>
  <si>
    <t>с 01.01.2025 по 31.05.2025</t>
  </si>
  <si>
    <t>210009817619-122024</t>
  </si>
  <si>
    <t>Услуги по идентификации АСН в ГАИС "Эра-Глонасс"</t>
  </si>
  <si>
    <t>АО "ГЛОНАСС"</t>
  </si>
  <si>
    <t>В течение  10 рабочих дней со дня подписания акта оказанных услуг</t>
  </si>
  <si>
    <t>в срок, не превышающий 10 рабочих дней с даты подписания отчетных документов</t>
  </si>
  <si>
    <t>в течение 7 рабочих дней с даты подписания акта оказанных услуг</t>
  </si>
  <si>
    <t xml:space="preserve"> 32353015333240000039</t>
  </si>
  <si>
    <t>23070500320</t>
  </si>
  <si>
    <t>Электроэнергия</t>
  </si>
  <si>
    <t>ПАО "ТНС эерго Кубань"</t>
  </si>
  <si>
    <t>30% стоимости электрической энергии в подлежащем оплате объеме покупки в месяце, за который осуществляется оплата, вносится до 10-го числа этого месяца; 40% стоимости электрической энергии в подлежащем оплате объеме покупки в месяце, за который осуществляется оплата, вносится до 25-го числа этого месяца; стоимость объема покупки электрической энергии в месяце, за который осуществляется оплата, за вычетом средств, внесенных в качестве оплаты в течение этого месяца, оплачивается до 18-го числа месяца, следующего за месяцем, за который осуществляется оплата</t>
  </si>
  <si>
    <t>243235301533323530100100140018010244</t>
  </si>
  <si>
    <t xml:space="preserve">0818300019924000328 </t>
  </si>
  <si>
    <t>3235301533324000010</t>
  </si>
  <si>
    <t>с 01 января 2025 г. по 27 мая 2025 г. до 23 ч.59 включительно)</t>
  </si>
  <si>
    <t>233235301533323530100100120015629244</t>
  </si>
  <si>
    <t>0818300019924000324</t>
  </si>
  <si>
    <t>с 09.01.2025 по 23.05.2025г</t>
  </si>
  <si>
    <t>3235301533324000008</t>
  </si>
  <si>
    <t>21/25</t>
  </si>
  <si>
    <t>с 01.01.2025 по 30.06.2025</t>
  </si>
  <si>
    <t>1/25</t>
  </si>
  <si>
    <t>Оказание услуг по организации питания</t>
  </si>
  <si>
    <t>2/25</t>
  </si>
  <si>
    <t>3/25</t>
  </si>
  <si>
    <t>с 09.01.2025 по 23.05.2025</t>
  </si>
  <si>
    <t>с 09.01.2025 по 31.01.2025</t>
  </si>
  <si>
    <t>Услуги по подготовке декларации НВОС</t>
  </si>
  <si>
    <t>235307568414</t>
  </si>
  <si>
    <t>ИП Козырева Е.Н.</t>
  </si>
  <si>
    <t>с момента заключения контракта по 31.12.2025г.</t>
  </si>
  <si>
    <t>В течение 7 дней с момента подписания акта о приемке оказанных услуг</t>
  </si>
  <si>
    <t>А0172103</t>
  </si>
  <si>
    <t>Учебная литература</t>
  </si>
  <si>
    <t>А0174570</t>
  </si>
  <si>
    <t>Акционерное общество "Издательство "Просвещение"</t>
  </si>
  <si>
    <t>с 20.02.2025 по 30.06.2025</t>
  </si>
  <si>
    <t>с 25.02.2025 по 30.06.2026</t>
  </si>
  <si>
    <t>в течение 10 рабочих дней с даты подписания документа о приемке</t>
  </si>
  <si>
    <t>26.02.225</t>
  </si>
  <si>
    <t>б/н от 07.02.2025</t>
  </si>
  <si>
    <t>43</t>
  </si>
  <si>
    <t>01.02.2025 по 31.12.2025г.</t>
  </si>
  <si>
    <t>66-ТО</t>
  </si>
  <si>
    <t>Проверка тех. состояния транспортных средств</t>
  </si>
  <si>
    <t>235305769122</t>
  </si>
  <si>
    <t>ИП Барма И.Н.</t>
  </si>
  <si>
    <t>Не ранее чем через 5 рабочих дней со дня поступления заявки Заказчика</t>
  </si>
  <si>
    <t>В течение 10 рабочих дней с момента подписания акта о приемке оказанных услуг</t>
  </si>
  <si>
    <t>Ремонт автомобиля</t>
  </si>
  <si>
    <t>235303483777</t>
  </si>
  <si>
    <t>ИП Аполонов А.А.</t>
  </si>
  <si>
    <t>в течение 10 рабочих дней с даты подписания акта выполненных работ</t>
  </si>
  <si>
    <t>21.02.2025</t>
  </si>
  <si>
    <t>21/1</t>
  </si>
  <si>
    <t>Стойка охраны</t>
  </si>
  <si>
    <t>ООО "ТИТ-Мебель"</t>
  </si>
  <si>
    <t>в течение 30 рабочих дней со дня заключения контракта.</t>
  </si>
  <si>
    <t>в течение 10 рабочих дней с даты подписания акта приемки товара</t>
  </si>
  <si>
    <t>б/н от 18.02.2025</t>
  </si>
  <si>
    <t>4/21</t>
  </si>
  <si>
    <t>с 03.02.2025 по 23.05.2025</t>
  </si>
  <si>
    <t>34550725/011963</t>
  </si>
  <si>
    <t>с 01.04.2025 по 30.06.2025</t>
  </si>
  <si>
    <t>23-12192</t>
  </si>
  <si>
    <t>Полиграфическая продукция</t>
  </si>
  <si>
    <t>ООО "СпецБланк-Москва"</t>
  </si>
  <si>
    <t>в течение 40 календарных дней  после подписания контракта</t>
  </si>
  <si>
    <t>1 от 17.02.2025</t>
  </si>
  <si>
    <t>АТ00-002488</t>
  </si>
  <si>
    <t>Право на использование програмного обеспечения</t>
  </si>
  <si>
    <t>2311187588</t>
  </si>
  <si>
    <t>ООО Айти Мониторинг"</t>
  </si>
  <si>
    <t>В течение 15 рабочих дней, со дня подписания сторонами договора</t>
  </si>
  <si>
    <t>в течение 10 рабочих дней с даты подписания УПД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</si>
</sst>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7" formatCode="#,##0.00\ &quot;₽&quot;;\-#,##0.00\ &quot;₽&quot;"/>
    <numFmt numFmtId="164" formatCode="#,##0.00\ &quot;₽&quot;"/>
    <numFmt numFmtId="165" formatCode="[$-F800]dddd\,\ mmmm\ dd\,\ yyyy"/>
    <numFmt numFmtId="166" formatCode="#,##0.00&quot;р.&quot;"/>
    <numFmt numFmtId="167" formatCode="0_ ;\-0\ "/>
    <numFmt numFmtId="168" formatCode="#,##0.00_ ;\-#,##0.00\ "/>
  </numFmts>
  <fonts count="18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8"/>
      <color theme="1"/>
      <name val="Times New Roman"/>
      <family val="2"/>
      <charset val="204"/>
    </font>
    <font>
      <b/>
      <sz val="16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FFF8F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</cellStyleXfs>
  <cellXfs count="82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66" fontId="2" fillId="0" borderId="6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166" fontId="3" fillId="0" borderId="6" xfId="0" applyNumberFormat="1" applyFon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" fontId="2" fillId="0" borderId="0" xfId="0" applyNumberFormat="1" applyFont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165" fontId="1" fillId="2" borderId="13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7" fontId="1" fillId="0" borderId="0" xfId="0" applyNumberFormat="1" applyFont="1" applyAlignment="1">
      <alignment horizontal="center" vertical="center" wrapText="1"/>
    </xf>
    <xf numFmtId="7" fontId="1" fillId="3" borderId="1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4" applyFont="1" applyAlignment="1">
      <alignment horizontal="center" vertical="center" wrapText="1"/>
    </xf>
    <xf numFmtId="0" fontId="10" fillId="0" borderId="0" xfId="6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0" fillId="5" borderId="1" xfId="4" applyFont="1" applyFill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0" fontId="10" fillId="6" borderId="1" xfId="4" applyFont="1" applyFill="1" applyBorder="1" applyAlignment="1">
      <alignment horizontal="center" vertical="center" wrapText="1"/>
    </xf>
    <xf numFmtId="0" fontId="10" fillId="6" borderId="1" xfId="1" applyFont="1" applyFill="1" applyBorder="1" applyAlignment="1">
      <alignment horizontal="center" vertical="center" wrapText="1"/>
    </xf>
    <xf numFmtId="0" fontId="10" fillId="7" borderId="1" xfId="4" applyFont="1" applyFill="1" applyBorder="1" applyAlignment="1">
      <alignment horizontal="center" vertical="center" wrapText="1"/>
    </xf>
    <xf numFmtId="0" fontId="10" fillId="7" borderId="1" xfId="1" applyFont="1" applyFill="1" applyBorder="1" applyAlignment="1">
      <alignment horizontal="center" vertical="center" wrapText="1"/>
    </xf>
    <xf numFmtId="0" fontId="10" fillId="8" borderId="1" xfId="4" applyFont="1" applyFill="1" applyBorder="1" applyAlignment="1">
      <alignment horizontal="center" vertical="center" wrapText="1"/>
    </xf>
    <xf numFmtId="0" fontId="10" fillId="8" borderId="1" xfId="1" applyFont="1" applyFill="1" applyBorder="1" applyAlignment="1">
      <alignment horizontal="center" vertical="center" wrapText="1"/>
    </xf>
    <xf numFmtId="0" fontId="10" fillId="9" borderId="1" xfId="4" applyFont="1" applyFill="1" applyBorder="1" applyAlignment="1">
      <alignment horizontal="center" vertical="center" wrapText="1"/>
    </xf>
    <xf numFmtId="0" fontId="10" fillId="9" borderId="1" xfId="1" applyFont="1" applyFill="1" applyBorder="1" applyAlignment="1">
      <alignment horizontal="center" vertical="center" wrapText="1"/>
    </xf>
    <xf numFmtId="0" fontId="10" fillId="10" borderId="1" xfId="1" applyFont="1" applyFill="1" applyBorder="1" applyAlignment="1">
      <alignment horizontal="center" vertical="center" wrapText="1"/>
    </xf>
    <xf numFmtId="0" fontId="10" fillId="10" borderId="1" xfId="4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165" fontId="1" fillId="2" borderId="14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7" fontId="1" fillId="2" borderId="14" xfId="0" applyNumberFormat="1" applyFont="1" applyFill="1" applyBorder="1" applyAlignment="1">
      <alignment horizontal="center" vertical="center" wrapText="1"/>
    </xf>
    <xf numFmtId="164" fontId="1" fillId="2" borderId="14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165" fontId="1" fillId="3" borderId="14" xfId="0" applyNumberFormat="1" applyFont="1" applyFill="1" applyBorder="1" applyAlignment="1">
      <alignment horizontal="center" vertical="center" wrapText="1"/>
    </xf>
    <xf numFmtId="167" fontId="1" fillId="3" borderId="1" xfId="0" applyNumberFormat="1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center" vertical="center" wrapText="1"/>
    </xf>
    <xf numFmtId="168" fontId="1" fillId="3" borderId="14" xfId="0" applyNumberFormat="1" applyFont="1" applyFill="1" applyBorder="1" applyAlignment="1">
      <alignment horizontal="center" vertical="center" wrapText="1"/>
    </xf>
    <xf numFmtId="0" fontId="10" fillId="10" borderId="14" xfId="1" applyFont="1" applyFill="1" applyBorder="1" applyAlignment="1">
      <alignment horizontal="center" vertical="center" wrapText="1"/>
    </xf>
    <xf numFmtId="0" fontId="10" fillId="6" borderId="14" xfId="1" applyFont="1" applyFill="1" applyBorder="1" applyAlignment="1">
      <alignment horizontal="center" vertical="center" wrapText="1"/>
    </xf>
    <xf numFmtId="0" fontId="10" fillId="7" borderId="14" xfId="1" applyFont="1" applyFill="1" applyBorder="1" applyAlignment="1">
      <alignment horizontal="center" vertical="center" wrapText="1"/>
    </xf>
    <xf numFmtId="0" fontId="10" fillId="9" borderId="14" xfId="1" applyFont="1" applyFill="1" applyBorder="1" applyAlignment="1">
      <alignment horizontal="center" vertical="center" wrapText="1"/>
    </xf>
    <xf numFmtId="0" fontId="10" fillId="8" borderId="14" xfId="1" applyFont="1" applyFill="1" applyBorder="1" applyAlignment="1">
      <alignment horizontal="center" vertical="center" wrapText="1"/>
    </xf>
    <xf numFmtId="0" fontId="10" fillId="5" borderId="14" xfId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7" fontId="1" fillId="11" borderId="6" xfId="0" applyNumberFormat="1" applyFont="1" applyFill="1" applyBorder="1" applyAlignment="1">
      <alignment horizontal="center" vertical="center" wrapText="1"/>
    </xf>
    <xf numFmtId="7" fontId="1" fillId="13" borderId="6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49" fontId="1" fillId="3" borderId="15" xfId="0" applyNumberFormat="1" applyFont="1" applyFill="1" applyBorder="1" applyAlignment="1">
      <alignment horizontal="center" vertical="center" wrapText="1"/>
    </xf>
    <xf numFmtId="165" fontId="1" fillId="3" borderId="15" xfId="0" applyNumberFormat="1" applyFont="1" applyFill="1" applyBorder="1" applyAlignment="1">
      <alignment horizontal="center" vertical="center" wrapText="1"/>
    </xf>
    <xf numFmtId="164" fontId="1" fillId="3" borderId="15" xfId="0" applyNumberFormat="1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14" fontId="1" fillId="3" borderId="15" xfId="0" applyNumberFormat="1" applyFont="1" applyFill="1" applyBorder="1" applyAlignment="1">
      <alignment horizontal="center" vertical="center" wrapText="1"/>
    </xf>
    <xf numFmtId="1" fontId="1" fillId="3" borderId="15" xfId="0" applyNumberFormat="1" applyFont="1" applyFill="1" applyBorder="1" applyAlignment="1">
      <alignment horizontal="center" vertical="center" wrapText="1"/>
    </xf>
    <xf numFmtId="164" fontId="1" fillId="14" borderId="6" xfId="0" applyNumberFormat="1" applyFont="1" applyFill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164" fontId="1" fillId="16" borderId="6" xfId="0" applyNumberFormat="1" applyFont="1" applyFill="1" applyBorder="1" applyAlignment="1">
      <alignment horizontal="center" vertical="center" wrapText="1"/>
    </xf>
    <xf numFmtId="49" fontId="1" fillId="10" borderId="3" xfId="0" applyNumberFormat="1" applyFont="1" applyFill="1" applyBorder="1" applyAlignment="1">
      <alignment horizontal="center" vertical="center" wrapText="1"/>
    </xf>
    <xf numFmtId="4" fontId="1" fillId="3" borderId="14" xfId="0" applyNumberFormat="1" applyFont="1" applyFill="1" applyBorder="1" applyAlignment="1">
      <alignment horizontal="center" vertical="center" wrapText="1"/>
    </xf>
    <xf numFmtId="0" fontId="1" fillId="18" borderId="0" xfId="0" applyFont="1" applyFill="1" applyAlignment="1">
      <alignment horizontal="center" vertical="center" wrapText="1"/>
    </xf>
    <xf numFmtId="49" fontId="15" fillId="0" borderId="14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7" fontId="15" fillId="2" borderId="1" xfId="0" applyNumberFormat="1" applyFont="1" applyFill="1" applyBorder="1" applyAlignment="1">
      <alignment horizontal="center" vertical="center" wrapText="1"/>
    </xf>
    <xf numFmtId="49" fontId="15" fillId="2" borderId="13" xfId="0" applyNumberFormat="1" applyFont="1" applyFill="1" applyBorder="1" applyAlignment="1">
      <alignment horizontal="center" vertical="center" wrapText="1"/>
    </xf>
    <xf numFmtId="165" fontId="15" fillId="2" borderId="13" xfId="0" applyNumberFormat="1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2" fontId="15" fillId="2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49" fontId="15" fillId="2" borderId="14" xfId="0" applyNumberFormat="1" applyFont="1" applyFill="1" applyBorder="1" applyAlignment="1">
      <alignment horizontal="center" vertical="center" wrapText="1"/>
    </xf>
    <xf numFmtId="49" fontId="15" fillId="3" borderId="14" xfId="0" applyNumberFormat="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49" fontId="1" fillId="0" borderId="20" xfId="0" applyNumberFormat="1" applyFont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49" fontId="1" fillId="0" borderId="21" xfId="0" applyNumberFormat="1" applyFont="1" applyBorder="1" applyAlignment="1" applyProtection="1">
      <alignment horizontal="center" vertical="center" wrapText="1"/>
      <protection locked="0"/>
    </xf>
    <xf numFmtId="165" fontId="1" fillId="0" borderId="21" xfId="0" applyNumberFormat="1" applyFont="1" applyBorder="1" applyAlignment="1" applyProtection="1">
      <alignment horizontal="center" vertical="center" wrapText="1"/>
      <protection locked="0"/>
    </xf>
    <xf numFmtId="7" fontId="1" fillId="0" borderId="21" xfId="0" applyNumberFormat="1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14" fontId="1" fillId="0" borderId="21" xfId="0" applyNumberFormat="1" applyFont="1" applyBorder="1" applyAlignment="1" applyProtection="1">
      <alignment horizontal="center" vertical="center" wrapText="1"/>
      <protection locked="0"/>
    </xf>
    <xf numFmtId="4" fontId="1" fillId="0" borderId="21" xfId="0" applyNumberFormat="1" applyFont="1" applyBorder="1" applyAlignment="1" applyProtection="1">
      <alignment horizontal="center" vertical="center" wrapText="1"/>
      <protection locked="0"/>
    </xf>
    <xf numFmtId="4" fontId="1" fillId="0" borderId="21" xfId="0" applyNumberFormat="1" applyFont="1" applyBorder="1" applyAlignment="1">
      <alignment horizontal="center" vertical="center" wrapText="1"/>
    </xf>
    <xf numFmtId="49" fontId="1" fillId="18" borderId="2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center" vertical="center" wrapText="1"/>
    </xf>
    <xf numFmtId="14" fontId="1" fillId="18" borderId="22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23" xfId="0" applyNumberFormat="1" applyFont="1" applyFill="1" applyBorder="1" applyAlignment="1">
      <alignment horizontal="center" vertical="center" wrapText="1"/>
    </xf>
    <xf numFmtId="49" fontId="1" fillId="18" borderId="23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2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3" xfId="0" applyNumberFormat="1" applyFont="1" applyFill="1" applyBorder="1" applyAlignment="1">
      <alignment horizontal="center" vertical="center" wrapText="1"/>
    </xf>
    <xf numFmtId="167" fontId="1" fillId="18" borderId="23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23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23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23" xfId="0" applyFont="1" applyFill="1" applyBorder="1" applyAlignment="1" applyProtection="1">
      <alignment horizontal="center" vertical="center" wrapText="1"/>
      <protection locked="0"/>
    </xf>
    <xf numFmtId="14" fontId="1" fillId="18" borderId="23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13" xfId="0" applyNumberFormat="1" applyFont="1" applyFill="1" applyBorder="1" applyAlignment="1">
      <alignment horizontal="center" vertical="center" wrapText="1"/>
    </xf>
    <xf numFmtId="164" fontId="1" fillId="3" borderId="13" xfId="0" applyNumberFormat="1" applyFont="1" applyFill="1" applyBorder="1" applyAlignment="1">
      <alignment horizontal="center" vertical="center" wrapText="1"/>
    </xf>
    <xf numFmtId="2" fontId="1" fillId="3" borderId="13" xfId="0" applyNumberFormat="1" applyFont="1" applyFill="1" applyBorder="1" applyAlignment="1">
      <alignment horizontal="center" vertical="center" wrapText="1"/>
    </xf>
    <xf numFmtId="165" fontId="1" fillId="3" borderId="13" xfId="0" applyNumberFormat="1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49" fontId="1" fillId="18" borderId="25" xfId="0" applyNumberFormat="1" applyFont="1" applyFill="1" applyBorder="1" applyAlignment="1" applyProtection="1">
      <alignment horizontal="center" vertical="center" wrapText="1"/>
      <protection locked="0"/>
    </xf>
    <xf numFmtId="1" fontId="1" fillId="18" borderId="24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25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27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28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28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8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28" xfId="0" applyFont="1" applyFill="1" applyBorder="1" applyAlignment="1" applyProtection="1">
      <alignment horizontal="center" vertical="center" wrapText="1"/>
      <protection locked="0"/>
    </xf>
    <xf numFmtId="14" fontId="1" fillId="18" borderId="28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8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28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26" xfId="0" applyNumberFormat="1" applyFont="1" applyFill="1" applyBorder="1" applyAlignment="1">
      <alignment horizontal="center" vertical="center" wrapText="1"/>
    </xf>
    <xf numFmtId="49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29" xfId="0" applyNumberFormat="1" applyFont="1" applyFill="1" applyBorder="1" applyAlignment="1">
      <alignment horizontal="center" vertical="center" wrapText="1"/>
    </xf>
    <xf numFmtId="49" fontId="15" fillId="18" borderId="30" xfId="0" applyNumberFormat="1" applyFont="1" applyFill="1" applyBorder="1" applyAlignment="1">
      <alignment horizontal="center" vertical="center" wrapText="1"/>
    </xf>
    <xf numFmtId="49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26" xfId="0" applyFont="1" applyFill="1" applyBorder="1" applyAlignment="1" applyProtection="1">
      <alignment horizontal="center" vertical="center" wrapText="1"/>
      <protection locked="0"/>
    </xf>
    <xf numFmtId="4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29" xfId="0" applyFont="1" applyFill="1" applyBorder="1" applyAlignment="1" applyProtection="1">
      <alignment horizontal="center" vertical="center" wrapText="1"/>
      <protection locked="0"/>
    </xf>
    <xf numFmtId="14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9" xfId="0" applyNumberFormat="1" applyFont="1" applyFill="1" applyBorder="1" applyAlignment="1">
      <alignment horizontal="center" vertical="center" wrapText="1"/>
    </xf>
    <xf numFmtId="167" fontId="1" fillId="18" borderId="29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26" xfId="0" applyNumberFormat="1" applyFont="1" applyFill="1" applyBorder="1" applyAlignment="1">
      <alignment horizontal="center" vertical="center" wrapText="1"/>
    </xf>
    <xf numFmtId="14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26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30" xfId="0" applyFont="1" applyFill="1" applyBorder="1" applyAlignment="1" applyProtection="1">
      <alignment horizontal="center" vertical="center" wrapText="1"/>
      <protection locked="0"/>
    </xf>
    <xf numFmtId="165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0" xfId="0" applyNumberFormat="1" applyFont="1" applyFill="1" applyBorder="1" applyAlignment="1">
      <alignment horizontal="center" vertical="center" wrapText="1"/>
    </xf>
    <xf numFmtId="167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30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1" xfId="0" applyNumberFormat="1" applyFont="1" applyFill="1" applyBorder="1" applyAlignment="1" applyProtection="1">
      <alignment horizontal="center" vertical="center" wrapText="1"/>
      <protection locked="0"/>
    </xf>
    <xf numFmtId="49" fontId="15" fillId="4" borderId="28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 applyProtection="1">
      <alignment horizontal="center" vertical="center" wrapText="1"/>
      <protection locked="0"/>
    </xf>
    <xf numFmtId="14" fontId="1" fillId="4" borderId="28" xfId="0" applyNumberFormat="1" applyFont="1" applyFill="1" applyBorder="1" applyAlignment="1" applyProtection="1">
      <alignment horizontal="center" vertical="center" wrapText="1"/>
      <protection locked="0"/>
    </xf>
    <xf numFmtId="165" fontId="1" fillId="4" borderId="28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28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28" xfId="0" applyNumberFormat="1" applyFont="1" applyFill="1" applyBorder="1" applyAlignment="1">
      <alignment horizontal="center" vertical="center" wrapText="1"/>
    </xf>
    <xf numFmtId="167" fontId="1" fillId="4" borderId="28" xfId="0" applyNumberFormat="1" applyFont="1" applyFill="1" applyBorder="1" applyAlignment="1" applyProtection="1">
      <alignment horizontal="center" vertical="center" wrapText="1"/>
      <protection locked="0"/>
    </xf>
    <xf numFmtId="7" fontId="1" fillId="4" borderId="28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26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30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23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32" xfId="0" applyFont="1" applyFill="1" applyBorder="1" applyAlignment="1" applyProtection="1">
      <alignment horizontal="center" vertical="center" wrapText="1"/>
      <protection locked="0"/>
    </xf>
    <xf numFmtId="49" fontId="15" fillId="18" borderId="32" xfId="0" applyNumberFormat="1" applyFont="1" applyFill="1" applyBorder="1" applyAlignment="1">
      <alignment horizontal="center" vertical="center" wrapText="1"/>
    </xf>
    <xf numFmtId="49" fontId="1" fillId="18" borderId="32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2" xfId="0" applyNumberFormat="1" applyFont="1" applyFill="1" applyBorder="1" applyAlignment="1">
      <alignment horizontal="center" vertical="center" wrapText="1"/>
    </xf>
    <xf numFmtId="167" fontId="1" fillId="18" borderId="32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32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32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32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34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34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4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35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35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3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36" xfId="0" applyFont="1" applyFill="1" applyBorder="1" applyAlignment="1" applyProtection="1">
      <alignment horizontal="center" vertical="center" wrapText="1"/>
      <protection locked="0"/>
    </xf>
    <xf numFmtId="49" fontId="15" fillId="18" borderId="36" xfId="0" applyNumberFormat="1" applyFont="1" applyFill="1" applyBorder="1" applyAlignment="1">
      <alignment horizontal="center" vertical="center" wrapText="1"/>
    </xf>
    <xf numFmtId="4" fontId="1" fillId="18" borderId="36" xfId="0" applyNumberFormat="1" applyFont="1" applyFill="1" applyBorder="1" applyAlignment="1">
      <alignment horizontal="center" vertical="center" wrapText="1"/>
    </xf>
    <xf numFmtId="49" fontId="1" fillId="18" borderId="36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6" xfId="0" applyNumberFormat="1" applyFont="1" applyFill="1" applyBorder="1" applyAlignment="1" applyProtection="1">
      <alignment horizontal="center" vertical="center" wrapText="1"/>
      <protection locked="0"/>
    </xf>
    <xf numFmtId="168" fontId="1" fillId="18" borderId="36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6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36" xfId="0" applyNumberFormat="1" applyFont="1" applyFill="1" applyBorder="1" applyAlignment="1" applyProtection="1">
      <alignment horizontal="center" vertical="center" wrapText="1"/>
      <protection locked="0"/>
    </xf>
    <xf numFmtId="49" fontId="1" fillId="4" borderId="14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7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7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7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7" xfId="0" applyNumberFormat="1" applyFont="1" applyFill="1" applyBorder="1" applyAlignment="1">
      <alignment horizontal="center" vertical="center" wrapText="1"/>
    </xf>
    <xf numFmtId="0" fontId="1" fillId="18" borderId="37" xfId="0" applyFont="1" applyFill="1" applyBorder="1" applyAlignment="1" applyProtection="1">
      <alignment horizontal="center" vertical="center" wrapText="1"/>
      <protection locked="0"/>
    </xf>
    <xf numFmtId="49" fontId="1" fillId="18" borderId="38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8" xfId="0" applyNumberFormat="1" applyFont="1" applyFill="1" applyBorder="1" applyAlignment="1" applyProtection="1">
      <alignment horizontal="center" vertical="center" wrapText="1"/>
      <protection locked="0"/>
    </xf>
    <xf numFmtId="1" fontId="1" fillId="18" borderId="38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7" xfId="0" applyNumberFormat="1" applyFont="1" applyFill="1" applyBorder="1" applyAlignment="1">
      <alignment horizontal="center" vertical="center" wrapText="1"/>
    </xf>
    <xf numFmtId="14" fontId="1" fillId="18" borderId="37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29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33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35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34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32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36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39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0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40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0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40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40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41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2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4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2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42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42" xfId="0" applyNumberFormat="1" applyFont="1" applyFill="1" applyBorder="1" applyAlignment="1">
      <alignment horizontal="center" vertical="center" wrapText="1"/>
    </xf>
    <xf numFmtId="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42" xfId="0" applyFont="1" applyFill="1" applyBorder="1" applyAlignment="1" applyProtection="1">
      <alignment horizontal="center" vertical="center" wrapText="1"/>
      <protection locked="0"/>
    </xf>
    <xf numFmtId="165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2" xfId="0" applyNumberFormat="1" applyFont="1" applyFill="1" applyBorder="1" applyAlignment="1">
      <alignment horizontal="center" vertical="center" wrapText="1"/>
    </xf>
    <xf numFmtId="49" fontId="15" fillId="18" borderId="42" xfId="0" applyNumberFormat="1" applyFont="1" applyFill="1" applyBorder="1" applyAlignment="1">
      <alignment horizontal="center" vertical="center" wrapText="1"/>
    </xf>
    <xf numFmtId="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42" xfId="0" applyFont="1" applyFill="1" applyBorder="1" applyAlignment="1" applyProtection="1">
      <alignment horizontal="center" vertical="center" wrapText="1"/>
      <protection locked="0"/>
    </xf>
    <xf numFmtId="165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2" xfId="0" applyNumberFormat="1" applyFont="1" applyFill="1" applyBorder="1" applyAlignment="1">
      <alignment horizontal="center" vertical="center" wrapText="1"/>
    </xf>
    <xf numFmtId="167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168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42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43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4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4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4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44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46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6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6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9" xfId="0" applyNumberFormat="1" applyFont="1" applyFill="1" applyBorder="1" applyAlignment="1" applyProtection="1">
      <alignment horizontal="center" vertical="center" wrapText="1"/>
      <protection locked="0"/>
    </xf>
    <xf numFmtId="14" fontId="1" fillId="4" borderId="46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4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6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49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51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51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52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5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2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52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53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5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3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52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53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54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55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5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5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55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56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57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57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7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57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62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62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6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2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65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65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6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5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67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67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67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68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68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68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69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6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67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68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69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69" xfId="0" applyFont="1" applyFill="1" applyBorder="1" applyAlignment="1" applyProtection="1">
      <alignment horizontal="center" vertical="center" wrapText="1"/>
      <protection locked="0"/>
    </xf>
    <xf numFmtId="49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69" xfId="0" applyNumberFormat="1" applyFont="1" applyFill="1" applyBorder="1" applyAlignment="1">
      <alignment horizontal="center" vertical="center" wrapText="1"/>
    </xf>
    <xf numFmtId="49" fontId="15" fillId="18" borderId="69" xfId="0" applyNumberFormat="1" applyFont="1" applyFill="1" applyBorder="1" applyAlignment="1">
      <alignment horizontal="center" vertical="center" wrapText="1"/>
    </xf>
    <xf numFmtId="167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70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71" xfId="0" applyNumberFormat="1" applyFont="1" applyFill="1" applyBorder="1" applyAlignment="1">
      <alignment horizontal="center" vertical="center" wrapText="1"/>
    </xf>
    <xf numFmtId="49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1" xfId="0" applyNumberFormat="1" applyFont="1" applyFill="1" applyBorder="1" applyAlignment="1">
      <alignment horizontal="center" vertical="center" wrapText="1"/>
    </xf>
    <xf numFmtId="167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71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7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71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71" xfId="0" applyFont="1" applyFill="1" applyBorder="1" applyAlignment="1" applyProtection="1">
      <alignment horizontal="center" vertical="center" wrapText="1"/>
      <protection locked="0"/>
    </xf>
    <xf numFmtId="14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71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7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7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3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76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76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76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79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7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73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76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7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80" xfId="0" applyFont="1" applyFill="1" applyBorder="1" applyAlignment="1" applyProtection="1">
      <alignment horizontal="center" vertical="center" wrapText="1"/>
      <protection locked="0"/>
    </xf>
    <xf numFmtId="49" fontId="15" fillId="18" borderId="80" xfId="0" applyNumberFormat="1" applyFont="1" applyFill="1" applyBorder="1" applyAlignment="1">
      <alignment horizontal="center" vertical="center" wrapText="1"/>
    </xf>
    <xf numFmtId="49" fontId="1" fillId="18" borderId="8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0" xfId="0" applyNumberFormat="1" applyFont="1" applyFill="1" applyBorder="1" applyAlignment="1">
      <alignment horizontal="center" vertical="center" wrapText="1"/>
    </xf>
    <xf numFmtId="165" fontId="1" fillId="18" borderId="80" xfId="0" applyNumberFormat="1" applyFont="1" applyFill="1" applyBorder="1" applyAlignment="1" applyProtection="1">
      <alignment horizontal="center" vertical="center" wrapText="1"/>
      <protection locked="0"/>
    </xf>
    <xf numFmtId="168" fontId="1" fillId="18" borderId="80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80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81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82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8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82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83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8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83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82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83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84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85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8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85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14" fontId="1" fillId="0" borderId="85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85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82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44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55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65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62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57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59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71" xfId="0" applyNumberFormat="1" applyFont="1" applyFill="1" applyBorder="1" applyAlignment="1" applyProtection="1">
      <alignment horizontal="center" vertical="center" wrapText="1"/>
      <protection locked="0"/>
    </xf>
    <xf numFmtId="4" fontId="1" fillId="19" borderId="69" xfId="0" applyNumberFormat="1" applyFont="1" applyFill="1" applyBorder="1" applyAlignment="1" applyProtection="1">
      <alignment horizontal="center" vertical="center" wrapText="1"/>
      <protection locked="0"/>
    </xf>
    <xf numFmtId="0" fontId="6" fillId="17" borderId="3" xfId="0" applyFont="1" applyFill="1" applyBorder="1" applyAlignment="1">
      <alignment horizontal="center" vertical="center" wrapText="1"/>
    </xf>
    <xf numFmtId="0" fontId="6" fillId="17" borderId="4" xfId="0" applyFont="1" applyFill="1" applyBorder="1" applyAlignment="1">
      <alignment horizontal="center" vertical="center" wrapText="1"/>
    </xf>
    <xf numFmtId="0" fontId="13" fillId="17" borderId="3" xfId="0" applyFont="1" applyFill="1" applyBorder="1" applyAlignment="1">
      <alignment horizontal="center" vertical="center" wrapText="1"/>
    </xf>
    <xf numFmtId="0" fontId="13" fillId="17" borderId="4" xfId="0" applyFont="1" applyFill="1" applyBorder="1" applyAlignment="1">
      <alignment horizontal="center" vertical="center" wrapText="1"/>
    </xf>
    <xf numFmtId="0" fontId="13" fillId="17" borderId="5" xfId="0" applyFont="1" applyFill="1" applyBorder="1" applyAlignment="1">
      <alignment horizontal="center" vertical="center" wrapText="1"/>
    </xf>
    <xf numFmtId="0" fontId="5" fillId="12" borderId="8" xfId="0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center" vertical="center" wrapText="1"/>
    </xf>
    <xf numFmtId="0" fontId="5" fillId="12" borderId="10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 wrapText="1"/>
    </xf>
    <xf numFmtId="0" fontId="5" fillId="12" borderId="7" xfId="0" applyFont="1" applyFill="1" applyBorder="1" applyAlignment="1">
      <alignment horizontal="center" vertical="center" wrapText="1"/>
    </xf>
    <xf numFmtId="0" fontId="5" fillId="12" borderId="12" xfId="0" applyFont="1" applyFill="1" applyBorder="1" applyAlignment="1">
      <alignment horizontal="center" vertical="center" wrapText="1"/>
    </xf>
    <xf numFmtId="164" fontId="6" fillId="2" borderId="8" xfId="0" applyNumberFormat="1" applyFont="1" applyFill="1" applyBorder="1" applyAlignment="1">
      <alignment horizontal="center" vertical="center" wrapText="1"/>
    </xf>
    <xf numFmtId="164" fontId="6" fillId="2" borderId="9" xfId="0" applyNumberFormat="1" applyFont="1" applyFill="1" applyBorder="1" applyAlignment="1">
      <alignment horizontal="center" vertical="center" wrapText="1"/>
    </xf>
    <xf numFmtId="164" fontId="6" fillId="2" borderId="10" xfId="0" applyNumberFormat="1" applyFont="1" applyFill="1" applyBorder="1" applyAlignment="1">
      <alignment horizontal="center" vertical="center" wrapText="1"/>
    </xf>
    <xf numFmtId="164" fontId="6" fillId="2" borderId="11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13" borderId="3" xfId="0" applyFont="1" applyFill="1" applyBorder="1" applyAlignment="1">
      <alignment horizontal="center" vertical="center" wrapText="1"/>
    </xf>
    <xf numFmtId="0" fontId="5" fillId="13" borderId="4" xfId="0" applyFont="1" applyFill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4" fontId="3" fillId="0" borderId="16" xfId="0" applyNumberFormat="1" applyFont="1" applyBorder="1" applyAlignment="1">
      <alignment horizontal="center" vertical="center" wrapText="1"/>
    </xf>
    <xf numFmtId="4" fontId="3" fillId="0" borderId="18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16" xfId="0" applyNumberFormat="1" applyFont="1" applyBorder="1" applyAlignment="1">
      <alignment horizontal="center" vertical="center" wrapText="1"/>
    </xf>
    <xf numFmtId="4" fontId="2" fillId="0" borderId="17" xfId="0" applyNumberFormat="1" applyFont="1" applyBorder="1" applyAlignment="1">
      <alignment horizontal="center" vertical="center" wrapText="1"/>
    </xf>
    <xf numFmtId="4" fontId="2" fillId="0" borderId="18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0" fontId="5" fillId="15" borderId="3" xfId="0" applyFont="1" applyFill="1" applyBorder="1" applyAlignment="1">
      <alignment horizontal="center" vertical="center" wrapText="1"/>
    </xf>
    <xf numFmtId="0" fontId="5" fillId="15" borderId="4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14" fillId="15" borderId="3" xfId="0" applyFont="1" applyFill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4" fillId="15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1" fillId="10" borderId="4" xfId="0" applyFont="1" applyFill="1" applyBorder="1" applyAlignment="1">
      <alignment horizontal="center" vertical="center" wrapText="1"/>
    </xf>
    <xf numFmtId="0" fontId="1" fillId="10" borderId="5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15" fillId="18" borderId="84" xfId="0" applyNumberFormat="1" applyFont="1" applyFill="1" applyBorder="1" applyAlignment="1">
      <alignment horizontal="center" vertical="center" wrapText="1"/>
    </xf>
    <xf numFmtId="49" fontId="15" fillId="18" borderId="85" xfId="0" applyNumberFormat="1" applyFont="1" applyFill="1" applyBorder="1" applyAlignment="1">
      <alignment horizontal="center" vertical="center" wrapText="1"/>
    </xf>
    <xf numFmtId="14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85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5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85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85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84" xfId="0" applyFont="1" applyFill="1" applyBorder="1" applyAlignment="1" applyProtection="1">
      <alignment horizontal="center" vertical="center" wrapText="1"/>
      <protection locked="0"/>
    </xf>
    <xf numFmtId="0" fontId="1" fillId="18" borderId="85" xfId="0" applyFont="1" applyFill="1" applyBorder="1" applyAlignment="1" applyProtection="1">
      <alignment horizontal="center" vertical="center" wrapText="1"/>
      <protection locked="0"/>
    </xf>
    <xf numFmtId="165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85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4" xfId="0" applyNumberFormat="1" applyFont="1" applyFill="1" applyBorder="1" applyAlignment="1">
      <alignment horizontal="center" vertical="center" wrapText="1"/>
    </xf>
    <xf numFmtId="4" fontId="1" fillId="18" borderId="85" xfId="0" applyNumberFormat="1" applyFont="1" applyFill="1" applyBorder="1" applyAlignment="1">
      <alignment horizontal="center" vertical="center" wrapText="1"/>
    </xf>
    <xf numFmtId="167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85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84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85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81" xfId="0" applyNumberFormat="1" applyFont="1" applyFill="1" applyBorder="1" applyAlignment="1">
      <alignment horizontal="center" vertical="center" wrapText="1"/>
    </xf>
    <xf numFmtId="49" fontId="15" fillId="18" borderId="82" xfId="0" applyNumberFormat="1" applyFont="1" applyFill="1" applyBorder="1" applyAlignment="1">
      <alignment horizontal="center" vertical="center" wrapText="1"/>
    </xf>
    <xf numFmtId="49" fontId="15" fillId="18" borderId="83" xfId="0" applyNumberFormat="1" applyFont="1" applyFill="1" applyBorder="1" applyAlignment="1">
      <alignment horizontal="center" vertical="center" wrapText="1"/>
    </xf>
    <xf numFmtId="14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82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8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82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83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82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83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81" xfId="0" applyFont="1" applyFill="1" applyBorder="1" applyAlignment="1" applyProtection="1">
      <alignment horizontal="center" vertical="center" wrapText="1"/>
      <protection locked="0"/>
    </xf>
    <xf numFmtId="0" fontId="1" fillId="18" borderId="82" xfId="0" applyFont="1" applyFill="1" applyBorder="1" applyAlignment="1" applyProtection="1">
      <alignment horizontal="center" vertical="center" wrapText="1"/>
      <protection locked="0"/>
    </xf>
    <xf numFmtId="0" fontId="1" fillId="18" borderId="83" xfId="0" applyFont="1" applyFill="1" applyBorder="1" applyAlignment="1" applyProtection="1">
      <alignment horizontal="center" vertical="center" wrapText="1"/>
      <protection locked="0"/>
    </xf>
    <xf numFmtId="165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82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8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81" xfId="0" applyNumberFormat="1" applyFont="1" applyFill="1" applyBorder="1" applyAlignment="1">
      <alignment horizontal="center" vertical="center" wrapText="1"/>
    </xf>
    <xf numFmtId="4" fontId="1" fillId="18" borderId="82" xfId="0" applyNumberFormat="1" applyFont="1" applyFill="1" applyBorder="1" applyAlignment="1">
      <alignment horizontal="center" vertical="center" wrapText="1"/>
    </xf>
    <xf numFmtId="4" fontId="1" fillId="18" borderId="83" xfId="0" applyNumberFormat="1" applyFont="1" applyFill="1" applyBorder="1" applyAlignment="1">
      <alignment horizontal="center" vertical="center" wrapText="1"/>
    </xf>
    <xf numFmtId="167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82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83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81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82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83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7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7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7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57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56" xfId="0" applyFont="1" applyFill="1" applyBorder="1" applyAlignment="1" applyProtection="1">
      <alignment horizontal="center" vertical="center" wrapText="1"/>
      <protection locked="0"/>
    </xf>
    <xf numFmtId="0" fontId="1" fillId="18" borderId="57" xfId="0" applyFont="1" applyFill="1" applyBorder="1" applyAlignment="1" applyProtection="1">
      <alignment horizontal="center" vertical="center" wrapText="1"/>
      <protection locked="0"/>
    </xf>
    <xf numFmtId="165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57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6" xfId="0" applyNumberFormat="1" applyFont="1" applyFill="1" applyBorder="1" applyAlignment="1">
      <alignment horizontal="center" vertical="center" wrapText="1"/>
    </xf>
    <xf numFmtId="4" fontId="1" fillId="18" borderId="57" xfId="0" applyNumberFormat="1" applyFont="1" applyFill="1" applyBorder="1" applyAlignment="1">
      <alignment horizontal="center" vertical="center" wrapText="1"/>
    </xf>
    <xf numFmtId="167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57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56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57" xfId="0" applyNumberFormat="1" applyFont="1" applyFill="1" applyBorder="1" applyAlignment="1" applyProtection="1">
      <alignment horizontal="center" vertical="center" wrapText="1"/>
      <protection locked="0"/>
    </xf>
    <xf numFmtId="49" fontId="15" fillId="4" borderId="51" xfId="0" applyNumberFormat="1" applyFont="1" applyFill="1" applyBorder="1" applyAlignment="1">
      <alignment horizontal="center" vertical="center" wrapText="1"/>
    </xf>
    <xf numFmtId="49" fontId="15" fillId="4" borderId="52" xfId="0" applyNumberFormat="1" applyFont="1" applyFill="1" applyBorder="1" applyAlignment="1">
      <alignment horizontal="center" vertical="center" wrapText="1"/>
    </xf>
    <xf numFmtId="49" fontId="15" fillId="4" borderId="53" xfId="0" applyNumberFormat="1" applyFont="1" applyFill="1" applyBorder="1" applyAlignment="1">
      <alignment horizontal="center" vertical="center" wrapText="1"/>
    </xf>
    <xf numFmtId="14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2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2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3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52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53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51" xfId="0" applyFont="1" applyFill="1" applyBorder="1" applyAlignment="1" applyProtection="1">
      <alignment horizontal="center" vertical="center" wrapText="1"/>
      <protection locked="0"/>
    </xf>
    <xf numFmtId="0" fontId="1" fillId="18" borderId="52" xfId="0" applyFont="1" applyFill="1" applyBorder="1" applyAlignment="1" applyProtection="1">
      <alignment horizontal="center" vertical="center" wrapText="1"/>
      <protection locked="0"/>
    </xf>
    <xf numFmtId="0" fontId="1" fillId="18" borderId="53" xfId="0" applyFont="1" applyFill="1" applyBorder="1" applyAlignment="1" applyProtection="1">
      <alignment horizontal="center" vertical="center" wrapText="1"/>
      <protection locked="0"/>
    </xf>
    <xf numFmtId="165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52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5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1" xfId="0" applyNumberFormat="1" applyFont="1" applyFill="1" applyBorder="1" applyAlignment="1">
      <alignment horizontal="center" vertical="center" wrapText="1"/>
    </xf>
    <xf numFmtId="4" fontId="1" fillId="18" borderId="52" xfId="0" applyNumberFormat="1" applyFont="1" applyFill="1" applyBorder="1" applyAlignment="1">
      <alignment horizontal="center" vertical="center" wrapText="1"/>
    </xf>
    <xf numFmtId="4" fontId="1" fillId="18" borderId="53" xfId="0" applyNumberFormat="1" applyFont="1" applyFill="1" applyBorder="1" applyAlignment="1">
      <alignment horizontal="center" vertical="center" wrapText="1"/>
    </xf>
    <xf numFmtId="167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52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53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51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52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5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0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0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4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9" xfId="0" applyNumberFormat="1" applyFont="1" applyFill="1" applyBorder="1" applyAlignment="1">
      <alignment horizontal="center" vertical="center" wrapText="1"/>
    </xf>
    <xf numFmtId="4" fontId="1" fillId="18" borderId="40" xfId="0" applyNumberFormat="1" applyFont="1" applyFill="1" applyBorder="1" applyAlignment="1">
      <alignment horizontal="center" vertical="center" wrapText="1"/>
    </xf>
    <xf numFmtId="167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40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40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39" xfId="0" applyNumberFormat="1" applyFont="1" applyFill="1" applyBorder="1" applyAlignment="1">
      <alignment horizontal="center" vertical="center" wrapText="1"/>
    </xf>
    <xf numFmtId="49" fontId="15" fillId="18" borderId="40" xfId="0" applyNumberFormat="1" applyFont="1" applyFill="1" applyBorder="1" applyAlignment="1">
      <alignment horizontal="center" vertical="center" wrapText="1"/>
    </xf>
    <xf numFmtId="164" fontId="1" fillId="18" borderId="39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40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39" xfId="0" applyFont="1" applyFill="1" applyBorder="1" applyAlignment="1" applyProtection="1">
      <alignment horizontal="center" vertical="center" wrapText="1"/>
      <protection locked="0"/>
    </xf>
    <xf numFmtId="0" fontId="1" fillId="18" borderId="40" xfId="0" applyFont="1" applyFill="1" applyBorder="1" applyAlignment="1" applyProtection="1">
      <alignment horizontal="center" vertical="center" wrapText="1"/>
      <protection locked="0"/>
    </xf>
    <xf numFmtId="49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5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34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33" xfId="0" applyNumberFormat="1" applyFont="1" applyFill="1" applyBorder="1" applyAlignment="1">
      <alignment horizontal="center" vertical="center" wrapText="1"/>
    </xf>
    <xf numFmtId="49" fontId="15" fillId="18" borderId="35" xfId="0" applyNumberFormat="1" applyFont="1" applyFill="1" applyBorder="1" applyAlignment="1">
      <alignment horizontal="center" vertical="center" wrapText="1"/>
    </xf>
    <xf numFmtId="49" fontId="15" fillId="18" borderId="34" xfId="0" applyNumberFormat="1" applyFont="1" applyFill="1" applyBorder="1" applyAlignment="1">
      <alignment horizontal="center" vertical="center" wrapText="1"/>
    </xf>
    <xf numFmtId="4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5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4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41" xfId="0" applyNumberFormat="1" applyFont="1" applyFill="1" applyBorder="1" applyAlignment="1">
      <alignment horizontal="center" vertical="center" wrapText="1"/>
    </xf>
    <xf numFmtId="49" fontId="15" fillId="18" borderId="42" xfId="0" applyNumberFormat="1" applyFont="1" applyFill="1" applyBorder="1" applyAlignment="1">
      <alignment horizontal="center" vertical="center" wrapText="1"/>
    </xf>
    <xf numFmtId="14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43" xfId="0" applyNumberFormat="1" applyFont="1" applyFill="1" applyBorder="1" applyAlignment="1">
      <alignment horizontal="center" vertical="center" wrapText="1"/>
    </xf>
    <xf numFmtId="49" fontId="15" fillId="18" borderId="44" xfId="0" applyNumberFormat="1" applyFont="1" applyFill="1" applyBorder="1" applyAlignment="1">
      <alignment horizontal="center" vertical="center" wrapText="1"/>
    </xf>
    <xf numFmtId="14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4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4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4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54" xfId="0" applyNumberFormat="1" applyFont="1" applyFill="1" applyBorder="1" applyAlignment="1">
      <alignment horizontal="center" vertical="center" wrapText="1"/>
    </xf>
    <xf numFmtId="49" fontId="15" fillId="18" borderId="55" xfId="0" applyNumberFormat="1" applyFont="1" applyFill="1" applyBorder="1" applyAlignment="1">
      <alignment horizontal="center" vertical="center" wrapText="1"/>
    </xf>
    <xf numFmtId="14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55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5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5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56" xfId="0" applyNumberFormat="1" applyFont="1" applyFill="1" applyBorder="1" applyAlignment="1">
      <alignment horizontal="center" vertical="center" wrapText="1"/>
    </xf>
    <xf numFmtId="49" fontId="15" fillId="18" borderId="57" xfId="0" applyNumberFormat="1" applyFont="1" applyFill="1" applyBorder="1" applyAlignment="1">
      <alignment horizontal="center" vertical="center" wrapText="1"/>
    </xf>
    <xf numFmtId="49" fontId="15" fillId="18" borderId="70" xfId="0" applyNumberFormat="1" applyFont="1" applyFill="1" applyBorder="1" applyAlignment="1">
      <alignment horizontal="center" vertical="center" wrapText="1"/>
    </xf>
    <xf numFmtId="49" fontId="15" fillId="18" borderId="71" xfId="0" applyNumberFormat="1" applyFont="1" applyFill="1" applyBorder="1" applyAlignment="1">
      <alignment horizontal="center" vertical="center" wrapText="1"/>
    </xf>
    <xf numFmtId="14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49" fontId="1" fillId="10" borderId="3" xfId="0" applyNumberFormat="1" applyFont="1" applyFill="1" applyBorder="1" applyAlignment="1">
      <alignment horizontal="center" vertical="center" wrapText="1"/>
    </xf>
    <xf numFmtId="49" fontId="1" fillId="10" borderId="5" xfId="0" applyNumberFormat="1" applyFont="1" applyFill="1" applyBorder="1" applyAlignment="1">
      <alignment horizontal="center" vertical="center" wrapText="1"/>
    </xf>
    <xf numFmtId="164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35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34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33" xfId="0" applyFont="1" applyFill="1" applyBorder="1" applyAlignment="1" applyProtection="1">
      <alignment horizontal="center" vertical="center" wrapText="1"/>
      <protection locked="0"/>
    </xf>
    <xf numFmtId="0" fontId="1" fillId="18" borderId="35" xfId="0" applyFont="1" applyFill="1" applyBorder="1" applyAlignment="1" applyProtection="1">
      <alignment horizontal="center" vertical="center" wrapText="1"/>
      <protection locked="0"/>
    </xf>
    <xf numFmtId="0" fontId="1" fillId="18" borderId="34" xfId="0" applyFont="1" applyFill="1" applyBorder="1" applyAlignment="1" applyProtection="1">
      <alignment horizontal="center" vertical="center" wrapText="1"/>
      <protection locked="0"/>
    </xf>
    <xf numFmtId="14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35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34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5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34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33" xfId="0" applyNumberFormat="1" applyFont="1" applyFill="1" applyBorder="1" applyAlignment="1">
      <alignment horizontal="center" vertical="center" wrapText="1"/>
    </xf>
    <xf numFmtId="4" fontId="1" fillId="18" borderId="35" xfId="0" applyNumberFormat="1" applyFont="1" applyFill="1" applyBorder="1" applyAlignment="1">
      <alignment horizontal="center" vertical="center" wrapText="1"/>
    </xf>
    <xf numFmtId="4" fontId="1" fillId="18" borderId="34" xfId="0" applyNumberFormat="1" applyFont="1" applyFill="1" applyBorder="1" applyAlignment="1">
      <alignment horizontal="center" vertical="center" wrapText="1"/>
    </xf>
    <xf numFmtId="167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35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34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33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35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34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41" xfId="0" applyFont="1" applyFill="1" applyBorder="1" applyAlignment="1" applyProtection="1">
      <alignment horizontal="center" vertical="center" wrapText="1"/>
      <protection locked="0"/>
    </xf>
    <xf numFmtId="0" fontId="1" fillId="18" borderId="42" xfId="0" applyFont="1" applyFill="1" applyBorder="1" applyAlignment="1" applyProtection="1">
      <alignment horizontal="center" vertical="center" wrapText="1"/>
      <protection locked="0"/>
    </xf>
    <xf numFmtId="165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1" xfId="0" applyNumberFormat="1" applyFont="1" applyFill="1" applyBorder="1" applyAlignment="1">
      <alignment horizontal="center" vertical="center" wrapText="1"/>
    </xf>
    <xf numFmtId="4" fontId="1" fillId="18" borderId="42" xfId="0" applyNumberFormat="1" applyFont="1" applyFill="1" applyBorder="1" applyAlignment="1">
      <alignment horizontal="center" vertical="center" wrapText="1"/>
    </xf>
    <xf numFmtId="167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41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42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44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43" xfId="0" applyFont="1" applyFill="1" applyBorder="1" applyAlignment="1" applyProtection="1">
      <alignment horizontal="center" vertical="center" wrapText="1"/>
      <protection locked="0"/>
    </xf>
    <xf numFmtId="0" fontId="1" fillId="18" borderId="44" xfId="0" applyFont="1" applyFill="1" applyBorder="1" applyAlignment="1" applyProtection="1">
      <alignment horizontal="center" vertical="center" wrapText="1"/>
      <protection locked="0"/>
    </xf>
    <xf numFmtId="165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44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3" xfId="0" applyNumberFormat="1" applyFont="1" applyFill="1" applyBorder="1" applyAlignment="1">
      <alignment horizontal="center" vertical="center" wrapText="1"/>
    </xf>
    <xf numFmtId="4" fontId="1" fillId="18" borderId="44" xfId="0" applyNumberFormat="1" applyFont="1" applyFill="1" applyBorder="1" applyAlignment="1">
      <alignment horizontal="center" vertical="center" wrapText="1"/>
    </xf>
    <xf numFmtId="167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44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43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44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55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54" xfId="0" applyFont="1" applyFill="1" applyBorder="1" applyAlignment="1" applyProtection="1">
      <alignment horizontal="center" vertical="center" wrapText="1"/>
      <protection locked="0"/>
    </xf>
    <xf numFmtId="0" fontId="1" fillId="18" borderId="55" xfId="0" applyFont="1" applyFill="1" applyBorder="1" applyAlignment="1" applyProtection="1">
      <alignment horizontal="center" vertical="center" wrapText="1"/>
      <protection locked="0"/>
    </xf>
    <xf numFmtId="165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55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4" xfId="0" applyNumberFormat="1" applyFont="1" applyFill="1" applyBorder="1" applyAlignment="1">
      <alignment horizontal="center" vertical="center" wrapText="1"/>
    </xf>
    <xf numFmtId="4" fontId="1" fillId="18" borderId="55" xfId="0" applyNumberFormat="1" applyFont="1" applyFill="1" applyBorder="1" applyAlignment="1">
      <alignment horizontal="center" vertical="center" wrapText="1"/>
    </xf>
    <xf numFmtId="167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55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54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55" xfId="0" applyNumberFormat="1" applyFont="1" applyFill="1" applyBorder="1" applyAlignment="1" applyProtection="1">
      <alignment horizontal="center" vertical="center" wrapText="1"/>
      <protection locked="0"/>
    </xf>
    <xf numFmtId="49" fontId="15" fillId="18" borderId="58" xfId="0" applyNumberFormat="1" applyFont="1" applyFill="1" applyBorder="1" applyAlignment="1">
      <alignment horizontal="center" vertical="center" wrapText="1"/>
    </xf>
    <xf numFmtId="49" fontId="15" fillId="18" borderId="64" xfId="0" applyNumberFormat="1" applyFont="1" applyFill="1" applyBorder="1" applyAlignment="1">
      <alignment horizontal="center" vertical="center" wrapText="1"/>
    </xf>
    <xf numFmtId="49" fontId="15" fillId="18" borderId="61" xfId="0" applyNumberFormat="1" applyFont="1" applyFill="1" applyBorder="1" applyAlignment="1">
      <alignment horizontal="center" vertical="center" wrapText="1"/>
    </xf>
    <xf numFmtId="14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65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6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65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62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65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62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65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62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60" xfId="0" applyFont="1" applyFill="1" applyBorder="1" applyAlignment="1" applyProtection="1">
      <alignment horizontal="center" vertical="center" wrapText="1"/>
      <protection locked="0"/>
    </xf>
    <xf numFmtId="0" fontId="1" fillId="18" borderId="66" xfId="0" applyFont="1" applyFill="1" applyBorder="1" applyAlignment="1" applyProtection="1">
      <alignment horizontal="center" vertical="center" wrapText="1"/>
      <protection locked="0"/>
    </xf>
    <xf numFmtId="0" fontId="1" fillId="18" borderId="63" xfId="0" applyFont="1" applyFill="1" applyBorder="1" applyAlignment="1" applyProtection="1">
      <alignment horizontal="center" vertical="center" wrapText="1"/>
      <protection locked="0"/>
    </xf>
    <xf numFmtId="165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65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6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59" xfId="0" applyNumberFormat="1" applyFont="1" applyFill="1" applyBorder="1" applyAlignment="1">
      <alignment horizontal="center" vertical="center" wrapText="1"/>
    </xf>
    <xf numFmtId="4" fontId="1" fillId="18" borderId="65" xfId="0" applyNumberFormat="1" applyFont="1" applyFill="1" applyBorder="1" applyAlignment="1">
      <alignment horizontal="center" vertical="center" wrapText="1"/>
    </xf>
    <xf numFmtId="4" fontId="1" fillId="18" borderId="62" xfId="0" applyNumberFormat="1" applyFont="1" applyFill="1" applyBorder="1" applyAlignment="1">
      <alignment horizontal="center" vertical="center" wrapText="1"/>
    </xf>
    <xf numFmtId="167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65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62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59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65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62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164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70" xfId="0" applyFont="1" applyFill="1" applyBorder="1" applyAlignment="1" applyProtection="1">
      <alignment horizontal="center" vertical="center" wrapText="1"/>
      <protection locked="0"/>
    </xf>
    <xf numFmtId="0" fontId="1" fillId="18" borderId="71" xfId="0" applyFont="1" applyFill="1" applyBorder="1" applyAlignment="1" applyProtection="1">
      <alignment horizontal="center" vertical="center" wrapText="1"/>
      <protection locked="0"/>
    </xf>
    <xf numFmtId="165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0" xfId="0" applyNumberFormat="1" applyFont="1" applyFill="1" applyBorder="1" applyAlignment="1">
      <alignment horizontal="center" vertical="center" wrapText="1"/>
    </xf>
    <xf numFmtId="4" fontId="1" fillId="18" borderId="71" xfId="0" applyNumberFormat="1" applyFont="1" applyFill="1" applyBorder="1" applyAlignment="1">
      <alignment horizontal="center" vertical="center" wrapText="1"/>
    </xf>
    <xf numFmtId="167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167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70" xfId="0" applyNumberFormat="1" applyFont="1" applyFill="1" applyBorder="1" applyAlignment="1" applyProtection="1">
      <alignment horizontal="center" vertical="center" wrapText="1"/>
      <protection locked="0"/>
    </xf>
    <xf numFmtId="7" fontId="1" fillId="18" borderId="71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67" xfId="0" applyFont="1" applyFill="1" applyBorder="1" applyAlignment="1" applyProtection="1">
      <alignment horizontal="center" vertical="center" wrapText="1"/>
      <protection locked="0"/>
    </xf>
    <xf numFmtId="0" fontId="1" fillId="18" borderId="69" xfId="0" applyFont="1" applyFill="1" applyBorder="1" applyAlignment="1" applyProtection="1">
      <alignment horizontal="center" vertical="center" wrapText="1"/>
      <protection locked="0"/>
    </xf>
    <xf numFmtId="49" fontId="1" fillId="18" borderId="67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67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67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67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67" xfId="0" applyNumberFormat="1" applyFont="1" applyFill="1" applyBorder="1" applyAlignment="1">
      <alignment horizontal="center" vertical="center" wrapText="1"/>
    </xf>
    <xf numFmtId="4" fontId="1" fillId="18" borderId="69" xfId="0" applyNumberFormat="1" applyFont="1" applyFill="1" applyBorder="1" applyAlignment="1">
      <alignment horizontal="center" vertical="center" wrapText="1"/>
    </xf>
    <xf numFmtId="1" fontId="1" fillId="18" borderId="67" xfId="0" applyNumberFormat="1" applyFont="1" applyFill="1" applyBorder="1" applyAlignment="1" applyProtection="1">
      <alignment horizontal="center" vertical="center" wrapText="1"/>
      <protection locked="0"/>
    </xf>
    <xf numFmtId="1" fontId="1" fillId="18" borderId="6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67" xfId="0" applyNumberFormat="1" applyFont="1" applyFill="1" applyBorder="1" applyAlignment="1">
      <alignment horizontal="center" vertical="center" wrapText="1"/>
    </xf>
    <xf numFmtId="49" fontId="1" fillId="18" borderId="69" xfId="0" applyNumberFormat="1" applyFont="1" applyFill="1" applyBorder="1" applyAlignment="1">
      <alignment horizontal="center" vertical="center" wrapText="1"/>
    </xf>
    <xf numFmtId="4" fontId="1" fillId="18" borderId="68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68" xfId="0" applyNumberFormat="1" applyFont="1" applyFill="1" applyBorder="1" applyAlignment="1" applyProtection="1">
      <alignment horizontal="center" vertical="center" wrapText="1"/>
      <protection locked="0"/>
    </xf>
    <xf numFmtId="0" fontId="1" fillId="18" borderId="68" xfId="0" applyFont="1" applyFill="1" applyBorder="1" applyAlignment="1" applyProtection="1">
      <alignment horizontal="center" vertical="center" wrapText="1"/>
      <protection locked="0"/>
    </xf>
    <xf numFmtId="4" fontId="1" fillId="18" borderId="68" xfId="0" applyNumberFormat="1" applyFont="1" applyFill="1" applyBorder="1" applyAlignment="1">
      <alignment horizontal="center" vertical="center" wrapText="1"/>
    </xf>
    <xf numFmtId="1" fontId="1" fillId="18" borderId="68" xfId="0" applyNumberFormat="1" applyFont="1" applyFill="1" applyBorder="1" applyAlignment="1" applyProtection="1">
      <alignment horizontal="center" vertical="center" wrapText="1"/>
      <protection locked="0"/>
    </xf>
    <xf numFmtId="0" fontId="1" fillId="10" borderId="0" xfId="0" applyFont="1" applyFill="1" applyAlignment="1">
      <alignment horizontal="center" vertical="center" wrapText="1"/>
    </xf>
    <xf numFmtId="0" fontId="1" fillId="10" borderId="19" xfId="0" applyFont="1" applyFill="1" applyBorder="1" applyAlignment="1">
      <alignment horizontal="center" vertical="center" wrapText="1"/>
    </xf>
    <xf numFmtId="49" fontId="1" fillId="18" borderId="68" xfId="0" applyNumberFormat="1" applyFont="1" applyFill="1" applyBorder="1" applyAlignment="1">
      <alignment horizontal="center" vertical="center" wrapText="1"/>
    </xf>
    <xf numFmtId="14" fontId="1" fillId="18" borderId="68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68" xfId="0" applyNumberFormat="1" applyFont="1" applyFill="1" applyBorder="1" applyAlignment="1" applyProtection="1">
      <alignment horizontal="center" vertical="center" wrapText="1"/>
      <protection locked="0"/>
    </xf>
    <xf numFmtId="49" fontId="15" fillId="4" borderId="45" xfId="0" applyNumberFormat="1" applyFont="1" applyFill="1" applyBorder="1" applyAlignment="1">
      <alignment horizontal="center" vertical="center" wrapText="1"/>
    </xf>
    <xf numFmtId="49" fontId="15" fillId="4" borderId="48" xfId="0" applyNumberFormat="1" applyFont="1" applyFill="1" applyBorder="1" applyAlignment="1">
      <alignment horizontal="center" vertical="center" wrapText="1"/>
    </xf>
    <xf numFmtId="165" fontId="1" fillId="18" borderId="46" xfId="0" applyNumberFormat="1" applyFont="1" applyFill="1" applyBorder="1" applyAlignment="1" applyProtection="1">
      <alignment horizontal="center" vertical="center" wrapText="1"/>
      <protection locked="0"/>
    </xf>
    <xf numFmtId="165" fontId="1" fillId="18" borderId="49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46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6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6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46" xfId="0" applyNumberFormat="1" applyFont="1" applyFill="1" applyBorder="1" applyAlignment="1">
      <alignment horizontal="center" vertical="center" wrapText="1"/>
    </xf>
    <xf numFmtId="4" fontId="1" fillId="18" borderId="49" xfId="0" applyNumberFormat="1" applyFont="1" applyFill="1" applyBorder="1" applyAlignment="1">
      <alignment horizontal="center" vertical="center" wrapText="1"/>
    </xf>
    <xf numFmtId="4" fontId="1" fillId="0" borderId="46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47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50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6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49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72" xfId="0" applyNumberFormat="1" applyFont="1" applyFill="1" applyBorder="1" applyAlignment="1">
      <alignment horizontal="center" vertical="center" wrapText="1"/>
    </xf>
    <xf numFmtId="49" fontId="1" fillId="18" borderId="75" xfId="0" applyNumberFormat="1" applyFont="1" applyFill="1" applyBorder="1" applyAlignment="1">
      <alignment horizontal="center" vertical="center" wrapText="1"/>
    </xf>
    <xf numFmtId="49" fontId="1" fillId="18" borderId="78" xfId="0" applyNumberFormat="1" applyFont="1" applyFill="1" applyBorder="1" applyAlignment="1">
      <alignment horizontal="center" vertical="center" wrapText="1"/>
    </xf>
    <xf numFmtId="49" fontId="1" fillId="18" borderId="73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76" xfId="0" applyNumberFormat="1" applyFont="1" applyFill="1" applyBorder="1" applyAlignment="1" applyProtection="1">
      <alignment horizontal="center" vertical="center" wrapText="1"/>
      <protection locked="0"/>
    </xf>
    <xf numFmtId="49" fontId="1" fillId="18" borderId="7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3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6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9" xfId="0" applyNumberFormat="1" applyFont="1" applyFill="1" applyBorder="1" applyAlignment="1" applyProtection="1">
      <alignment horizontal="center" vertical="center" wrapText="1"/>
      <protection locked="0"/>
    </xf>
    <xf numFmtId="4" fontId="1" fillId="18" borderId="73" xfId="0" applyNumberFormat="1" applyFont="1" applyFill="1" applyBorder="1" applyAlignment="1">
      <alignment horizontal="center" vertical="center" wrapText="1"/>
    </xf>
    <xf numFmtId="4" fontId="1" fillId="18" borderId="76" xfId="0" applyNumberFormat="1" applyFont="1" applyFill="1" applyBorder="1" applyAlignment="1">
      <alignment horizontal="center" vertical="center" wrapText="1"/>
    </xf>
    <xf numFmtId="4" fontId="1" fillId="18" borderId="79" xfId="0" applyNumberFormat="1" applyFont="1" applyFill="1" applyBorder="1" applyAlignment="1">
      <alignment horizontal="center" vertical="center" wrapText="1"/>
    </xf>
    <xf numFmtId="0" fontId="1" fillId="18" borderId="74" xfId="0" applyFont="1" applyFill="1" applyBorder="1" applyAlignment="1" applyProtection="1">
      <alignment horizontal="center" vertical="center" wrapText="1"/>
      <protection locked="0"/>
    </xf>
    <xf numFmtId="0" fontId="1" fillId="18" borderId="77" xfId="0" applyFont="1" applyFill="1" applyBorder="1" applyAlignment="1" applyProtection="1">
      <alignment horizontal="center" vertical="center" wrapText="1"/>
      <protection locked="0"/>
    </xf>
    <xf numFmtId="0" fontId="1" fillId="18" borderId="80" xfId="0" applyFont="1" applyFill="1" applyBorder="1" applyAlignment="1" applyProtection="1">
      <alignment horizontal="center" vertical="center" wrapText="1"/>
      <protection locked="0"/>
    </xf>
    <xf numFmtId="49" fontId="16" fillId="0" borderId="73" xfId="0" applyNumberFormat="1" applyFont="1" applyBorder="1" applyAlignment="1" applyProtection="1">
      <alignment vertical="center" wrapText="1"/>
      <protection locked="0"/>
    </xf>
    <xf numFmtId="49" fontId="16" fillId="0" borderId="76" xfId="0" applyNumberFormat="1" applyFont="1" applyBorder="1" applyAlignment="1" applyProtection="1">
      <alignment vertical="center" wrapText="1"/>
      <protection locked="0"/>
    </xf>
    <xf numFmtId="49" fontId="16" fillId="0" borderId="79" xfId="0" applyNumberFormat="1" applyFont="1" applyBorder="1" applyAlignment="1" applyProtection="1">
      <alignment vertical="center" wrapText="1"/>
      <protection locked="0"/>
    </xf>
    <xf numFmtId="14" fontId="1" fillId="18" borderId="73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76" xfId="0" applyNumberFormat="1" applyFont="1" applyFill="1" applyBorder="1" applyAlignment="1" applyProtection="1">
      <alignment horizontal="center" vertical="center" wrapText="1"/>
      <protection locked="0"/>
    </xf>
    <xf numFmtId="14" fontId="1" fillId="18" borderId="79" xfId="0" applyNumberFormat="1" applyFont="1" applyFill="1" applyBorder="1" applyAlignment="1" applyProtection="1">
      <alignment horizontal="center" vertical="center" wrapText="1"/>
      <protection locked="0"/>
    </xf>
    <xf numFmtId="0" fontId="11" fillId="5" borderId="1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0" fillId="10" borderId="13" xfId="1" applyFont="1" applyFill="1" applyBorder="1" applyAlignment="1">
      <alignment horizontal="center" vertical="center" wrapText="1"/>
    </xf>
    <xf numFmtId="0" fontId="10" fillId="10" borderId="2" xfId="1" applyFont="1" applyFill="1" applyBorder="1" applyAlignment="1">
      <alignment horizontal="center" vertical="center" wrapText="1"/>
    </xf>
    <xf numFmtId="0" fontId="10" fillId="8" borderId="13" xfId="1" applyFont="1" applyFill="1" applyBorder="1" applyAlignment="1">
      <alignment horizontal="center" vertical="center" wrapText="1"/>
    </xf>
    <xf numFmtId="0" fontId="10" fillId="8" borderId="2" xfId="1" applyFont="1" applyFill="1" applyBorder="1" applyAlignment="1">
      <alignment horizontal="center" vertical="center" wrapText="1"/>
    </xf>
    <xf numFmtId="0" fontId="10" fillId="9" borderId="13" xfId="1" applyFont="1" applyFill="1" applyBorder="1" applyAlignment="1">
      <alignment horizontal="center" vertical="center" wrapText="1"/>
    </xf>
    <xf numFmtId="0" fontId="10" fillId="9" borderId="2" xfId="1" applyFont="1" applyFill="1" applyBorder="1" applyAlignment="1">
      <alignment horizontal="center" vertical="center" wrapText="1"/>
    </xf>
    <xf numFmtId="0" fontId="10" fillId="7" borderId="13" xfId="1" applyFont="1" applyFill="1" applyBorder="1" applyAlignment="1">
      <alignment horizontal="center" vertical="center" wrapText="1"/>
    </xf>
    <xf numFmtId="0" fontId="10" fillId="7" borderId="2" xfId="1" applyFont="1" applyFill="1" applyBorder="1" applyAlignment="1">
      <alignment horizontal="center" vertical="center" wrapText="1"/>
    </xf>
    <xf numFmtId="0" fontId="10" fillId="6" borderId="13" xfId="1" applyFont="1" applyFill="1" applyBorder="1" applyAlignment="1">
      <alignment horizontal="center" vertical="center" wrapText="1"/>
    </xf>
    <xf numFmtId="0" fontId="10" fillId="6" borderId="2" xfId="1" applyFont="1" applyFill="1" applyBorder="1" applyAlignment="1">
      <alignment horizontal="center" vertical="center" wrapText="1"/>
    </xf>
  </cellXfs>
  <cellStyles count="7">
    <cellStyle name="Гиперссылка" xfId="6" builtinId="8"/>
    <cellStyle name="Обычный" xfId="0" builtinId="0"/>
    <cellStyle name="Обычный 2" xfId="2"/>
    <cellStyle name="Обычный 2 2" xfId="5"/>
    <cellStyle name="Обычный 2 3" xfId="3"/>
    <cellStyle name="Обычный 3" xfId="1"/>
    <cellStyle name="Обычный 4" xfId="4"/>
  </cellStyles>
  <dxfs count="0"/>
  <tableStyles count="0" defaultTableStyle="TableStyleMedium2" defaultPivotStyle="PivotStyleLight16"/>
  <colors>
    <mruColors>
      <color rgb="FF8FFF8F"/>
      <color rgb="FF00FF00"/>
      <color rgb="FFFF9999"/>
      <color rgb="FFA30101"/>
      <color rgb="FFFF6D6D"/>
      <color rgb="FFAAFE22"/>
      <color rgb="FFCEFE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1828800</xdr:colOff>
      <xdr:row>2</xdr:row>
      <xdr:rowOff>238950</xdr:rowOff>
    </xdr:from>
    <xdr:to>
      <xdr:col>8</xdr:col>
      <xdr:colOff>673650</xdr:colOff>
      <xdr:row>3</xdr:row>
      <xdr:rowOff>495300</xdr:rowOff>
    </xdr:to>
    <xdr:sp macro="[0]!ДобавитьКонтрактП4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/>
        </xdr:cNvSpPr>
      </xdr:nvSpPr>
      <xdr:spPr>
        <a:xfrm>
          <a:off x="10972800" y="1000950"/>
          <a:ext cx="5760000" cy="504000"/>
        </a:xfrm>
        <a:prstGeom prst="roundRect">
          <a:avLst/>
        </a:prstGeom>
        <a:gradFill>
          <a:gsLst>
            <a:gs pos="79000">
              <a:srgbClr val="92D050"/>
            </a:gs>
            <a:gs pos="100000">
              <a:schemeClr val="accent3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Добавить</a:t>
          </a:r>
          <a:r>
            <a:rPr lang="ru-RU" sz="3600" b="1" baseline="0">
              <a:solidFill>
                <a:schemeClr val="tx1"/>
              </a:solidFill>
            </a:rPr>
            <a:t> контракт</a:t>
          </a:r>
          <a:endParaRPr lang="ru-RU" sz="3600" b="1">
            <a:solidFill>
              <a:schemeClr val="tx1"/>
            </a:solidFill>
          </a:endParaRPr>
        </a:p>
      </xdr:txBody>
    </xdr:sp>
    <xdr:clientData fPrintsWithSheet="0"/>
  </xdr:twoCellAnchor>
  <xdr:oneCellAnchor>
    <xdr:from>
      <xdr:col>6</xdr:col>
      <xdr:colOff>467591</xdr:colOff>
      <xdr:row>4</xdr:row>
      <xdr:rowOff>69273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1585864" y="1697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twoCellAnchor editAs="oneCell">
    <xdr:from>
      <xdr:col>16</xdr:col>
      <xdr:colOff>742950</xdr:colOff>
      <xdr:row>2</xdr:row>
      <xdr:rowOff>238950</xdr:rowOff>
    </xdr:from>
    <xdr:to>
      <xdr:col>20</xdr:col>
      <xdr:colOff>178350</xdr:colOff>
      <xdr:row>3</xdr:row>
      <xdr:rowOff>495300</xdr:rowOff>
    </xdr:to>
    <xdr:sp macro="[0]!ДобавитьППАктП4" textlink="">
      <xdr:nvSpPr>
        <xdr:cNvPr id="4" name="Скругленный прямоугольник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2061150" y="1000950"/>
          <a:ext cx="5760000" cy="504000"/>
        </a:xfrm>
        <a:prstGeom prst="roundRect">
          <a:avLst/>
        </a:prstGeom>
        <a:gradFill>
          <a:gsLst>
            <a:gs pos="79000">
              <a:srgbClr val="FFC000"/>
            </a:gs>
            <a:gs pos="100000">
              <a:schemeClr val="accent6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3200" b="1">
              <a:solidFill>
                <a:schemeClr val="tx1"/>
              </a:solidFill>
            </a:rPr>
            <a:t>Добавить Акт/ПП</a:t>
          </a:r>
        </a:p>
      </xdr:txBody>
    </xdr:sp>
    <xdr:clientData/>
  </xdr:twoCellAnchor>
  <xdr:twoCellAnchor editAs="oneCell">
    <xdr:from>
      <xdr:col>10</xdr:col>
      <xdr:colOff>877800</xdr:colOff>
      <xdr:row>3</xdr:row>
      <xdr:rowOff>0</xdr:rowOff>
    </xdr:from>
    <xdr:to>
      <xdr:col>13</xdr:col>
      <xdr:colOff>541800</xdr:colOff>
      <xdr:row>4</xdr:row>
      <xdr:rowOff>1080</xdr:rowOff>
    </xdr:to>
    <xdr:sp macro="[0]!УдалитьСтрокуП4" textlink="">
      <xdr:nvSpPr>
        <xdr:cNvPr id="5" name="Скругленный прямоугольник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0651700" y="1009650"/>
          <a:ext cx="5760000" cy="504000"/>
        </a:xfrm>
        <a:prstGeom prst="roundRect">
          <a:avLst/>
        </a:prstGeom>
        <a:gradFill flip="none" rotWithShape="1">
          <a:gsLst>
            <a:gs pos="79000">
              <a:srgbClr val="FF6D6D"/>
            </a:gs>
            <a:gs pos="100000">
              <a:srgbClr val="A30101"/>
            </a:gs>
          </a:gsLst>
          <a:path path="shape">
            <a:fillToRect l="50000" t="50000" r="50000" b="50000"/>
          </a:path>
          <a:tileRect/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Удалить строку / контракт</a:t>
          </a:r>
          <a:r>
            <a:rPr lang="ru-RU" sz="3600" b="1" baseline="0">
              <a:solidFill>
                <a:schemeClr val="tx1"/>
              </a:solidFill>
            </a:rPr>
            <a:t> </a:t>
          </a:r>
          <a:endParaRPr lang="ru-RU" sz="3600" b="1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330776</xdr:colOff>
      <xdr:row>3</xdr:row>
      <xdr:rowOff>6924</xdr:rowOff>
    </xdr:from>
    <xdr:to>
      <xdr:col>13</xdr:col>
      <xdr:colOff>1061576</xdr:colOff>
      <xdr:row>3</xdr:row>
      <xdr:rowOff>501399</xdr:rowOff>
    </xdr:to>
    <xdr:sp macro="[0]!УдалитьСтрокуП5" textlink="">
      <xdr:nvSpPr>
        <xdr:cNvPr id="3" name="Скругленный прямоугольник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0142776" y="1016574"/>
          <a:ext cx="5760000" cy="494475"/>
        </a:xfrm>
        <a:prstGeom prst="roundRect">
          <a:avLst/>
        </a:prstGeom>
        <a:gradFill>
          <a:gsLst>
            <a:gs pos="79000">
              <a:srgbClr val="FF6D6D"/>
            </a:gs>
            <a:gs pos="100000">
              <a:srgbClr val="A30101"/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Удалить строку / контракт</a:t>
          </a:r>
        </a:p>
      </xdr:txBody>
    </xdr:sp>
    <xdr:clientData/>
  </xdr:twoCellAnchor>
  <xdr:twoCellAnchor editAs="absolute">
    <xdr:from>
      <xdr:col>6</xdr:col>
      <xdr:colOff>175778</xdr:colOff>
      <xdr:row>3</xdr:row>
      <xdr:rowOff>0</xdr:rowOff>
    </xdr:from>
    <xdr:to>
      <xdr:col>8</xdr:col>
      <xdr:colOff>1401878</xdr:colOff>
      <xdr:row>3</xdr:row>
      <xdr:rowOff>484950</xdr:rowOff>
    </xdr:to>
    <xdr:sp macro="[0]!ДобавитьКонтрактП5" textlink="">
      <xdr:nvSpPr>
        <xdr:cNvPr id="4" name="Скругленный прямоугольник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15278" y="990600"/>
          <a:ext cx="5760000" cy="504000"/>
        </a:xfrm>
        <a:prstGeom prst="roundRect">
          <a:avLst/>
        </a:prstGeom>
        <a:gradFill>
          <a:gsLst>
            <a:gs pos="79000">
              <a:srgbClr val="92D050"/>
            </a:gs>
            <a:gs pos="100000">
              <a:schemeClr val="accent3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Добавить</a:t>
          </a:r>
          <a:r>
            <a:rPr lang="ru-RU" sz="3600" b="1" baseline="0">
              <a:solidFill>
                <a:schemeClr val="tx1"/>
              </a:solidFill>
            </a:rPr>
            <a:t> контракт</a:t>
          </a:r>
          <a:endParaRPr lang="ru-RU" sz="3600" b="1">
            <a:solidFill>
              <a:schemeClr val="tx1"/>
            </a:solidFill>
          </a:endParaRPr>
        </a:p>
      </xdr:txBody>
    </xdr:sp>
    <xdr:clientData/>
  </xdr:twoCellAnchor>
  <xdr:twoCellAnchor editAs="absolute">
    <xdr:from>
      <xdr:col>14</xdr:col>
      <xdr:colOff>2327562</xdr:colOff>
      <xdr:row>3</xdr:row>
      <xdr:rowOff>0</xdr:rowOff>
    </xdr:from>
    <xdr:to>
      <xdr:col>18</xdr:col>
      <xdr:colOff>600912</xdr:colOff>
      <xdr:row>3</xdr:row>
      <xdr:rowOff>501534</xdr:rowOff>
    </xdr:to>
    <xdr:sp macro="[0]!ДобавитьППАктП5" textlink="">
      <xdr:nvSpPr>
        <xdr:cNvPr id="5" name="Скругленный прямоугольник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9054712" y="1009650"/>
          <a:ext cx="5760000" cy="509154"/>
        </a:xfrm>
        <a:prstGeom prst="roundRect">
          <a:avLst/>
        </a:prstGeom>
        <a:gradFill>
          <a:gsLst>
            <a:gs pos="79000">
              <a:srgbClr val="FFC000"/>
            </a:gs>
            <a:gs pos="100000">
              <a:schemeClr val="accent6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200" b="1">
              <a:solidFill>
                <a:schemeClr val="tx1"/>
              </a:solidFill>
            </a:rPr>
            <a:t>Добавить Акт/ПП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179790</xdr:colOff>
      <xdr:row>3</xdr:row>
      <xdr:rowOff>0</xdr:rowOff>
    </xdr:from>
    <xdr:to>
      <xdr:col>7</xdr:col>
      <xdr:colOff>110490</xdr:colOff>
      <xdr:row>3</xdr:row>
      <xdr:rowOff>499803</xdr:rowOff>
    </xdr:to>
    <xdr:sp macro="[0]!ДобавитьКонтрактSt93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6889200" y="1009650"/>
          <a:ext cx="5760000" cy="507423"/>
        </a:xfrm>
        <a:prstGeom prst="roundRect">
          <a:avLst/>
        </a:prstGeom>
        <a:gradFill>
          <a:gsLst>
            <a:gs pos="79000">
              <a:srgbClr val="92D050"/>
            </a:gs>
            <a:gs pos="100000">
              <a:schemeClr val="accent3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Добавить</a:t>
          </a:r>
          <a:r>
            <a:rPr lang="ru-RU" sz="3600" b="1" baseline="0">
              <a:solidFill>
                <a:schemeClr val="tx1"/>
              </a:solidFill>
            </a:rPr>
            <a:t> контракт</a:t>
          </a:r>
          <a:endParaRPr lang="ru-RU" sz="3600" b="1">
            <a:solidFill>
              <a:schemeClr val="tx1"/>
            </a:solidFill>
          </a:endParaRPr>
        </a:p>
      </xdr:txBody>
    </xdr:sp>
    <xdr:clientData/>
  </xdr:twoCellAnchor>
  <xdr:twoCellAnchor editAs="absolute">
    <xdr:from>
      <xdr:col>16</xdr:col>
      <xdr:colOff>167640</xdr:colOff>
      <xdr:row>3</xdr:row>
      <xdr:rowOff>0</xdr:rowOff>
    </xdr:from>
    <xdr:to>
      <xdr:col>19</xdr:col>
      <xdr:colOff>726990</xdr:colOff>
      <xdr:row>3</xdr:row>
      <xdr:rowOff>490104</xdr:rowOff>
    </xdr:to>
    <xdr:sp macro="[0]!ДобавитьППАктSt93" textlink="">
      <xdr:nvSpPr>
        <xdr:cNvPr id="5" name="Скругленный прямоугольник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30346650" y="990600"/>
          <a:ext cx="5760000" cy="509154"/>
        </a:xfrm>
        <a:prstGeom prst="roundRect">
          <a:avLst/>
        </a:prstGeom>
        <a:gradFill>
          <a:gsLst>
            <a:gs pos="79000">
              <a:srgbClr val="FFC000"/>
            </a:gs>
            <a:gs pos="100000">
              <a:schemeClr val="accent6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200" b="1">
              <a:solidFill>
                <a:schemeClr val="tx1"/>
              </a:solidFill>
            </a:rPr>
            <a:t>Добавить Акт/ПП</a:t>
          </a:r>
        </a:p>
      </xdr:txBody>
    </xdr:sp>
    <xdr:clientData/>
  </xdr:twoCellAnchor>
  <xdr:twoCellAnchor editAs="absolute">
    <xdr:from>
      <xdr:col>11</xdr:col>
      <xdr:colOff>174566</xdr:colOff>
      <xdr:row>3</xdr:row>
      <xdr:rowOff>0</xdr:rowOff>
    </xdr:from>
    <xdr:to>
      <xdr:col>13</xdr:col>
      <xdr:colOff>848216</xdr:colOff>
      <xdr:row>3</xdr:row>
      <xdr:rowOff>499802</xdr:rowOff>
    </xdr:to>
    <xdr:sp macro="[0]!УдалитьСтрокуSt93" textlink="">
      <xdr:nvSpPr>
        <xdr:cNvPr id="6" name="Скругленный прямоугольник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0352326" y="1009650"/>
          <a:ext cx="5760000" cy="507422"/>
        </a:xfrm>
        <a:prstGeom prst="roundRect">
          <a:avLst/>
        </a:prstGeom>
        <a:gradFill>
          <a:gsLst>
            <a:gs pos="79000">
              <a:srgbClr val="FF6D6D"/>
            </a:gs>
            <a:gs pos="100000">
              <a:srgbClr val="A30101"/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Удалить строку / контракт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564600</xdr:colOff>
      <xdr:row>3</xdr:row>
      <xdr:rowOff>29400</xdr:rowOff>
    </xdr:from>
    <xdr:to>
      <xdr:col>9</xdr:col>
      <xdr:colOff>1733550</xdr:colOff>
      <xdr:row>4</xdr:row>
      <xdr:rowOff>19050</xdr:rowOff>
    </xdr:to>
    <xdr:sp macro="[0]!ДобавитьКонтрактSEA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2909000" y="1039050"/>
          <a:ext cx="5760000" cy="504000"/>
        </a:xfrm>
        <a:prstGeom prst="roundRect">
          <a:avLst/>
        </a:prstGeom>
        <a:gradFill>
          <a:gsLst>
            <a:gs pos="79000">
              <a:srgbClr val="92D050"/>
            </a:gs>
            <a:gs pos="100000">
              <a:schemeClr val="accent3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Добавить</a:t>
          </a:r>
          <a:r>
            <a:rPr lang="ru-RU" sz="3600" b="1" baseline="0">
              <a:solidFill>
                <a:schemeClr val="tx1"/>
              </a:solidFill>
            </a:rPr>
            <a:t> контракт</a:t>
          </a:r>
          <a:endParaRPr lang="ru-RU" sz="3600" b="1">
            <a:solidFill>
              <a:schemeClr val="tx1"/>
            </a:solidFill>
          </a:endParaRPr>
        </a:p>
      </xdr:txBody>
    </xdr:sp>
    <xdr:clientData/>
  </xdr:twoCellAnchor>
  <xdr:twoCellAnchor editAs="absolute">
    <xdr:from>
      <xdr:col>13</xdr:col>
      <xdr:colOff>926550</xdr:colOff>
      <xdr:row>3</xdr:row>
      <xdr:rowOff>19050</xdr:rowOff>
    </xdr:from>
    <xdr:to>
      <xdr:col>16</xdr:col>
      <xdr:colOff>1295400</xdr:colOff>
      <xdr:row>4</xdr:row>
      <xdr:rowOff>8700</xdr:rowOff>
    </xdr:to>
    <xdr:sp macro="[0]!УдалитьСтрокуSEA" textlink="">
      <xdr:nvSpPr>
        <xdr:cNvPr id="3" name="Скругленный прямоугольник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24110400" y="1028700"/>
          <a:ext cx="5760000" cy="504000"/>
        </a:xfrm>
        <a:prstGeom prst="roundRect">
          <a:avLst/>
        </a:prstGeom>
        <a:gradFill>
          <a:gsLst>
            <a:gs pos="61000">
              <a:srgbClr val="FF6D6D"/>
            </a:gs>
            <a:gs pos="100000">
              <a:srgbClr val="A30101"/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Удалить строку / контракт</a:t>
          </a:r>
        </a:p>
      </xdr:txBody>
    </xdr:sp>
    <xdr:clientData/>
  </xdr:twoCellAnchor>
  <xdr:twoCellAnchor editAs="absolute">
    <xdr:from>
      <xdr:col>19</xdr:col>
      <xdr:colOff>2038350</xdr:colOff>
      <xdr:row>3</xdr:row>
      <xdr:rowOff>48450</xdr:rowOff>
    </xdr:from>
    <xdr:to>
      <xdr:col>23</xdr:col>
      <xdr:colOff>483150</xdr:colOff>
      <xdr:row>4</xdr:row>
      <xdr:rowOff>38100</xdr:rowOff>
    </xdr:to>
    <xdr:sp macro="[0]!ДобавитьППАктSEA" textlink="">
      <xdr:nvSpPr>
        <xdr:cNvPr id="4" name="Скругленный прямоугольник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35128200" y="1058100"/>
          <a:ext cx="5760000" cy="504000"/>
        </a:xfrm>
        <a:prstGeom prst="roundRect">
          <a:avLst/>
        </a:prstGeom>
        <a:gradFill>
          <a:gsLst>
            <a:gs pos="79000">
              <a:srgbClr val="FFC000"/>
            </a:gs>
            <a:gs pos="100000">
              <a:schemeClr val="accent6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200" b="1">
              <a:solidFill>
                <a:schemeClr val="tx1"/>
              </a:solidFill>
            </a:rPr>
            <a:t>Добавить Акт/ПП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1962150</xdr:colOff>
      <xdr:row>3</xdr:row>
      <xdr:rowOff>0</xdr:rowOff>
    </xdr:from>
    <xdr:to>
      <xdr:col>9</xdr:col>
      <xdr:colOff>883200</xdr:colOff>
      <xdr:row>4</xdr:row>
      <xdr:rowOff>1080</xdr:rowOff>
    </xdr:to>
    <xdr:sp macro="[0]!ДобавитьКонтрактNEA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2515850" y="1009650"/>
          <a:ext cx="5760000" cy="504000"/>
        </a:xfrm>
        <a:prstGeom prst="roundRect">
          <a:avLst/>
        </a:prstGeom>
        <a:gradFill>
          <a:gsLst>
            <a:gs pos="79000">
              <a:srgbClr val="92D050"/>
            </a:gs>
            <a:gs pos="100000">
              <a:schemeClr val="accent3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Добавить</a:t>
          </a:r>
          <a:r>
            <a:rPr lang="ru-RU" sz="3600" b="1" baseline="0">
              <a:solidFill>
                <a:schemeClr val="tx1"/>
              </a:solidFill>
            </a:rPr>
            <a:t> контракт</a:t>
          </a:r>
          <a:endParaRPr lang="ru-RU" sz="3600" b="1">
            <a:solidFill>
              <a:schemeClr val="tx1"/>
            </a:solidFill>
          </a:endParaRPr>
        </a:p>
      </xdr:txBody>
    </xdr:sp>
    <xdr:clientData/>
  </xdr:twoCellAnchor>
  <xdr:twoCellAnchor editAs="absolute">
    <xdr:from>
      <xdr:col>12</xdr:col>
      <xdr:colOff>1416626</xdr:colOff>
      <xdr:row>3</xdr:row>
      <xdr:rowOff>0</xdr:rowOff>
    </xdr:from>
    <xdr:to>
      <xdr:col>16</xdr:col>
      <xdr:colOff>70976</xdr:colOff>
      <xdr:row>4</xdr:row>
      <xdr:rowOff>1080</xdr:rowOff>
    </xdr:to>
    <xdr:sp macro="[0]!УдалитьСтрокуNEA" textlink="">
      <xdr:nvSpPr>
        <xdr:cNvPr id="5" name="Скругленный прямоугольник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23343176" y="1009650"/>
          <a:ext cx="5760000" cy="504000"/>
        </a:xfrm>
        <a:prstGeom prst="roundRect">
          <a:avLst/>
        </a:prstGeom>
        <a:gradFill>
          <a:gsLst>
            <a:gs pos="79000">
              <a:srgbClr val="FF6D6D"/>
            </a:gs>
            <a:gs pos="100000">
              <a:srgbClr val="A30101"/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Удалить строку / контракт</a:t>
          </a:r>
        </a:p>
      </xdr:txBody>
    </xdr:sp>
    <xdr:clientData/>
  </xdr:twoCellAnchor>
  <xdr:twoCellAnchor editAs="absolute">
    <xdr:from>
      <xdr:col>19</xdr:col>
      <xdr:colOff>819150</xdr:colOff>
      <xdr:row>2</xdr:row>
      <xdr:rowOff>209550</xdr:rowOff>
    </xdr:from>
    <xdr:to>
      <xdr:col>22</xdr:col>
      <xdr:colOff>864150</xdr:colOff>
      <xdr:row>3</xdr:row>
      <xdr:rowOff>465900</xdr:rowOff>
    </xdr:to>
    <xdr:sp macro="[0]!ДобавитьППАктNEA" textlink="">
      <xdr:nvSpPr>
        <xdr:cNvPr id="7" name="Скругленный прямоугольник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/>
      </xdr:nvSpPr>
      <xdr:spPr>
        <a:xfrm>
          <a:off x="34709100" y="971550"/>
          <a:ext cx="5760000" cy="504000"/>
        </a:xfrm>
        <a:prstGeom prst="roundRect">
          <a:avLst/>
        </a:prstGeom>
        <a:gradFill>
          <a:gsLst>
            <a:gs pos="79000">
              <a:srgbClr val="FFC000"/>
            </a:gs>
            <a:gs pos="100000">
              <a:schemeClr val="accent6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200" b="1">
              <a:solidFill>
                <a:schemeClr val="tx1"/>
              </a:solidFill>
            </a:rPr>
            <a:t>Добавить Акт/ПП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880628</xdr:colOff>
      <xdr:row>3</xdr:row>
      <xdr:rowOff>0</xdr:rowOff>
    </xdr:from>
    <xdr:to>
      <xdr:col>8</xdr:col>
      <xdr:colOff>1420928</xdr:colOff>
      <xdr:row>4</xdr:row>
      <xdr:rowOff>1080</xdr:rowOff>
    </xdr:to>
    <xdr:sp macro="[0]!ДобавитьКонтрактIKZ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1358128" y="1009650"/>
          <a:ext cx="5760000" cy="504000"/>
        </a:xfrm>
        <a:prstGeom prst="roundRect">
          <a:avLst/>
        </a:prstGeom>
        <a:gradFill>
          <a:gsLst>
            <a:gs pos="79000">
              <a:srgbClr val="92D050"/>
            </a:gs>
            <a:gs pos="100000">
              <a:schemeClr val="accent3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Добавить</a:t>
          </a:r>
          <a:r>
            <a:rPr lang="ru-RU" sz="3600" b="1" baseline="0">
              <a:solidFill>
                <a:schemeClr val="tx1"/>
              </a:solidFill>
            </a:rPr>
            <a:t> контракт</a:t>
          </a:r>
          <a:endParaRPr lang="ru-RU" sz="3600" b="1">
            <a:solidFill>
              <a:schemeClr val="tx1"/>
            </a:solidFill>
          </a:endParaRPr>
        </a:p>
      </xdr:txBody>
    </xdr:sp>
    <xdr:clientData/>
  </xdr:twoCellAnchor>
  <xdr:twoCellAnchor editAs="absolute">
    <xdr:from>
      <xdr:col>12</xdr:col>
      <xdr:colOff>1409700</xdr:colOff>
      <xdr:row>3</xdr:row>
      <xdr:rowOff>10350</xdr:rowOff>
    </xdr:from>
    <xdr:to>
      <xdr:col>16</xdr:col>
      <xdr:colOff>64050</xdr:colOff>
      <xdr:row>4</xdr:row>
      <xdr:rowOff>0</xdr:rowOff>
    </xdr:to>
    <xdr:sp macro="[0]!УдалитьСтрокуIKZ" textlink="">
      <xdr:nvSpPr>
        <xdr:cNvPr id="3" name="Скругленный прямоугольник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3260050" y="1020000"/>
          <a:ext cx="5760000" cy="504000"/>
        </a:xfrm>
        <a:prstGeom prst="roundRect">
          <a:avLst/>
        </a:prstGeom>
        <a:gradFill>
          <a:gsLst>
            <a:gs pos="79000">
              <a:srgbClr val="FF6D6D"/>
            </a:gs>
            <a:gs pos="100000">
              <a:srgbClr val="A30101"/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600" b="1">
              <a:solidFill>
                <a:schemeClr val="tx1"/>
              </a:solidFill>
            </a:rPr>
            <a:t>Удалить строку / контракт</a:t>
          </a:r>
        </a:p>
      </xdr:txBody>
    </xdr:sp>
    <xdr:clientData fPrintsWithSheet="0"/>
  </xdr:twoCellAnchor>
  <xdr:twoCellAnchor editAs="absolute">
    <xdr:from>
      <xdr:col>19</xdr:col>
      <xdr:colOff>1136100</xdr:colOff>
      <xdr:row>3</xdr:row>
      <xdr:rowOff>10350</xdr:rowOff>
    </xdr:from>
    <xdr:to>
      <xdr:col>22</xdr:col>
      <xdr:colOff>1219200</xdr:colOff>
      <xdr:row>4</xdr:row>
      <xdr:rowOff>0</xdr:rowOff>
    </xdr:to>
    <xdr:sp macro="[0]!ДобавитьППАктIKZ" textlink="">
      <xdr:nvSpPr>
        <xdr:cNvPr id="4" name="Скругленный прямоугольник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34606950" y="1020000"/>
          <a:ext cx="5760000" cy="504000"/>
        </a:xfrm>
        <a:prstGeom prst="roundRect">
          <a:avLst/>
        </a:prstGeom>
        <a:gradFill>
          <a:gsLst>
            <a:gs pos="79000">
              <a:srgbClr val="FFC000"/>
            </a:gs>
            <a:gs pos="100000">
              <a:schemeClr val="accent6">
                <a:lumMod val="50000"/>
              </a:schemeClr>
            </a:gs>
          </a:gsLst>
          <a:path path="shape">
            <a:fillToRect l="50000" t="50000" r="50000" b="50000"/>
          </a:path>
        </a:gradFill>
        <a:ln w="317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ru-RU" sz="3200" b="1">
              <a:solidFill>
                <a:schemeClr val="tx1"/>
              </a:solidFill>
            </a:rPr>
            <a:t>Добавить Акт/ПП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rgb="FFFFFF00"/>
  </sheetPr>
  <dimension ref="A1:W20"/>
  <sheetViews>
    <sheetView showGridLines="0" zoomScale="70" zoomScaleNormal="70" workbookViewId="0">
      <selection activeCell="G8" sqref="G8:I8"/>
    </sheetView>
  </sheetViews>
  <sheetFormatPr defaultColWidth="0" defaultRowHeight="15" x14ac:dyDescent="0.25"/>
  <cols>
    <col min="1" max="2" width="9.140625" style="8" customWidth="1"/>
    <col min="3" max="3" width="25.42578125" style="8" customWidth="1"/>
    <col min="4" max="5" width="9.140625" style="8" customWidth="1"/>
    <col min="6" max="6" width="11.5703125" style="8" customWidth="1"/>
    <col min="7" max="7" width="19" style="8" customWidth="1"/>
    <col min="8" max="8" width="6.5703125" style="8" customWidth="1"/>
    <col min="9" max="9" width="5.5703125" style="8" customWidth="1"/>
    <col min="10" max="10" width="15" style="8" customWidth="1"/>
    <col min="11" max="11" width="14.85546875" style="8" customWidth="1"/>
    <col min="12" max="12" width="21.42578125" style="8" customWidth="1"/>
    <col min="13" max="13" width="10.140625" style="8" customWidth="1"/>
    <col min="14" max="14" width="17.140625" style="8" bestFit="1" customWidth="1"/>
    <col min="15" max="22" width="9.140625" style="8" hidden="1" customWidth="1"/>
    <col min="23" max="23" width="30.5703125" style="8" hidden="1" customWidth="1"/>
    <col min="24" max="16384" width="9.140625" style="8" hidden="1"/>
  </cols>
  <sheetData>
    <row r="1" spans="1:14" ht="73.5" customHeight="1" thickBot="1" x14ac:dyDescent="0.3">
      <c r="A1" s="433" t="s">
        <v>141</v>
      </c>
      <c r="B1" s="434"/>
      <c r="C1" s="434"/>
      <c r="D1" s="434"/>
      <c r="E1" s="435" t="s">
        <v>145</v>
      </c>
      <c r="F1" s="436"/>
      <c r="G1" s="436"/>
      <c r="H1" s="436"/>
      <c r="I1" s="436"/>
      <c r="J1" s="436"/>
      <c r="K1" s="436"/>
      <c r="L1" s="436"/>
      <c r="M1" s="436"/>
      <c r="N1" s="437"/>
    </row>
    <row r="3" spans="1:14" ht="15.75" thickBot="1" x14ac:dyDescent="0.3">
      <c r="I3" s="16"/>
      <c r="J3" s="16"/>
      <c r="K3" s="16"/>
      <c r="L3" s="16"/>
      <c r="M3" s="16"/>
      <c r="N3" s="16"/>
    </row>
    <row r="4" spans="1:14" ht="32.25" customHeight="1" thickBot="1" x14ac:dyDescent="0.3">
      <c r="A4" s="471" t="s">
        <v>25</v>
      </c>
      <c r="B4" s="472"/>
      <c r="C4" s="4">
        <v>8164083.96</v>
      </c>
      <c r="D4" s="5"/>
      <c r="E4" s="473" t="s">
        <v>140</v>
      </c>
      <c r="F4" s="474"/>
      <c r="G4" s="475"/>
      <c r="H4" s="476">
        <v>2000000</v>
      </c>
      <c r="I4" s="477"/>
      <c r="J4" s="478"/>
      <c r="K4" s="17"/>
      <c r="L4" s="76" t="s">
        <v>55</v>
      </c>
      <c r="M4" s="473">
        <v>2868449.95</v>
      </c>
      <c r="N4" s="475"/>
    </row>
    <row r="5" spans="1:14" ht="30.75" customHeight="1" thickBot="1" x14ac:dyDescent="0.3">
      <c r="A5" s="471" t="s">
        <v>26</v>
      </c>
      <c r="B5" s="472"/>
      <c r="C5" s="6">
        <f>C4-G15+J15</f>
        <v>3726947.9049999993</v>
      </c>
      <c r="D5" s="5"/>
      <c r="E5" s="473" t="s">
        <v>53</v>
      </c>
      <c r="F5" s="474"/>
      <c r="G5" s="475"/>
      <c r="H5" s="466">
        <f>H4-G12</f>
        <v>1971110</v>
      </c>
      <c r="I5" s="467"/>
      <c r="J5" s="468"/>
      <c r="K5" s="17"/>
      <c r="L5" s="76" t="s">
        <v>54</v>
      </c>
      <c r="M5" s="469">
        <f>M4-G13</f>
        <v>1256431.9700000002</v>
      </c>
      <c r="N5" s="470"/>
    </row>
    <row r="6" spans="1:14" x14ac:dyDescent="0.25">
      <c r="C6" s="7"/>
      <c r="D6" s="9"/>
      <c r="E6" s="9"/>
      <c r="F6" s="9"/>
      <c r="G6" s="9"/>
      <c r="H6" s="9"/>
      <c r="I6" s="9"/>
      <c r="J6" s="9"/>
      <c r="K6" s="9"/>
      <c r="L6" s="9"/>
    </row>
    <row r="7" spans="1:14" ht="15.75" thickBot="1" x14ac:dyDescent="0.3"/>
    <row r="8" spans="1:14" ht="72" customHeight="1" thickBot="1" x14ac:dyDescent="0.3">
      <c r="A8" s="479" t="s">
        <v>27</v>
      </c>
      <c r="B8" s="480"/>
      <c r="C8" s="481"/>
      <c r="D8" s="479" t="s">
        <v>28</v>
      </c>
      <c r="E8" s="480"/>
      <c r="F8" s="481"/>
      <c r="G8" s="482" t="s">
        <v>29</v>
      </c>
      <c r="H8" s="483"/>
      <c r="I8" s="484"/>
      <c r="J8" s="482" t="s">
        <v>142</v>
      </c>
      <c r="K8" s="483"/>
      <c r="L8" s="484"/>
      <c r="M8" s="479" t="s">
        <v>30</v>
      </c>
      <c r="N8" s="481"/>
    </row>
    <row r="9" spans="1:14" ht="41.25" customHeight="1" thickBot="1" x14ac:dyDescent="0.3">
      <c r="A9" s="457" t="s">
        <v>31</v>
      </c>
      <c r="B9" s="458"/>
      <c r="C9" s="459"/>
      <c r="D9" s="456">
        <f>'Состоявшиеся аукционы'!G2</f>
        <v>740880</v>
      </c>
      <c r="E9" s="456"/>
      <c r="F9" s="456"/>
      <c r="G9" s="456">
        <f>'Состоявшиеся аукционы'!Q2</f>
        <v>674200.8</v>
      </c>
      <c r="H9" s="456"/>
      <c r="I9" s="456"/>
      <c r="J9" s="453">
        <f>'Состоявшиеся аукционы'!AB2</f>
        <v>0</v>
      </c>
      <c r="K9" s="454"/>
      <c r="L9" s="455"/>
      <c r="M9" s="456">
        <f t="shared" ref="M9:M15" si="0">D9-G9</f>
        <v>66679.199999999953</v>
      </c>
      <c r="N9" s="456"/>
    </row>
    <row r="10" spans="1:14" ht="78.75" customHeight="1" thickBot="1" x14ac:dyDescent="0.3">
      <c r="A10" s="457" t="s">
        <v>49</v>
      </c>
      <c r="B10" s="458"/>
      <c r="C10" s="459"/>
      <c r="D10" s="456">
        <f>'Несостоявшиеся аукционы'!G2</f>
        <v>847247.54</v>
      </c>
      <c r="E10" s="456"/>
      <c r="F10" s="456"/>
      <c r="G10" s="456">
        <f>'Несостоявшиеся аукционы'!Q2</f>
        <v>847247.54</v>
      </c>
      <c r="H10" s="456"/>
      <c r="I10" s="456"/>
      <c r="J10" s="453">
        <f>'Несостоявшиеся аукционы'!AB2</f>
        <v>0</v>
      </c>
      <c r="K10" s="454"/>
      <c r="L10" s="455"/>
      <c r="M10" s="456">
        <f t="shared" si="0"/>
        <v>0</v>
      </c>
      <c r="N10" s="456"/>
    </row>
    <row r="11" spans="1:14" ht="40.5" customHeight="1" thickBot="1" x14ac:dyDescent="0.3">
      <c r="A11" s="457" t="s">
        <v>83</v>
      </c>
      <c r="B11" s="458"/>
      <c r="C11" s="459"/>
      <c r="D11" s="453">
        <f>'Иные конкурентные закупки'!G2</f>
        <v>0</v>
      </c>
      <c r="E11" s="454"/>
      <c r="F11" s="455"/>
      <c r="G11" s="453">
        <f>'Иные конкурентные закупки'!Q2</f>
        <v>0</v>
      </c>
      <c r="H11" s="454"/>
      <c r="I11" s="455"/>
      <c r="J11" s="453">
        <f>'Иные конкурентные закупки'!AB2</f>
        <v>0</v>
      </c>
      <c r="K11" s="454"/>
      <c r="L11" s="455"/>
      <c r="M11" s="453">
        <f t="shared" si="0"/>
        <v>0</v>
      </c>
      <c r="N11" s="455"/>
    </row>
    <row r="12" spans="1:14" ht="54.75" customHeight="1" thickBot="1" x14ac:dyDescent="0.3">
      <c r="A12" s="460" t="s">
        <v>50</v>
      </c>
      <c r="B12" s="461"/>
      <c r="C12" s="462"/>
      <c r="D12" s="456">
        <f>'Ед. поставщик п.4 ч.1'!H2</f>
        <v>28890</v>
      </c>
      <c r="E12" s="456"/>
      <c r="F12" s="456"/>
      <c r="G12" s="456">
        <f>D12</f>
        <v>28890</v>
      </c>
      <c r="H12" s="456"/>
      <c r="I12" s="456"/>
      <c r="J12" s="453">
        <f>'Ед. поставщик п.4 ч.1'!V2</f>
        <v>0</v>
      </c>
      <c r="K12" s="454"/>
      <c r="L12" s="455"/>
      <c r="M12" s="456">
        <f t="shared" si="0"/>
        <v>0</v>
      </c>
      <c r="N12" s="456"/>
    </row>
    <row r="13" spans="1:14" ht="45.75" customHeight="1" thickBot="1" x14ac:dyDescent="0.3">
      <c r="A13" s="460" t="s">
        <v>51</v>
      </c>
      <c r="B13" s="461"/>
      <c r="C13" s="462"/>
      <c r="D13" s="456">
        <f>'Ед. поставщик п.5 ч.1'!H2</f>
        <v>1612017.98</v>
      </c>
      <c r="E13" s="456"/>
      <c r="F13" s="456"/>
      <c r="G13" s="456">
        <f>D13</f>
        <v>1612017.98</v>
      </c>
      <c r="H13" s="456"/>
      <c r="I13" s="456"/>
      <c r="J13" s="453">
        <f>'Ед. поставщик п.5 ч.1'!V2</f>
        <v>62563.8</v>
      </c>
      <c r="K13" s="454"/>
      <c r="L13" s="455"/>
      <c r="M13" s="456">
        <f t="shared" si="0"/>
        <v>0</v>
      </c>
      <c r="N13" s="456"/>
    </row>
    <row r="14" spans="1:14" ht="45.75" customHeight="1" thickBot="1" x14ac:dyDescent="0.3">
      <c r="A14" s="450" t="s">
        <v>52</v>
      </c>
      <c r="B14" s="451"/>
      <c r="C14" s="452"/>
      <c r="D14" s="453">
        <f>'Ед.поставщик за искл. п.4,5 ч.1'!G2</f>
        <v>1337343.5350000001</v>
      </c>
      <c r="E14" s="454"/>
      <c r="F14" s="455"/>
      <c r="G14" s="453">
        <f>D14</f>
        <v>1337343.5350000001</v>
      </c>
      <c r="H14" s="454"/>
      <c r="I14" s="455"/>
      <c r="J14" s="453">
        <f>'Ед.поставщик за искл. п.4,5 ч.1'!T2</f>
        <v>0</v>
      </c>
      <c r="K14" s="454"/>
      <c r="L14" s="455"/>
      <c r="M14" s="456">
        <f t="shared" si="0"/>
        <v>0</v>
      </c>
      <c r="N14" s="456"/>
    </row>
    <row r="15" spans="1:14" ht="21" thickBot="1" x14ac:dyDescent="0.3">
      <c r="A15" s="463" t="s">
        <v>146</v>
      </c>
      <c r="B15" s="464"/>
      <c r="C15" s="465"/>
      <c r="D15" s="456">
        <f>SUM(D9:D14)</f>
        <v>4566379.0549999997</v>
      </c>
      <c r="E15" s="456"/>
      <c r="F15" s="456"/>
      <c r="G15" s="453">
        <f>SUM(G9:G14)</f>
        <v>4499699.8550000004</v>
      </c>
      <c r="H15" s="454"/>
      <c r="I15" s="455"/>
      <c r="J15" s="453">
        <f>SUM(J9:J14)</f>
        <v>62563.8</v>
      </c>
      <c r="K15" s="454"/>
      <c r="L15" s="455"/>
      <c r="M15" s="456">
        <f t="shared" si="0"/>
        <v>66679.199999999255</v>
      </c>
      <c r="N15" s="456"/>
    </row>
    <row r="18" spans="1:12" ht="15.75" thickBot="1" x14ac:dyDescent="0.3"/>
    <row r="19" spans="1:12" ht="23.25" customHeight="1" x14ac:dyDescent="0.25">
      <c r="A19" s="438" t="s">
        <v>35</v>
      </c>
      <c r="B19" s="439"/>
      <c r="C19" s="440"/>
      <c r="D19" s="444">
        <f>'Ед. поставщик п.4 ч.1'!P2+'Ед. поставщик п.5 ч.1'!P2+'Ед.поставщик за искл. п.4,5 ч.1'!N2+'Состоявшиеся аукционы'!V2+'Несостоявшиеся аукционы'!V2+'Иные конкурентные закупки'!V2</f>
        <v>1616157.27</v>
      </c>
      <c r="E19" s="445"/>
      <c r="F19" s="445"/>
      <c r="G19" s="446"/>
      <c r="I19" s="15"/>
      <c r="J19" s="15"/>
      <c r="K19" s="15"/>
      <c r="L19" s="15"/>
    </row>
    <row r="20" spans="1:12" ht="24" customHeight="1" thickBot="1" x14ac:dyDescent="0.3">
      <c r="A20" s="441"/>
      <c r="B20" s="442"/>
      <c r="C20" s="443"/>
      <c r="D20" s="447"/>
      <c r="E20" s="448"/>
      <c r="F20" s="448"/>
      <c r="G20" s="449"/>
      <c r="I20" s="15"/>
      <c r="J20" s="15"/>
      <c r="K20" s="15"/>
      <c r="L20" s="15"/>
    </row>
  </sheetData>
  <mergeCells count="52">
    <mergeCell ref="H5:J5"/>
    <mergeCell ref="M5:N5"/>
    <mergeCell ref="M11:N11"/>
    <mergeCell ref="J11:L11"/>
    <mergeCell ref="A4:B4"/>
    <mergeCell ref="E4:G4"/>
    <mergeCell ref="H4:J4"/>
    <mergeCell ref="M4:N4"/>
    <mergeCell ref="A5:B5"/>
    <mergeCell ref="A8:C8"/>
    <mergeCell ref="D8:F8"/>
    <mergeCell ref="G8:I8"/>
    <mergeCell ref="M8:N8"/>
    <mergeCell ref="J8:L8"/>
    <mergeCell ref="E5:G5"/>
    <mergeCell ref="A10:C10"/>
    <mergeCell ref="D10:F10"/>
    <mergeCell ref="G10:I10"/>
    <mergeCell ref="M10:N10"/>
    <mergeCell ref="J10:L10"/>
    <mergeCell ref="A9:C9"/>
    <mergeCell ref="D9:F9"/>
    <mergeCell ref="G9:I9"/>
    <mergeCell ref="M9:N9"/>
    <mergeCell ref="J9:L9"/>
    <mergeCell ref="J13:L13"/>
    <mergeCell ref="A15:C15"/>
    <mergeCell ref="D15:F15"/>
    <mergeCell ref="G15:I15"/>
    <mergeCell ref="M15:N15"/>
    <mergeCell ref="J15:L15"/>
    <mergeCell ref="A13:C13"/>
    <mergeCell ref="D13:F13"/>
    <mergeCell ref="G13:I13"/>
    <mergeCell ref="J14:L14"/>
    <mergeCell ref="M14:N14"/>
    <mergeCell ref="A1:D1"/>
    <mergeCell ref="E1:N1"/>
    <mergeCell ref="A19:C20"/>
    <mergeCell ref="D19:G20"/>
    <mergeCell ref="A14:C14"/>
    <mergeCell ref="D14:F14"/>
    <mergeCell ref="G14:I14"/>
    <mergeCell ref="M12:N12"/>
    <mergeCell ref="J12:L12"/>
    <mergeCell ref="A11:C11"/>
    <mergeCell ref="D11:F11"/>
    <mergeCell ref="G11:I11"/>
    <mergeCell ref="G12:I12"/>
    <mergeCell ref="A12:C12"/>
    <mergeCell ref="D12:F12"/>
    <mergeCell ref="M13: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tabColor rgb="FFFF0000"/>
  </sheetPr>
  <dimension ref="A1:X13"/>
  <sheetViews>
    <sheetView showGridLines="0" topLeftCell="G1" zoomScale="50" zoomScaleNormal="50" workbookViewId="0">
      <pane ySplit="8" topLeftCell="A10" activePane="bottomLeft" state="frozen"/>
      <selection activeCell="I1" sqref="I1"/>
      <selection pane="bottomLeft" activeCell="P14" sqref="P14"/>
    </sheetView>
  </sheetViews>
  <sheetFormatPr defaultColWidth="0" defaultRowHeight="18.75" x14ac:dyDescent="0.25"/>
  <cols>
    <col min="1" max="1" width="9.140625" style="83" customWidth="1"/>
    <col min="2" max="3" width="35" style="3" customWidth="1"/>
    <col min="4" max="4" width="32.85546875" style="3" customWidth="1"/>
    <col min="5" max="5" width="24.5703125" style="11" customWidth="1"/>
    <col min="6" max="6" width="27.5703125" style="3" customWidth="1"/>
    <col min="7" max="7" width="49.140625" style="3" customWidth="1"/>
    <col min="8" max="8" width="26.85546875" style="10" customWidth="1"/>
    <col min="9" max="9" width="21.85546875" style="10" customWidth="1"/>
    <col min="10" max="10" width="33.5703125" style="3" customWidth="1"/>
    <col min="11" max="12" width="28.42578125" style="3" customWidth="1"/>
    <col min="13" max="13" width="34.85546875" style="3" customWidth="1"/>
    <col min="14" max="14" width="28.85546875" style="11" customWidth="1"/>
    <col min="15" max="15" width="28.85546875" style="3" customWidth="1"/>
    <col min="16" max="16" width="24" style="26" customWidth="1"/>
    <col min="17" max="17" width="24" style="11" bestFit="1" customWidth="1"/>
    <col min="18" max="18" width="23.42578125" style="2" customWidth="1"/>
    <col min="19" max="20" width="23.5703125" style="2" customWidth="1"/>
    <col min="21" max="21" width="24.5703125" style="11" customWidth="1"/>
    <col min="22" max="22" width="25.5703125" style="26" customWidth="1"/>
    <col min="23" max="23" width="17.5703125" style="2" customWidth="1"/>
    <col min="24" max="16384" width="9.140625" style="2" hidden="1"/>
  </cols>
  <sheetData>
    <row r="1" spans="1:24" ht="19.5" thickBot="1" x14ac:dyDescent="0.3"/>
    <row r="2" spans="1:24" ht="39.950000000000003" customHeight="1" thickBot="1" x14ac:dyDescent="0.3">
      <c r="A2" s="93"/>
      <c r="B2" s="65"/>
      <c r="C2" s="65"/>
      <c r="D2" s="65"/>
      <c r="E2" s="65"/>
      <c r="F2" s="10"/>
      <c r="G2" s="78" t="s">
        <v>24</v>
      </c>
      <c r="H2" s="75">
        <f>SUM(H9:H9999)</f>
        <v>28890</v>
      </c>
      <c r="K2" s="485"/>
      <c r="L2" s="485"/>
      <c r="M2" s="485"/>
      <c r="N2" s="486" t="s">
        <v>137</v>
      </c>
      <c r="O2" s="488"/>
      <c r="P2" s="66">
        <f>SUM(P9:P9999)</f>
        <v>28890</v>
      </c>
      <c r="R2" s="65"/>
      <c r="S2" s="486" t="s">
        <v>45</v>
      </c>
      <c r="T2" s="487"/>
      <c r="U2" s="488"/>
      <c r="V2" s="67">
        <f>SUM(V9:V9999)</f>
        <v>0</v>
      </c>
    </row>
    <row r="3" spans="1:24" x14ac:dyDescent="0.25">
      <c r="A3" s="485"/>
      <c r="B3" s="485"/>
      <c r="C3" s="485"/>
      <c r="D3" s="485"/>
      <c r="E3" s="485"/>
      <c r="N3" s="65"/>
    </row>
    <row r="4" spans="1:24" ht="39.950000000000003" customHeight="1" x14ac:dyDescent="0.25">
      <c r="J4" s="489"/>
      <c r="K4" s="489"/>
      <c r="M4" s="489"/>
      <c r="N4" s="489"/>
      <c r="O4" s="489"/>
      <c r="P4" s="489"/>
    </row>
    <row r="6" spans="1:24" ht="159" customHeight="1" x14ac:dyDescent="0.25">
      <c r="A6" s="94" t="s">
        <v>8</v>
      </c>
      <c r="B6" s="50" t="s">
        <v>47</v>
      </c>
      <c r="C6" s="50" t="s">
        <v>144</v>
      </c>
      <c r="D6" s="50" t="s">
        <v>10</v>
      </c>
      <c r="E6" s="49" t="s">
        <v>1</v>
      </c>
      <c r="F6" s="50" t="s">
        <v>2</v>
      </c>
      <c r="G6" s="50" t="s">
        <v>3</v>
      </c>
      <c r="H6" s="52" t="s">
        <v>4</v>
      </c>
      <c r="I6" s="52" t="s">
        <v>22</v>
      </c>
      <c r="J6" s="50" t="s">
        <v>46</v>
      </c>
      <c r="K6" s="50" t="s">
        <v>5</v>
      </c>
      <c r="L6" s="50" t="s">
        <v>82</v>
      </c>
      <c r="M6" s="50" t="s">
        <v>44</v>
      </c>
      <c r="N6" s="49" t="s">
        <v>7</v>
      </c>
      <c r="O6" s="50" t="s">
        <v>6</v>
      </c>
      <c r="P6" s="51" t="s">
        <v>23</v>
      </c>
      <c r="Q6" s="49" t="s">
        <v>9</v>
      </c>
      <c r="R6" s="48" t="s">
        <v>40</v>
      </c>
      <c r="S6" s="48" t="s">
        <v>103</v>
      </c>
      <c r="T6" s="48" t="s">
        <v>104</v>
      </c>
      <c r="U6" s="49" t="s">
        <v>41</v>
      </c>
      <c r="V6" s="51" t="s">
        <v>105</v>
      </c>
      <c r="W6" s="98" t="s">
        <v>42</v>
      </c>
    </row>
    <row r="7" spans="1:24" x14ac:dyDescent="0.25">
      <c r="A7" s="81" t="s">
        <v>36</v>
      </c>
      <c r="B7" s="57" t="s">
        <v>110</v>
      </c>
      <c r="C7" s="57" t="s">
        <v>111</v>
      </c>
      <c r="D7" s="57" t="s">
        <v>112</v>
      </c>
      <c r="E7" s="57" t="s">
        <v>113</v>
      </c>
      <c r="F7" s="57" t="s">
        <v>114</v>
      </c>
      <c r="G7" s="57" t="s">
        <v>115</v>
      </c>
      <c r="H7" s="57" t="s">
        <v>116</v>
      </c>
      <c r="I7" s="57" t="s">
        <v>117</v>
      </c>
      <c r="J7" s="57" t="s">
        <v>118</v>
      </c>
      <c r="K7" s="57" t="s">
        <v>119</v>
      </c>
      <c r="L7" s="57" t="s">
        <v>120</v>
      </c>
      <c r="M7" s="57" t="s">
        <v>121</v>
      </c>
      <c r="N7" s="57" t="s">
        <v>122</v>
      </c>
      <c r="O7" s="57" t="s">
        <v>123</v>
      </c>
      <c r="P7" s="57" t="s">
        <v>124</v>
      </c>
      <c r="Q7" s="57" t="s">
        <v>125</v>
      </c>
      <c r="R7" s="57" t="s">
        <v>126</v>
      </c>
      <c r="S7" s="57" t="s">
        <v>127</v>
      </c>
      <c r="T7" s="57" t="s">
        <v>128</v>
      </c>
      <c r="U7" s="57" t="s">
        <v>129</v>
      </c>
      <c r="V7" s="57" t="s">
        <v>130</v>
      </c>
      <c r="W7" s="99" t="s">
        <v>131</v>
      </c>
    </row>
    <row r="8" spans="1:24" s="14" customFormat="1" ht="114" hidden="1" customHeight="1" x14ac:dyDescent="0.25">
      <c r="A8" s="95">
        <v>1</v>
      </c>
      <c r="B8" s="53" t="s">
        <v>56</v>
      </c>
      <c r="C8" s="53"/>
      <c r="D8" s="53" t="s">
        <v>58</v>
      </c>
      <c r="E8" s="54" t="s">
        <v>57</v>
      </c>
      <c r="F8" s="54" t="s">
        <v>107</v>
      </c>
      <c r="G8" s="53" t="s">
        <v>59</v>
      </c>
      <c r="H8" s="58">
        <v>20000</v>
      </c>
      <c r="I8" s="58">
        <f>H8-P8</f>
        <v>0</v>
      </c>
      <c r="J8" s="53" t="s">
        <v>60</v>
      </c>
      <c r="K8" s="53" t="s">
        <v>61</v>
      </c>
      <c r="L8" s="53"/>
      <c r="M8" s="53" t="s">
        <v>62</v>
      </c>
      <c r="N8" s="54">
        <v>43840</v>
      </c>
      <c r="O8" s="53" t="s">
        <v>143</v>
      </c>
      <c r="P8" s="79">
        <v>20000</v>
      </c>
      <c r="Q8" s="54">
        <v>43840</v>
      </c>
      <c r="R8" s="53"/>
      <c r="S8" s="58"/>
      <c r="T8" s="58"/>
      <c r="U8" s="54"/>
      <c r="V8" s="58"/>
      <c r="W8" s="100" t="s">
        <v>64</v>
      </c>
    </row>
    <row r="9" spans="1:24" s="80" customFormat="1" ht="75" x14ac:dyDescent="0.25">
      <c r="A9" s="215">
        <v>1</v>
      </c>
      <c r="B9" s="222" t="s">
        <v>56</v>
      </c>
      <c r="C9" s="217" t="s">
        <v>147</v>
      </c>
      <c r="D9" s="217" t="s">
        <v>153</v>
      </c>
      <c r="E9" s="217">
        <v>10113</v>
      </c>
      <c r="F9" s="221">
        <v>45702</v>
      </c>
      <c r="G9" s="217" t="s">
        <v>232</v>
      </c>
      <c r="H9" s="220">
        <v>7000</v>
      </c>
      <c r="I9" s="216">
        <f>IF(X9 = 124, H9 + SUM(S9:S9) - SUM(T9:T9) - SUM(P9:P9) - V9,0)</f>
        <v>0</v>
      </c>
      <c r="J9" s="217" t="s">
        <v>233</v>
      </c>
      <c r="K9" s="217" t="s">
        <v>234</v>
      </c>
      <c r="L9" s="217" t="s">
        <v>147</v>
      </c>
      <c r="M9" s="217" t="s">
        <v>235</v>
      </c>
      <c r="N9" s="221">
        <v>45702</v>
      </c>
      <c r="O9" s="221" t="s">
        <v>236</v>
      </c>
      <c r="P9" s="238">
        <v>7000</v>
      </c>
      <c r="Q9" s="218">
        <v>45706</v>
      </c>
      <c r="R9" s="217"/>
      <c r="S9" s="220"/>
      <c r="T9" s="220"/>
      <c r="U9" s="220"/>
      <c r="V9" s="219"/>
      <c r="W9" s="214"/>
      <c r="X9" s="80">
        <v>124</v>
      </c>
    </row>
    <row r="10" spans="1:24" s="80" customFormat="1" ht="93.75" x14ac:dyDescent="0.25">
      <c r="A10" s="258">
        <v>2</v>
      </c>
      <c r="B10" s="222" t="s">
        <v>56</v>
      </c>
      <c r="C10" s="260" t="s">
        <v>147</v>
      </c>
      <c r="D10" s="217" t="s">
        <v>153</v>
      </c>
      <c r="E10" s="260" t="s">
        <v>248</v>
      </c>
      <c r="F10" s="274">
        <v>45692</v>
      </c>
      <c r="G10" s="260" t="s">
        <v>249</v>
      </c>
      <c r="H10" s="259">
        <v>2400</v>
      </c>
      <c r="I10" s="263">
        <f>IF(X10 = 125, H10 + SUM(S10:S10) - SUM(T10:T10) - SUM(P10:P10) - V10,0)</f>
        <v>0</v>
      </c>
      <c r="J10" s="260" t="s">
        <v>250</v>
      </c>
      <c r="K10" s="260" t="s">
        <v>251</v>
      </c>
      <c r="L10" s="260" t="s">
        <v>147</v>
      </c>
      <c r="M10" s="260" t="s">
        <v>252</v>
      </c>
      <c r="N10" s="274">
        <v>45692</v>
      </c>
      <c r="O10" s="221" t="s">
        <v>253</v>
      </c>
      <c r="P10" s="275">
        <v>2400</v>
      </c>
      <c r="Q10" s="262">
        <v>45700</v>
      </c>
      <c r="R10" s="260"/>
      <c r="S10" s="259"/>
      <c r="T10" s="259"/>
      <c r="U10" s="259"/>
      <c r="V10" s="273"/>
      <c r="W10" s="261"/>
      <c r="X10" s="80">
        <v>125</v>
      </c>
    </row>
    <row r="11" spans="1:24" s="80" customFormat="1" ht="56.25" x14ac:dyDescent="0.25">
      <c r="A11" s="264">
        <v>3</v>
      </c>
      <c r="B11" s="222" t="s">
        <v>56</v>
      </c>
      <c r="C11" s="266" t="s">
        <v>147</v>
      </c>
      <c r="D11" s="217" t="s">
        <v>153</v>
      </c>
      <c r="E11" s="266" t="s">
        <v>116</v>
      </c>
      <c r="F11" s="276">
        <v>45709</v>
      </c>
      <c r="G11" s="266" t="s">
        <v>254</v>
      </c>
      <c r="H11" s="265">
        <v>15490</v>
      </c>
      <c r="I11" s="270">
        <f>IF(X11 = 126, H11 + SUM(S11:S11) - SUM(T11:T11) - SUM(P11:P11) - V11,0)</f>
        <v>0</v>
      </c>
      <c r="J11" s="266" t="s">
        <v>255</v>
      </c>
      <c r="K11" s="266" t="s">
        <v>256</v>
      </c>
      <c r="L11" s="266" t="s">
        <v>147</v>
      </c>
      <c r="M11" s="266" t="s">
        <v>258</v>
      </c>
      <c r="N11" s="276">
        <v>45709</v>
      </c>
      <c r="O11" s="276" t="s">
        <v>279</v>
      </c>
      <c r="P11" s="275">
        <v>15490</v>
      </c>
      <c r="Q11" s="269">
        <v>45714</v>
      </c>
      <c r="R11" s="266"/>
      <c r="S11" s="265"/>
      <c r="T11" s="265"/>
      <c r="U11" s="265"/>
      <c r="V11" s="273"/>
      <c r="W11" s="268"/>
      <c r="X11" s="80">
        <v>126</v>
      </c>
    </row>
    <row r="12" spans="1:24" s="80" customFormat="1" ht="75" x14ac:dyDescent="0.25">
      <c r="A12" s="394">
        <v>4</v>
      </c>
      <c r="B12" s="222" t="s">
        <v>56</v>
      </c>
      <c r="C12" s="395" t="s">
        <v>147</v>
      </c>
      <c r="D12" s="217" t="s">
        <v>153</v>
      </c>
      <c r="E12" s="395" t="s">
        <v>274</v>
      </c>
      <c r="F12" s="400">
        <v>45748</v>
      </c>
      <c r="G12" s="395" t="s">
        <v>275</v>
      </c>
      <c r="H12" s="396">
        <v>4000</v>
      </c>
      <c r="I12" s="397">
        <f>IF(X12 = 127, H12 + SUM(S12:S12) - SUM(T12:T12) - SUM(P12:P12) - V12,0)</f>
        <v>0</v>
      </c>
      <c r="J12" s="395" t="s">
        <v>276</v>
      </c>
      <c r="K12" s="395" t="s">
        <v>277</v>
      </c>
      <c r="L12" s="395" t="s">
        <v>147</v>
      </c>
      <c r="M12" s="395" t="s">
        <v>278</v>
      </c>
      <c r="N12" s="400">
        <v>45748</v>
      </c>
      <c r="O12" s="392" t="s">
        <v>257</v>
      </c>
      <c r="P12" s="396">
        <v>4000</v>
      </c>
      <c r="Q12" s="398"/>
      <c r="R12" s="395"/>
      <c r="S12" s="396"/>
      <c r="T12" s="396"/>
      <c r="U12" s="396"/>
      <c r="V12" s="399"/>
      <c r="W12" s="393"/>
      <c r="X12" s="80">
        <v>127</v>
      </c>
    </row>
    <row r="13" spans="1:24" ht="16.5" customHeight="1" x14ac:dyDescent="0.25">
      <c r="A13" s="101"/>
      <c r="B13" s="134"/>
      <c r="C13" s="102"/>
      <c r="D13" s="134"/>
      <c r="E13" s="128"/>
      <c r="F13" s="106"/>
      <c r="G13" s="102"/>
      <c r="H13" s="107"/>
      <c r="I13" s="108">
        <f>IF(X13 = 72, H13 + SUM(S13:S13) - SUM(T13:T13) - SUM(P13:P13) - V13,0)</f>
        <v>0</v>
      </c>
      <c r="J13" s="102"/>
      <c r="K13" s="102"/>
      <c r="L13" s="102"/>
      <c r="M13" s="127"/>
      <c r="N13" s="106"/>
      <c r="O13" s="129"/>
      <c r="P13" s="107"/>
      <c r="Q13" s="103"/>
      <c r="R13" s="105"/>
      <c r="S13" s="107"/>
      <c r="T13" s="107"/>
      <c r="U13" s="107"/>
      <c r="V13" s="104"/>
      <c r="W13" s="105"/>
      <c r="X13" s="2">
        <v>128</v>
      </c>
    </row>
  </sheetData>
  <sheetProtection algorithmName="SHA-512" hashValue="VXxt4fuTgXitaKGnMltQI0GXBRbkSeyvKujyvaN8NzFjWX+8xVfhRtBB0vyqwKgsBajcodE78tpAWSOVQQk+HQ==" saltValue="oD5v2sUFTyPAbrxPAb4pyw==" spinCount="100000" sheet="1" objects="1" scenarios="1" formatCells="0" formatColumns="0" formatRows="0"/>
  <mergeCells count="7">
    <mergeCell ref="A3:E3"/>
    <mergeCell ref="S2:U2"/>
    <mergeCell ref="N2:O2"/>
    <mergeCell ref="J4:K4"/>
    <mergeCell ref="M4:N4"/>
    <mergeCell ref="O4:P4"/>
    <mergeCell ref="K2:M2"/>
  </mergeCells>
  <phoneticPr fontId="17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FF0000"/>
  </sheetPr>
  <dimension ref="A1:X53"/>
  <sheetViews>
    <sheetView showGridLines="0" topLeftCell="H1" zoomScale="50" zoomScaleNormal="50" workbookViewId="0">
      <pane ySplit="8" topLeftCell="A48" activePane="bottomLeft" state="frozen"/>
      <selection pane="bottomLeft" activeCell="L9" sqref="L9:L14"/>
    </sheetView>
  </sheetViews>
  <sheetFormatPr defaultColWidth="0" defaultRowHeight="18.75" x14ac:dyDescent="0.25"/>
  <cols>
    <col min="1" max="1" width="12" style="83" customWidth="1"/>
    <col min="2" max="2" width="37.140625" style="3" customWidth="1"/>
    <col min="3" max="3" width="34" style="3" customWidth="1"/>
    <col min="4" max="4" width="25.42578125" style="3" customWidth="1"/>
    <col min="5" max="5" width="27.42578125" style="3" customWidth="1"/>
    <col min="6" max="6" width="32.42578125" style="3" customWidth="1"/>
    <col min="7" max="7" width="40.42578125" style="11" customWidth="1"/>
    <col min="8" max="8" width="27.5703125" style="3" customWidth="1"/>
    <col min="9" max="9" width="33" style="3" customWidth="1"/>
    <col min="10" max="11" width="27.42578125" style="26" customWidth="1"/>
    <col min="12" max="12" width="21.42578125" style="3" customWidth="1"/>
    <col min="13" max="13" width="26.5703125" style="3" customWidth="1"/>
    <col min="14" max="14" width="28.140625" style="11" customWidth="1"/>
    <col min="15" max="15" width="39.42578125" style="3" customWidth="1"/>
    <col min="16" max="16" width="24.5703125" style="26" customWidth="1"/>
    <col min="17" max="17" width="24.42578125" style="11" customWidth="1"/>
    <col min="18" max="18" width="23.42578125" style="3" customWidth="1"/>
    <col min="19" max="19" width="25.5703125" style="3" customWidth="1"/>
    <col min="20" max="20" width="26" style="3" customWidth="1"/>
    <col min="21" max="21" width="23.5703125" style="11" customWidth="1"/>
    <col min="22" max="22" width="24" style="10" customWidth="1"/>
    <col min="23" max="23" width="21.85546875" style="2" customWidth="1"/>
    <col min="24" max="16384" width="9.140625" style="2" hidden="1"/>
  </cols>
  <sheetData>
    <row r="1" spans="1:24" ht="19.5" thickBot="1" x14ac:dyDescent="0.3"/>
    <row r="2" spans="1:24" ht="39.950000000000003" customHeight="1" thickBot="1" x14ac:dyDescent="0.3">
      <c r="E2" s="65"/>
      <c r="F2" s="647" t="s">
        <v>24</v>
      </c>
      <c r="G2" s="648"/>
      <c r="H2" s="75">
        <f>SUM(H9:H9999)</f>
        <v>1612017.98</v>
      </c>
      <c r="I2" s="65"/>
      <c r="N2" s="486" t="s">
        <v>137</v>
      </c>
      <c r="O2" s="488"/>
      <c r="P2" s="66">
        <f>SUM(P9:P9999)</f>
        <v>457086.59000000008</v>
      </c>
      <c r="R2" s="65"/>
      <c r="S2" s="486" t="s">
        <v>45</v>
      </c>
      <c r="T2" s="487"/>
      <c r="U2" s="488"/>
      <c r="V2" s="67">
        <f>SUM(V9:V9999)</f>
        <v>62563.8</v>
      </c>
    </row>
    <row r="3" spans="1:24" x14ac:dyDescent="0.25">
      <c r="F3" s="2"/>
      <c r="G3" s="2"/>
      <c r="H3" s="2"/>
      <c r="I3" s="2"/>
      <c r="N3" s="2"/>
      <c r="O3" s="2"/>
      <c r="R3" s="2"/>
      <c r="S3" s="2"/>
      <c r="T3" s="2"/>
      <c r="U3" s="2"/>
    </row>
    <row r="4" spans="1:24" ht="39.950000000000003" customHeight="1" x14ac:dyDescent="0.25">
      <c r="F4" s="2"/>
      <c r="G4" s="2"/>
      <c r="H4" s="2"/>
      <c r="I4" s="2"/>
      <c r="N4" s="2"/>
      <c r="O4" s="2"/>
      <c r="R4" s="2"/>
      <c r="S4" s="2"/>
      <c r="T4" s="2"/>
      <c r="U4" s="2"/>
    </row>
    <row r="6" spans="1:24" s="82" customFormat="1" ht="187.5" x14ac:dyDescent="0.25">
      <c r="A6" s="84" t="s">
        <v>8</v>
      </c>
      <c r="B6" s="84" t="s">
        <v>47</v>
      </c>
      <c r="C6" s="84" t="s">
        <v>144</v>
      </c>
      <c r="D6" s="84" t="s">
        <v>10</v>
      </c>
      <c r="E6" s="84" t="s">
        <v>1</v>
      </c>
      <c r="F6" s="84" t="s">
        <v>2</v>
      </c>
      <c r="G6" s="86" t="s">
        <v>3</v>
      </c>
      <c r="H6" s="84" t="s">
        <v>4</v>
      </c>
      <c r="I6" s="84" t="s">
        <v>22</v>
      </c>
      <c r="J6" s="87" t="s">
        <v>46</v>
      </c>
      <c r="K6" s="87" t="s">
        <v>5</v>
      </c>
      <c r="L6" s="84" t="s">
        <v>106</v>
      </c>
      <c r="M6" s="84" t="s">
        <v>39</v>
      </c>
      <c r="N6" s="86" t="s">
        <v>37</v>
      </c>
      <c r="O6" s="84" t="s">
        <v>6</v>
      </c>
      <c r="P6" s="87" t="s">
        <v>23</v>
      </c>
      <c r="Q6" s="86" t="s">
        <v>9</v>
      </c>
      <c r="R6" s="88" t="s">
        <v>40</v>
      </c>
      <c r="S6" s="88" t="s">
        <v>103</v>
      </c>
      <c r="T6" s="88" t="s">
        <v>104</v>
      </c>
      <c r="U6" s="89" t="s">
        <v>41</v>
      </c>
      <c r="V6" s="90" t="s">
        <v>43</v>
      </c>
      <c r="W6" s="91" t="s">
        <v>42</v>
      </c>
    </row>
    <row r="7" spans="1:24" s="82" customFormat="1" x14ac:dyDescent="0.25">
      <c r="A7" s="81" t="s">
        <v>36</v>
      </c>
      <c r="B7" s="81" t="s">
        <v>110</v>
      </c>
      <c r="C7" s="81" t="s">
        <v>111</v>
      </c>
      <c r="D7" s="81" t="s">
        <v>112</v>
      </c>
      <c r="E7" s="81" t="s">
        <v>113</v>
      </c>
      <c r="F7" s="81" t="s">
        <v>114</v>
      </c>
      <c r="G7" s="81" t="s">
        <v>115</v>
      </c>
      <c r="H7" s="81" t="s">
        <v>116</v>
      </c>
      <c r="I7" s="81" t="s">
        <v>117</v>
      </c>
      <c r="J7" s="81" t="s">
        <v>118</v>
      </c>
      <c r="K7" s="81" t="s">
        <v>119</v>
      </c>
      <c r="L7" s="81" t="s">
        <v>120</v>
      </c>
      <c r="M7" s="81" t="s">
        <v>121</v>
      </c>
      <c r="N7" s="81" t="s">
        <v>122</v>
      </c>
      <c r="O7" s="81" t="s">
        <v>123</v>
      </c>
      <c r="P7" s="81" t="s">
        <v>124</v>
      </c>
      <c r="Q7" s="81" t="s">
        <v>125</v>
      </c>
      <c r="R7" s="81" t="s">
        <v>126</v>
      </c>
      <c r="S7" s="81" t="s">
        <v>127</v>
      </c>
      <c r="T7" s="81" t="s">
        <v>128</v>
      </c>
      <c r="U7" s="81" t="s">
        <v>129</v>
      </c>
      <c r="V7" s="81" t="s">
        <v>130</v>
      </c>
      <c r="W7" s="81" t="s">
        <v>131</v>
      </c>
    </row>
    <row r="8" spans="1:24" s="14" customFormat="1" ht="131.25" hidden="1" x14ac:dyDescent="0.25">
      <c r="A8" s="85" t="s">
        <v>36</v>
      </c>
      <c r="B8" s="21" t="s">
        <v>56</v>
      </c>
      <c r="C8" s="21"/>
      <c r="D8" s="21" t="s">
        <v>58</v>
      </c>
      <c r="E8" s="21" t="s">
        <v>57</v>
      </c>
      <c r="F8" s="56">
        <v>43839</v>
      </c>
      <c r="G8" s="20" t="s">
        <v>59</v>
      </c>
      <c r="H8" s="19">
        <v>20000</v>
      </c>
      <c r="I8" s="19">
        <v>0</v>
      </c>
      <c r="J8" s="55">
        <v>2353019514</v>
      </c>
      <c r="K8" s="27" t="s">
        <v>61</v>
      </c>
      <c r="L8" s="21"/>
      <c r="M8" s="21" t="s">
        <v>62</v>
      </c>
      <c r="N8" s="20">
        <v>43840</v>
      </c>
      <c r="O8" s="21" t="s">
        <v>63</v>
      </c>
      <c r="P8" s="27">
        <v>20000</v>
      </c>
      <c r="Q8" s="20">
        <v>43840</v>
      </c>
      <c r="R8" s="21"/>
      <c r="S8" s="53"/>
      <c r="T8" s="53"/>
      <c r="U8" s="20"/>
      <c r="V8" s="19"/>
      <c r="W8" s="12" t="s">
        <v>64</v>
      </c>
    </row>
    <row r="9" spans="1:24" s="80" customFormat="1" ht="304.35000000000002" customHeight="1" x14ac:dyDescent="0.25">
      <c r="A9" s="558">
        <v>1</v>
      </c>
      <c r="B9" s="567" t="s">
        <v>56</v>
      </c>
      <c r="C9" s="567" t="s">
        <v>147</v>
      </c>
      <c r="D9" s="567" t="s">
        <v>155</v>
      </c>
      <c r="E9" s="567" t="s">
        <v>196</v>
      </c>
      <c r="F9" s="561">
        <v>45566</v>
      </c>
      <c r="G9" s="576" t="s">
        <v>148</v>
      </c>
      <c r="H9" s="564">
        <v>230728.3</v>
      </c>
      <c r="I9" s="579">
        <f>IF(X9 = 1, H9 + SUM(S9:S14) - SUM(T9:T14) - SUM(P9:P14) - V9,0)</f>
        <v>154385.90999999997</v>
      </c>
      <c r="J9" s="582">
        <v>2308070396</v>
      </c>
      <c r="K9" s="585" t="s">
        <v>149</v>
      </c>
      <c r="L9" s="567" t="s">
        <v>147</v>
      </c>
      <c r="M9" s="567" t="s">
        <v>195</v>
      </c>
      <c r="N9" s="307">
        <v>45666</v>
      </c>
      <c r="O9" s="561" t="s">
        <v>154</v>
      </c>
      <c r="P9" s="295">
        <v>23514.78</v>
      </c>
      <c r="Q9" s="296">
        <v>45685</v>
      </c>
      <c r="R9" s="297"/>
      <c r="S9" s="298"/>
      <c r="T9" s="299"/>
      <c r="U9" s="564"/>
      <c r="V9" s="570"/>
      <c r="W9" s="573"/>
      <c r="X9" s="80">
        <v>1</v>
      </c>
    </row>
    <row r="10" spans="1:24" s="110" customFormat="1" x14ac:dyDescent="0.25">
      <c r="A10" s="559"/>
      <c r="B10" s="568"/>
      <c r="C10" s="568"/>
      <c r="D10" s="568"/>
      <c r="E10" s="568"/>
      <c r="F10" s="562"/>
      <c r="G10" s="577"/>
      <c r="H10" s="565"/>
      <c r="I10" s="580"/>
      <c r="J10" s="583"/>
      <c r="K10" s="586"/>
      <c r="L10" s="568"/>
      <c r="M10" s="568"/>
      <c r="N10" s="308">
        <v>45688</v>
      </c>
      <c r="O10" s="562"/>
      <c r="P10" s="300">
        <v>16627.64</v>
      </c>
      <c r="Q10" s="301">
        <v>45700</v>
      </c>
      <c r="R10" s="302"/>
      <c r="S10" s="303"/>
      <c r="T10" s="303"/>
      <c r="U10" s="565"/>
      <c r="V10" s="571"/>
      <c r="W10" s="574"/>
      <c r="X10" s="110">
        <v>1</v>
      </c>
    </row>
    <row r="11" spans="1:24" s="110" customFormat="1" x14ac:dyDescent="0.25">
      <c r="A11" s="559"/>
      <c r="B11" s="568"/>
      <c r="C11" s="568"/>
      <c r="D11" s="568"/>
      <c r="E11" s="568"/>
      <c r="F11" s="562"/>
      <c r="G11" s="577"/>
      <c r="H11" s="565"/>
      <c r="I11" s="580"/>
      <c r="J11" s="583"/>
      <c r="K11" s="586"/>
      <c r="L11" s="568"/>
      <c r="M11" s="568"/>
      <c r="N11" s="308">
        <v>45689</v>
      </c>
      <c r="O11" s="562"/>
      <c r="P11" s="300">
        <v>18955.86</v>
      </c>
      <c r="Q11" s="301">
        <v>45695</v>
      </c>
      <c r="R11" s="302"/>
      <c r="S11" s="303"/>
      <c r="T11" s="303"/>
      <c r="U11" s="565"/>
      <c r="V11" s="571"/>
      <c r="W11" s="574"/>
      <c r="X11" s="110">
        <v>1</v>
      </c>
    </row>
    <row r="12" spans="1:24" s="110" customFormat="1" x14ac:dyDescent="0.25">
      <c r="A12" s="559"/>
      <c r="B12" s="568"/>
      <c r="C12" s="568"/>
      <c r="D12" s="568"/>
      <c r="E12" s="568"/>
      <c r="F12" s="562"/>
      <c r="G12" s="577"/>
      <c r="H12" s="565"/>
      <c r="I12" s="580"/>
      <c r="J12" s="583"/>
      <c r="K12" s="586"/>
      <c r="L12" s="568"/>
      <c r="M12" s="568"/>
      <c r="N12" s="308">
        <v>45716</v>
      </c>
      <c r="O12" s="562"/>
      <c r="P12" s="300">
        <v>5334.45</v>
      </c>
      <c r="Q12" s="301">
        <v>45729</v>
      </c>
      <c r="R12" s="302"/>
      <c r="S12" s="303"/>
      <c r="T12" s="303"/>
      <c r="U12" s="565"/>
      <c r="V12" s="571"/>
      <c r="W12" s="574"/>
      <c r="X12" s="110">
        <v>1</v>
      </c>
    </row>
    <row r="13" spans="1:24" s="110" customFormat="1" x14ac:dyDescent="0.25">
      <c r="A13" s="559"/>
      <c r="B13" s="568"/>
      <c r="C13" s="568"/>
      <c r="D13" s="568"/>
      <c r="E13" s="568"/>
      <c r="F13" s="562"/>
      <c r="G13" s="577"/>
      <c r="H13" s="565"/>
      <c r="I13" s="580"/>
      <c r="J13" s="583"/>
      <c r="K13" s="586"/>
      <c r="L13" s="568"/>
      <c r="M13" s="568"/>
      <c r="N13" s="308">
        <v>45717</v>
      </c>
      <c r="O13" s="562"/>
      <c r="P13" s="300">
        <v>11909.66</v>
      </c>
      <c r="Q13" s="301">
        <v>45720</v>
      </c>
      <c r="R13" s="302"/>
      <c r="S13" s="303"/>
      <c r="T13" s="303"/>
      <c r="U13" s="565"/>
      <c r="V13" s="571"/>
      <c r="W13" s="574"/>
      <c r="X13" s="110">
        <v>1</v>
      </c>
    </row>
    <row r="14" spans="1:24" s="110" customFormat="1" x14ac:dyDescent="0.25">
      <c r="A14" s="560"/>
      <c r="B14" s="569"/>
      <c r="C14" s="569"/>
      <c r="D14" s="569"/>
      <c r="E14" s="569"/>
      <c r="F14" s="563"/>
      <c r="G14" s="578"/>
      <c r="H14" s="566"/>
      <c r="I14" s="581"/>
      <c r="J14" s="584"/>
      <c r="K14" s="587"/>
      <c r="L14" s="569"/>
      <c r="M14" s="569"/>
      <c r="N14" s="309"/>
      <c r="O14" s="563"/>
      <c r="P14" s="304"/>
      <c r="Q14" s="305"/>
      <c r="R14" s="306"/>
      <c r="S14" s="304"/>
      <c r="T14" s="304"/>
      <c r="U14" s="566"/>
      <c r="V14" s="572"/>
      <c r="W14" s="575"/>
      <c r="X14" s="110">
        <v>1</v>
      </c>
    </row>
    <row r="15" spans="1:24" s="80" customFormat="1" ht="63.6" customHeight="1" x14ac:dyDescent="0.25">
      <c r="A15" s="510">
        <v>2</v>
      </c>
      <c r="B15" s="519" t="s">
        <v>56</v>
      </c>
      <c r="C15" s="519" t="s">
        <v>147</v>
      </c>
      <c r="D15" s="519" t="s">
        <v>153</v>
      </c>
      <c r="E15" s="519" t="s">
        <v>161</v>
      </c>
      <c r="F15" s="513">
        <v>45653</v>
      </c>
      <c r="G15" s="528" t="s">
        <v>162</v>
      </c>
      <c r="H15" s="516">
        <v>24254.1</v>
      </c>
      <c r="I15" s="531">
        <f>IF(X15 = 33, H15 + SUM(S15:S17) - SUM(T15:T17) - SUM(P15:P17) - V15,0)</f>
        <v>12127.05</v>
      </c>
      <c r="J15" s="534">
        <v>2308131994</v>
      </c>
      <c r="K15" s="537" t="s">
        <v>163</v>
      </c>
      <c r="L15" s="519" t="s">
        <v>147</v>
      </c>
      <c r="M15" s="519" t="s">
        <v>225</v>
      </c>
      <c r="N15" s="411">
        <v>45688</v>
      </c>
      <c r="O15" s="513" t="s">
        <v>164</v>
      </c>
      <c r="P15" s="401">
        <v>4042.35</v>
      </c>
      <c r="Q15" s="402">
        <v>45702</v>
      </c>
      <c r="R15" s="403"/>
      <c r="S15" s="404"/>
      <c r="T15" s="404"/>
      <c r="U15" s="516"/>
      <c r="V15" s="522"/>
      <c r="W15" s="525"/>
      <c r="X15" s="80">
        <v>33</v>
      </c>
    </row>
    <row r="16" spans="1:24" s="110" customFormat="1" x14ac:dyDescent="0.25">
      <c r="A16" s="511"/>
      <c r="B16" s="520"/>
      <c r="C16" s="520"/>
      <c r="D16" s="520"/>
      <c r="E16" s="520"/>
      <c r="F16" s="514"/>
      <c r="G16" s="529"/>
      <c r="H16" s="517"/>
      <c r="I16" s="532"/>
      <c r="J16" s="535"/>
      <c r="K16" s="538"/>
      <c r="L16" s="520"/>
      <c r="M16" s="520"/>
      <c r="N16" s="412">
        <v>45716</v>
      </c>
      <c r="O16" s="514"/>
      <c r="P16" s="424">
        <v>4042.35</v>
      </c>
      <c r="Q16" s="406">
        <v>45720</v>
      </c>
      <c r="R16" s="407"/>
      <c r="S16" s="405"/>
      <c r="T16" s="405"/>
      <c r="U16" s="517"/>
      <c r="V16" s="523"/>
      <c r="W16" s="526"/>
      <c r="X16" s="110">
        <v>33</v>
      </c>
    </row>
    <row r="17" spans="1:24" s="110" customFormat="1" x14ac:dyDescent="0.25">
      <c r="A17" s="512"/>
      <c r="B17" s="521"/>
      <c r="C17" s="521"/>
      <c r="D17" s="521"/>
      <c r="E17" s="521"/>
      <c r="F17" s="515"/>
      <c r="G17" s="530"/>
      <c r="H17" s="518"/>
      <c r="I17" s="533"/>
      <c r="J17" s="536"/>
      <c r="K17" s="539"/>
      <c r="L17" s="521"/>
      <c r="M17" s="521"/>
      <c r="N17" s="413">
        <v>45747</v>
      </c>
      <c r="O17" s="515"/>
      <c r="P17" s="408">
        <v>4042.35</v>
      </c>
      <c r="Q17" s="409"/>
      <c r="R17" s="410"/>
      <c r="S17" s="408"/>
      <c r="T17" s="408"/>
      <c r="U17" s="518"/>
      <c r="V17" s="524"/>
      <c r="W17" s="527"/>
      <c r="X17" s="110">
        <v>33</v>
      </c>
    </row>
    <row r="18" spans="1:24" s="80" customFormat="1" ht="54" customHeight="1" x14ac:dyDescent="0.25">
      <c r="A18" s="490">
        <v>3</v>
      </c>
      <c r="B18" s="496" t="s">
        <v>56</v>
      </c>
      <c r="C18" s="496" t="s">
        <v>147</v>
      </c>
      <c r="D18" s="496" t="s">
        <v>153</v>
      </c>
      <c r="E18" s="496" t="s">
        <v>165</v>
      </c>
      <c r="F18" s="492">
        <v>45657</v>
      </c>
      <c r="G18" s="502" t="s">
        <v>166</v>
      </c>
      <c r="H18" s="494">
        <v>24000</v>
      </c>
      <c r="I18" s="504">
        <f>IF(X18 = 34, H18 + SUM(S18:S19) - SUM(T18:T19) - SUM(P18:P19) - V18,0)</f>
        <v>20000</v>
      </c>
      <c r="J18" s="506">
        <v>2353002302</v>
      </c>
      <c r="K18" s="508" t="s">
        <v>167</v>
      </c>
      <c r="L18" s="496" t="s">
        <v>147</v>
      </c>
      <c r="M18" s="496" t="s">
        <v>195</v>
      </c>
      <c r="N18" s="421">
        <v>45688</v>
      </c>
      <c r="O18" s="492" t="s">
        <v>197</v>
      </c>
      <c r="P18" s="414">
        <v>2000</v>
      </c>
      <c r="Q18" s="415">
        <v>45695</v>
      </c>
      <c r="R18" s="416"/>
      <c r="S18" s="417"/>
      <c r="T18" s="417"/>
      <c r="U18" s="494"/>
      <c r="V18" s="498"/>
      <c r="W18" s="500"/>
      <c r="X18" s="80">
        <v>34</v>
      </c>
    </row>
    <row r="19" spans="1:24" s="110" customFormat="1" x14ac:dyDescent="0.25">
      <c r="A19" s="491"/>
      <c r="B19" s="497"/>
      <c r="C19" s="497"/>
      <c r="D19" s="497"/>
      <c r="E19" s="497"/>
      <c r="F19" s="493"/>
      <c r="G19" s="503"/>
      <c r="H19" s="495"/>
      <c r="I19" s="505"/>
      <c r="J19" s="507"/>
      <c r="K19" s="509"/>
      <c r="L19" s="497"/>
      <c r="M19" s="497"/>
      <c r="N19" s="422">
        <v>45716</v>
      </c>
      <c r="O19" s="493"/>
      <c r="P19" s="423">
        <v>2000</v>
      </c>
      <c r="Q19" s="419">
        <v>45720</v>
      </c>
      <c r="R19" s="420"/>
      <c r="S19" s="418"/>
      <c r="T19" s="418"/>
      <c r="U19" s="495"/>
      <c r="V19" s="499"/>
      <c r="W19" s="501"/>
      <c r="X19" s="110">
        <v>34</v>
      </c>
    </row>
    <row r="20" spans="1:24" s="80" customFormat="1" ht="72" customHeight="1" x14ac:dyDescent="0.25">
      <c r="A20" s="602">
        <v>4</v>
      </c>
      <c r="B20" s="588" t="s">
        <v>56</v>
      </c>
      <c r="C20" s="588" t="s">
        <v>147</v>
      </c>
      <c r="D20" s="588" t="s">
        <v>153</v>
      </c>
      <c r="E20" s="588" t="s">
        <v>168</v>
      </c>
      <c r="F20" s="590">
        <v>45657</v>
      </c>
      <c r="G20" s="592" t="s">
        <v>169</v>
      </c>
      <c r="H20" s="594">
        <v>36000</v>
      </c>
      <c r="I20" s="596">
        <f>IF(X20 = 35, H20 + SUM(S20:S21) - SUM(T20:T21) - SUM(P20:P21) - V20,0)</f>
        <v>30000</v>
      </c>
      <c r="J20" s="598">
        <v>2353002302</v>
      </c>
      <c r="K20" s="600" t="s">
        <v>167</v>
      </c>
      <c r="L20" s="588" t="s">
        <v>147</v>
      </c>
      <c r="M20" s="588" t="s">
        <v>195</v>
      </c>
      <c r="N20" s="246">
        <v>45688</v>
      </c>
      <c r="O20" s="590" t="s">
        <v>180</v>
      </c>
      <c r="P20" s="239">
        <v>3000</v>
      </c>
      <c r="Q20" s="240">
        <v>45695</v>
      </c>
      <c r="R20" s="241"/>
      <c r="S20" s="242"/>
      <c r="T20" s="242"/>
      <c r="U20" s="594"/>
      <c r="V20" s="604"/>
      <c r="W20" s="606"/>
      <c r="X20" s="80">
        <v>35</v>
      </c>
    </row>
    <row r="21" spans="1:24" s="110" customFormat="1" x14ac:dyDescent="0.25">
      <c r="A21" s="603"/>
      <c r="B21" s="589"/>
      <c r="C21" s="589"/>
      <c r="D21" s="589"/>
      <c r="E21" s="589"/>
      <c r="F21" s="591"/>
      <c r="G21" s="593"/>
      <c r="H21" s="595"/>
      <c r="I21" s="597"/>
      <c r="J21" s="599"/>
      <c r="K21" s="601"/>
      <c r="L21" s="589"/>
      <c r="M21" s="589"/>
      <c r="N21" s="247">
        <v>45716</v>
      </c>
      <c r="O21" s="591"/>
      <c r="P21" s="248">
        <v>3000</v>
      </c>
      <c r="Q21" s="244">
        <v>45720</v>
      </c>
      <c r="R21" s="245"/>
      <c r="S21" s="243"/>
      <c r="T21" s="243"/>
      <c r="U21" s="595"/>
      <c r="V21" s="605"/>
      <c r="W21" s="607"/>
      <c r="X21" s="110">
        <v>35</v>
      </c>
    </row>
    <row r="22" spans="1:24" s="80" customFormat="1" ht="90" customHeight="1" x14ac:dyDescent="0.25">
      <c r="A22" s="602">
        <v>5</v>
      </c>
      <c r="B22" s="588" t="s">
        <v>56</v>
      </c>
      <c r="C22" s="588" t="s">
        <v>147</v>
      </c>
      <c r="D22" s="588" t="s">
        <v>153</v>
      </c>
      <c r="E22" s="588" t="s">
        <v>198</v>
      </c>
      <c r="F22" s="590">
        <v>45653</v>
      </c>
      <c r="G22" s="592" t="s">
        <v>170</v>
      </c>
      <c r="H22" s="594">
        <v>27331.200000000001</v>
      </c>
      <c r="I22" s="596">
        <f>IF(X22 = 36, H22 + SUM(S22:S23) - SUM(T22:T23) - SUM(P22:P23) - V22,0)</f>
        <v>22776</v>
      </c>
      <c r="J22" s="598">
        <v>2310163739</v>
      </c>
      <c r="K22" s="600" t="s">
        <v>171</v>
      </c>
      <c r="L22" s="588" t="s">
        <v>147</v>
      </c>
      <c r="M22" s="588" t="s">
        <v>195</v>
      </c>
      <c r="N22" s="246">
        <v>45688</v>
      </c>
      <c r="O22" s="590" t="s">
        <v>172</v>
      </c>
      <c r="P22" s="239">
        <v>2277.6</v>
      </c>
      <c r="Q22" s="240">
        <v>45709</v>
      </c>
      <c r="R22" s="241"/>
      <c r="S22" s="242"/>
      <c r="T22" s="242"/>
      <c r="U22" s="594"/>
      <c r="V22" s="604"/>
      <c r="W22" s="606"/>
      <c r="X22" s="80">
        <v>36</v>
      </c>
    </row>
    <row r="23" spans="1:24" s="110" customFormat="1" x14ac:dyDescent="0.25">
      <c r="A23" s="603"/>
      <c r="B23" s="589"/>
      <c r="C23" s="589"/>
      <c r="D23" s="589"/>
      <c r="E23" s="589"/>
      <c r="F23" s="591"/>
      <c r="G23" s="593"/>
      <c r="H23" s="595"/>
      <c r="I23" s="597"/>
      <c r="J23" s="599"/>
      <c r="K23" s="601"/>
      <c r="L23" s="589"/>
      <c r="M23" s="589"/>
      <c r="N23" s="247">
        <v>45716</v>
      </c>
      <c r="O23" s="591"/>
      <c r="P23" s="248">
        <v>2277.6</v>
      </c>
      <c r="Q23" s="244">
        <v>45716</v>
      </c>
      <c r="R23" s="245"/>
      <c r="S23" s="243"/>
      <c r="T23" s="243"/>
      <c r="U23" s="595"/>
      <c r="V23" s="605"/>
      <c r="W23" s="607"/>
      <c r="X23" s="110">
        <v>36</v>
      </c>
    </row>
    <row r="24" spans="1:24" s="80" customFormat="1" ht="36" customHeight="1" x14ac:dyDescent="0.25">
      <c r="A24" s="152">
        <v>6</v>
      </c>
      <c r="B24" s="153" t="s">
        <v>56</v>
      </c>
      <c r="C24" s="153" t="s">
        <v>147</v>
      </c>
      <c r="D24" s="153" t="s">
        <v>153</v>
      </c>
      <c r="E24" s="153" t="s">
        <v>175</v>
      </c>
      <c r="F24" s="159">
        <v>45653</v>
      </c>
      <c r="G24" s="173" t="s">
        <v>176</v>
      </c>
      <c r="H24" s="158">
        <v>36000</v>
      </c>
      <c r="I24" s="168">
        <f>IF(X24 = 39, H24 + SUM(S24:S24) - SUM(T24:T24) - SUM(P24:P24) - V24,0)</f>
        <v>36000</v>
      </c>
      <c r="J24" s="167">
        <v>235306577600</v>
      </c>
      <c r="K24" s="174" t="s">
        <v>178</v>
      </c>
      <c r="L24" s="153" t="s">
        <v>147</v>
      </c>
      <c r="M24" s="153" t="s">
        <v>195</v>
      </c>
      <c r="N24" s="133"/>
      <c r="O24" s="159" t="s">
        <v>208</v>
      </c>
      <c r="P24" s="189"/>
      <c r="Q24" s="130"/>
      <c r="R24" s="131"/>
      <c r="S24" s="132"/>
      <c r="T24" s="132"/>
      <c r="U24" s="158"/>
      <c r="V24" s="172"/>
      <c r="W24" s="157"/>
      <c r="X24" s="80">
        <v>39</v>
      </c>
    </row>
    <row r="25" spans="1:24" s="80" customFormat="1" ht="36" customHeight="1" x14ac:dyDescent="0.25">
      <c r="A25" s="602">
        <v>7</v>
      </c>
      <c r="B25" s="588" t="s">
        <v>56</v>
      </c>
      <c r="C25" s="588" t="s">
        <v>147</v>
      </c>
      <c r="D25" s="588" t="s">
        <v>153</v>
      </c>
      <c r="E25" s="588" t="s">
        <v>118</v>
      </c>
      <c r="F25" s="590">
        <v>45653</v>
      </c>
      <c r="G25" s="592" t="s">
        <v>177</v>
      </c>
      <c r="H25" s="594">
        <v>47175.360000000001</v>
      </c>
      <c r="I25" s="596">
        <f>IF(X25 = 40, H25 + SUM(S25:S26) - SUM(T25:T26) - SUM(P25:P26) - V25,0)</f>
        <v>44585.36</v>
      </c>
      <c r="J25" s="598">
        <v>2353023951</v>
      </c>
      <c r="K25" s="600" t="s">
        <v>179</v>
      </c>
      <c r="L25" s="588" t="s">
        <v>147</v>
      </c>
      <c r="M25" s="588" t="s">
        <v>195</v>
      </c>
      <c r="N25" s="246">
        <v>45685</v>
      </c>
      <c r="O25" s="590" t="s">
        <v>180</v>
      </c>
      <c r="P25" s="239">
        <v>1332</v>
      </c>
      <c r="Q25" s="240">
        <v>45688</v>
      </c>
      <c r="R25" s="241"/>
      <c r="S25" s="242"/>
      <c r="T25" s="242"/>
      <c r="U25" s="594"/>
      <c r="V25" s="604"/>
      <c r="W25" s="606"/>
      <c r="X25" s="80">
        <v>40</v>
      </c>
    </row>
    <row r="26" spans="1:24" s="110" customFormat="1" x14ac:dyDescent="0.25">
      <c r="A26" s="603"/>
      <c r="B26" s="589"/>
      <c r="C26" s="589"/>
      <c r="D26" s="589"/>
      <c r="E26" s="589"/>
      <c r="F26" s="591"/>
      <c r="G26" s="593"/>
      <c r="H26" s="595"/>
      <c r="I26" s="597"/>
      <c r="J26" s="599"/>
      <c r="K26" s="601"/>
      <c r="L26" s="589"/>
      <c r="M26" s="589"/>
      <c r="N26" s="247" t="s">
        <v>244</v>
      </c>
      <c r="O26" s="591"/>
      <c r="P26" s="248">
        <v>1258</v>
      </c>
      <c r="Q26" s="244">
        <v>45716</v>
      </c>
      <c r="R26" s="245"/>
      <c r="S26" s="243"/>
      <c r="T26" s="243"/>
      <c r="U26" s="595"/>
      <c r="V26" s="605"/>
      <c r="W26" s="607"/>
      <c r="X26" s="110">
        <v>40</v>
      </c>
    </row>
    <row r="27" spans="1:24" s="80" customFormat="1" ht="108" customHeight="1" x14ac:dyDescent="0.25">
      <c r="A27" s="154">
        <v>8</v>
      </c>
      <c r="B27" s="151" t="s">
        <v>56</v>
      </c>
      <c r="C27" s="151" t="s">
        <v>147</v>
      </c>
      <c r="D27" s="151" t="s">
        <v>153</v>
      </c>
      <c r="E27" s="151" t="s">
        <v>199</v>
      </c>
      <c r="F27" s="163">
        <v>45653</v>
      </c>
      <c r="G27" s="164" t="s">
        <v>181</v>
      </c>
      <c r="H27" s="160">
        <v>54000</v>
      </c>
      <c r="I27" s="165">
        <f>IF(X27 = 41, H27 + SUM(S27:S27) - SUM(T27:T27) - SUM(P27:P27) - V27,0)</f>
        <v>0</v>
      </c>
      <c r="J27" s="166">
        <v>2353017179</v>
      </c>
      <c r="K27" s="150" t="s">
        <v>182</v>
      </c>
      <c r="L27" s="151" t="s">
        <v>147</v>
      </c>
      <c r="M27" s="151" t="s">
        <v>195</v>
      </c>
      <c r="N27" s="141">
        <v>45688</v>
      </c>
      <c r="O27" s="163" t="s">
        <v>180</v>
      </c>
      <c r="P27" s="233">
        <v>6600</v>
      </c>
      <c r="Q27" s="138">
        <v>45695</v>
      </c>
      <c r="R27" s="139"/>
      <c r="S27" s="140"/>
      <c r="T27" s="140"/>
      <c r="U27" s="160" t="s">
        <v>245</v>
      </c>
      <c r="V27" s="161">
        <v>47400</v>
      </c>
      <c r="W27" s="162"/>
      <c r="X27" s="80">
        <v>41</v>
      </c>
    </row>
    <row r="28" spans="1:24" s="80" customFormat="1" ht="54" customHeight="1" x14ac:dyDescent="0.25">
      <c r="A28" s="155">
        <v>9</v>
      </c>
      <c r="B28" s="156" t="s">
        <v>56</v>
      </c>
      <c r="C28" s="156" t="s">
        <v>147</v>
      </c>
      <c r="D28" s="156" t="s">
        <v>153</v>
      </c>
      <c r="E28" s="156" t="s">
        <v>200</v>
      </c>
      <c r="F28" s="169">
        <v>45656</v>
      </c>
      <c r="G28" s="176" t="s">
        <v>183</v>
      </c>
      <c r="H28" s="170">
        <v>3600</v>
      </c>
      <c r="I28" s="177">
        <f>IF(X28 = 42, H28 + SUM(S28:S28) - SUM(T28:T28) - SUM(P28:P28) - V28,0)</f>
        <v>2400</v>
      </c>
      <c r="J28" s="178">
        <v>2369000660</v>
      </c>
      <c r="K28" s="179" t="s">
        <v>184</v>
      </c>
      <c r="L28" s="156" t="s">
        <v>147</v>
      </c>
      <c r="M28" s="156" t="s">
        <v>195</v>
      </c>
      <c r="N28" s="145">
        <v>45747</v>
      </c>
      <c r="O28" s="169" t="s">
        <v>180</v>
      </c>
      <c r="P28" s="190">
        <v>1200</v>
      </c>
      <c r="Q28" s="142"/>
      <c r="R28" s="143"/>
      <c r="S28" s="144"/>
      <c r="T28" s="144"/>
      <c r="U28" s="170"/>
      <c r="V28" s="171"/>
      <c r="W28" s="175"/>
      <c r="X28" s="80">
        <v>42</v>
      </c>
    </row>
    <row r="29" spans="1:24" s="80" customFormat="1" ht="36" customHeight="1" x14ac:dyDescent="0.25">
      <c r="A29" s="617">
        <v>10</v>
      </c>
      <c r="B29" s="623" t="s">
        <v>56</v>
      </c>
      <c r="C29" s="623" t="s">
        <v>147</v>
      </c>
      <c r="D29" s="623" t="s">
        <v>153</v>
      </c>
      <c r="E29" s="623" t="s">
        <v>188</v>
      </c>
      <c r="F29" s="619">
        <v>45653</v>
      </c>
      <c r="G29" s="674" t="s">
        <v>185</v>
      </c>
      <c r="H29" s="621">
        <v>4550</v>
      </c>
      <c r="I29" s="676">
        <f>IF(X29 = 43, H29 + SUM(S29:S30) - SUM(T29:T30) - SUM(P29:P30) - V29,0)</f>
        <v>3763.95</v>
      </c>
      <c r="J29" s="678">
        <v>7707049388</v>
      </c>
      <c r="K29" s="680" t="s">
        <v>186</v>
      </c>
      <c r="L29" s="623" t="s">
        <v>187</v>
      </c>
      <c r="M29" s="623" t="s">
        <v>195</v>
      </c>
      <c r="N29" s="256">
        <v>45688</v>
      </c>
      <c r="O29" s="619" t="s">
        <v>180</v>
      </c>
      <c r="P29" s="249">
        <v>396.05</v>
      </c>
      <c r="Q29" s="250">
        <v>45695</v>
      </c>
      <c r="R29" s="251"/>
      <c r="S29" s="252"/>
      <c r="T29" s="252"/>
      <c r="U29" s="621"/>
      <c r="V29" s="670"/>
      <c r="W29" s="672"/>
      <c r="X29" s="80">
        <v>43</v>
      </c>
    </row>
    <row r="30" spans="1:24" s="110" customFormat="1" x14ac:dyDescent="0.25">
      <c r="A30" s="618"/>
      <c r="B30" s="624"/>
      <c r="C30" s="624"/>
      <c r="D30" s="624"/>
      <c r="E30" s="624"/>
      <c r="F30" s="620"/>
      <c r="G30" s="675"/>
      <c r="H30" s="622"/>
      <c r="I30" s="677"/>
      <c r="J30" s="679"/>
      <c r="K30" s="681"/>
      <c r="L30" s="624"/>
      <c r="M30" s="624"/>
      <c r="N30" s="257">
        <v>45716</v>
      </c>
      <c r="O30" s="620"/>
      <c r="P30" s="275">
        <v>390</v>
      </c>
      <c r="Q30" s="254">
        <v>45727</v>
      </c>
      <c r="R30" s="255"/>
      <c r="S30" s="253"/>
      <c r="T30" s="253"/>
      <c r="U30" s="622"/>
      <c r="V30" s="671"/>
      <c r="W30" s="673"/>
      <c r="X30" s="110">
        <v>43</v>
      </c>
    </row>
    <row r="31" spans="1:24" s="80" customFormat="1" ht="42" customHeight="1" x14ac:dyDescent="0.25">
      <c r="A31" s="181">
        <v>11</v>
      </c>
      <c r="B31" s="182" t="s">
        <v>56</v>
      </c>
      <c r="C31" s="182" t="s">
        <v>147</v>
      </c>
      <c r="D31" s="182" t="s">
        <v>153</v>
      </c>
      <c r="E31" s="182" t="s">
        <v>224</v>
      </c>
      <c r="F31" s="183">
        <v>45653</v>
      </c>
      <c r="G31" s="184" t="s">
        <v>190</v>
      </c>
      <c r="H31" s="185">
        <v>13372.8</v>
      </c>
      <c r="I31" s="186">
        <f>IF(X31 = 46, H31 + SUM(S31:S31) - SUM(T31:T31) - SUM(P31:P31) - V31,0)</f>
        <v>10029.599999999999</v>
      </c>
      <c r="J31" s="187">
        <v>2353018870</v>
      </c>
      <c r="K31" s="188" t="s">
        <v>191</v>
      </c>
      <c r="L31" s="182" t="s">
        <v>147</v>
      </c>
      <c r="M31" s="182" t="s">
        <v>195</v>
      </c>
      <c r="N31" s="183">
        <v>45743</v>
      </c>
      <c r="O31" s="147" t="s">
        <v>180</v>
      </c>
      <c r="P31" s="185">
        <v>3343.2</v>
      </c>
      <c r="Q31" s="135"/>
      <c r="R31" s="136"/>
      <c r="S31" s="137"/>
      <c r="T31" s="137"/>
      <c r="U31" s="148"/>
      <c r="V31" s="149"/>
      <c r="W31" s="146"/>
      <c r="X31" s="80">
        <v>46</v>
      </c>
    </row>
    <row r="32" spans="1:24" s="80" customFormat="1" ht="56.25" x14ac:dyDescent="0.25">
      <c r="A32" s="112">
        <v>12</v>
      </c>
      <c r="B32" s="109" t="s">
        <v>56</v>
      </c>
      <c r="C32" s="113" t="s">
        <v>147</v>
      </c>
      <c r="D32" s="109" t="s">
        <v>153</v>
      </c>
      <c r="E32" s="113" t="s">
        <v>36</v>
      </c>
      <c r="F32" s="121">
        <v>45656</v>
      </c>
      <c r="G32" s="114" t="s">
        <v>193</v>
      </c>
      <c r="H32" s="115">
        <v>15000</v>
      </c>
      <c r="I32" s="116">
        <f>IF(X32 = 47, H32 + SUM(S32:S32) - SUM(T32:T32) - SUM(P32:P32) - V32,0)</f>
        <v>15000</v>
      </c>
      <c r="J32" s="117">
        <v>2369007754</v>
      </c>
      <c r="K32" s="118" t="s">
        <v>192</v>
      </c>
      <c r="L32" s="113" t="s">
        <v>147</v>
      </c>
      <c r="M32" s="113" t="s">
        <v>195</v>
      </c>
      <c r="N32" s="121"/>
      <c r="O32" s="111" t="s">
        <v>180</v>
      </c>
      <c r="P32" s="191"/>
      <c r="Q32" s="114"/>
      <c r="R32" s="113"/>
      <c r="S32" s="115"/>
      <c r="T32" s="115"/>
      <c r="U32" s="115"/>
      <c r="V32" s="119"/>
      <c r="W32" s="120"/>
      <c r="X32" s="80">
        <v>47</v>
      </c>
    </row>
    <row r="33" spans="1:24" s="80" customFormat="1" ht="54" customHeight="1" x14ac:dyDescent="0.25">
      <c r="A33" s="625">
        <v>13</v>
      </c>
      <c r="B33" s="631" t="s">
        <v>56</v>
      </c>
      <c r="C33" s="631" t="s">
        <v>147</v>
      </c>
      <c r="D33" s="631" t="s">
        <v>153</v>
      </c>
      <c r="E33" s="631" t="s">
        <v>201</v>
      </c>
      <c r="F33" s="627">
        <v>45656</v>
      </c>
      <c r="G33" s="686" t="s">
        <v>189</v>
      </c>
      <c r="H33" s="629">
        <v>190094.52</v>
      </c>
      <c r="I33" s="688">
        <f>IF(X33 = 80, H33 + SUM(S33:S34) - SUM(T33:T34) - SUM(P33:P34) - V33,0)</f>
        <v>110673.51999999999</v>
      </c>
      <c r="J33" s="690">
        <v>7743529527</v>
      </c>
      <c r="K33" s="692" t="s">
        <v>173</v>
      </c>
      <c r="L33" s="631" t="s">
        <v>147</v>
      </c>
      <c r="M33" s="631" t="s">
        <v>204</v>
      </c>
      <c r="N33" s="284">
        <v>45688</v>
      </c>
      <c r="O33" s="627" t="s">
        <v>209</v>
      </c>
      <c r="P33" s="277">
        <v>32205</v>
      </c>
      <c r="Q33" s="278">
        <v>45701</v>
      </c>
      <c r="R33" s="279"/>
      <c r="S33" s="280"/>
      <c r="T33" s="280"/>
      <c r="U33" s="629"/>
      <c r="V33" s="682"/>
      <c r="W33" s="684"/>
      <c r="X33" s="80">
        <v>80</v>
      </c>
    </row>
    <row r="34" spans="1:24" s="110" customFormat="1" x14ac:dyDescent="0.25">
      <c r="A34" s="626"/>
      <c r="B34" s="632"/>
      <c r="C34" s="632"/>
      <c r="D34" s="632"/>
      <c r="E34" s="632"/>
      <c r="F34" s="628"/>
      <c r="G34" s="687"/>
      <c r="H34" s="630"/>
      <c r="I34" s="689"/>
      <c r="J34" s="691"/>
      <c r="K34" s="693"/>
      <c r="L34" s="632"/>
      <c r="M34" s="632"/>
      <c r="N34" s="285">
        <v>45716</v>
      </c>
      <c r="O34" s="628"/>
      <c r="P34" s="425">
        <v>47216</v>
      </c>
      <c r="Q34" s="282">
        <v>45723</v>
      </c>
      <c r="R34" s="283"/>
      <c r="S34" s="281"/>
      <c r="T34" s="281"/>
      <c r="U34" s="630"/>
      <c r="V34" s="683"/>
      <c r="W34" s="685"/>
      <c r="X34" s="110">
        <v>80</v>
      </c>
    </row>
    <row r="35" spans="1:24" s="80" customFormat="1" ht="54" customHeight="1" x14ac:dyDescent="0.25">
      <c r="A35" s="643">
        <v>14</v>
      </c>
      <c r="B35" s="738" t="s">
        <v>56</v>
      </c>
      <c r="C35" s="738" t="s">
        <v>147</v>
      </c>
      <c r="D35" s="738" t="s">
        <v>153</v>
      </c>
      <c r="E35" s="738" t="s">
        <v>129</v>
      </c>
      <c r="F35" s="645">
        <v>45672</v>
      </c>
      <c r="G35" s="744" t="s">
        <v>202</v>
      </c>
      <c r="H35" s="736">
        <v>18000</v>
      </c>
      <c r="I35" s="746">
        <f>IF(X35 = 81, H35 + SUM(S35:S36) - SUM(T35:T36) - SUM(P35:P36) - V35,0)</f>
        <v>15000</v>
      </c>
      <c r="J35" s="748">
        <v>231107998282</v>
      </c>
      <c r="K35" s="750" t="s">
        <v>203</v>
      </c>
      <c r="L35" s="738" t="s">
        <v>147</v>
      </c>
      <c r="M35" s="738" t="s">
        <v>195</v>
      </c>
      <c r="N35" s="378">
        <v>45688</v>
      </c>
      <c r="O35" s="645" t="s">
        <v>180</v>
      </c>
      <c r="P35" s="362">
        <v>1500</v>
      </c>
      <c r="Q35" s="363">
        <v>45695</v>
      </c>
      <c r="R35" s="364"/>
      <c r="S35" s="365"/>
      <c r="T35" s="365"/>
      <c r="U35" s="736"/>
      <c r="V35" s="740"/>
      <c r="W35" s="742"/>
      <c r="X35" s="80">
        <v>81</v>
      </c>
    </row>
    <row r="36" spans="1:24" s="110" customFormat="1" x14ac:dyDescent="0.25">
      <c r="A36" s="644"/>
      <c r="B36" s="739"/>
      <c r="C36" s="739"/>
      <c r="D36" s="739"/>
      <c r="E36" s="739"/>
      <c r="F36" s="646"/>
      <c r="G36" s="745"/>
      <c r="H36" s="737"/>
      <c r="I36" s="747"/>
      <c r="J36" s="749"/>
      <c r="K36" s="751"/>
      <c r="L36" s="739"/>
      <c r="M36" s="739"/>
      <c r="N36" s="379">
        <v>45733</v>
      </c>
      <c r="O36" s="646"/>
      <c r="P36" s="431">
        <v>1500</v>
      </c>
      <c r="Q36" s="374">
        <v>45741</v>
      </c>
      <c r="R36" s="375"/>
      <c r="S36" s="373"/>
      <c r="T36" s="373"/>
      <c r="U36" s="737"/>
      <c r="V36" s="741"/>
      <c r="W36" s="743"/>
      <c r="X36" s="110">
        <v>81</v>
      </c>
    </row>
    <row r="37" spans="1:24" s="80" customFormat="1" ht="36" customHeight="1" x14ac:dyDescent="0.25">
      <c r="A37" s="633">
        <v>15</v>
      </c>
      <c r="B37" s="639" t="s">
        <v>56</v>
      </c>
      <c r="C37" s="639" t="s">
        <v>147</v>
      </c>
      <c r="D37" s="639" t="s">
        <v>153</v>
      </c>
      <c r="E37" s="639" t="s">
        <v>205</v>
      </c>
      <c r="F37" s="635">
        <v>45672</v>
      </c>
      <c r="G37" s="698" t="s">
        <v>206</v>
      </c>
      <c r="H37" s="637">
        <v>2340</v>
      </c>
      <c r="I37" s="700">
        <f>IF(X37 = 82, H37 + SUM(S37:S38) - SUM(T37:T38) - SUM(P37:P38) - V37,0)</f>
        <v>2202</v>
      </c>
      <c r="J37" s="702">
        <v>7703383783</v>
      </c>
      <c r="K37" s="704" t="s">
        <v>207</v>
      </c>
      <c r="L37" s="639" t="s">
        <v>147</v>
      </c>
      <c r="M37" s="639" t="s">
        <v>195</v>
      </c>
      <c r="N37" s="317">
        <v>45688</v>
      </c>
      <c r="O37" s="635" t="s">
        <v>210</v>
      </c>
      <c r="P37" s="310">
        <v>69</v>
      </c>
      <c r="Q37" s="311">
        <v>45706</v>
      </c>
      <c r="R37" s="312"/>
      <c r="S37" s="313"/>
      <c r="T37" s="313"/>
      <c r="U37" s="637"/>
      <c r="V37" s="694"/>
      <c r="W37" s="696"/>
      <c r="X37" s="80">
        <v>82</v>
      </c>
    </row>
    <row r="38" spans="1:24" s="110" customFormat="1" x14ac:dyDescent="0.25">
      <c r="A38" s="634"/>
      <c r="B38" s="640"/>
      <c r="C38" s="640"/>
      <c r="D38" s="640"/>
      <c r="E38" s="640"/>
      <c r="F38" s="636"/>
      <c r="G38" s="699"/>
      <c r="H38" s="638"/>
      <c r="I38" s="701"/>
      <c r="J38" s="703"/>
      <c r="K38" s="705"/>
      <c r="L38" s="640"/>
      <c r="M38" s="640"/>
      <c r="N38" s="318">
        <v>45716</v>
      </c>
      <c r="O38" s="636"/>
      <c r="P38" s="426">
        <v>69</v>
      </c>
      <c r="Q38" s="315">
        <v>45733</v>
      </c>
      <c r="R38" s="316"/>
      <c r="S38" s="314"/>
      <c r="T38" s="314"/>
      <c r="U38" s="638"/>
      <c r="V38" s="695"/>
      <c r="W38" s="697"/>
      <c r="X38" s="110">
        <v>82</v>
      </c>
    </row>
    <row r="39" spans="1:24" s="80" customFormat="1" ht="36" customHeight="1" x14ac:dyDescent="0.25">
      <c r="A39" s="641">
        <v>16</v>
      </c>
      <c r="B39" s="544" t="s">
        <v>56</v>
      </c>
      <c r="C39" s="544" t="s">
        <v>147</v>
      </c>
      <c r="D39" s="544" t="s">
        <v>153</v>
      </c>
      <c r="E39" s="544" t="s">
        <v>226</v>
      </c>
      <c r="F39" s="540">
        <v>45653</v>
      </c>
      <c r="G39" s="550" t="s">
        <v>227</v>
      </c>
      <c r="H39" s="542">
        <v>31680</v>
      </c>
      <c r="I39" s="552">
        <f>IF(X39 = 85, H39 + SUM(S39:S40) - SUM(T39:T40) - SUM(P39:P40) - V39,0)</f>
        <v>21312</v>
      </c>
      <c r="J39" s="554">
        <v>235300582900</v>
      </c>
      <c r="K39" s="556" t="s">
        <v>158</v>
      </c>
      <c r="L39" s="544" t="s">
        <v>147</v>
      </c>
      <c r="M39" s="544" t="s">
        <v>230</v>
      </c>
      <c r="N39" s="326">
        <v>45688</v>
      </c>
      <c r="O39" s="540" t="s">
        <v>180</v>
      </c>
      <c r="P39" s="319">
        <v>5112</v>
      </c>
      <c r="Q39" s="320">
        <v>45702</v>
      </c>
      <c r="R39" s="321"/>
      <c r="S39" s="322"/>
      <c r="T39" s="322"/>
      <c r="U39" s="542"/>
      <c r="V39" s="546"/>
      <c r="W39" s="548"/>
      <c r="X39" s="80">
        <v>85</v>
      </c>
    </row>
    <row r="40" spans="1:24" s="110" customFormat="1" x14ac:dyDescent="0.25">
      <c r="A40" s="642"/>
      <c r="B40" s="545"/>
      <c r="C40" s="545"/>
      <c r="D40" s="545"/>
      <c r="E40" s="545"/>
      <c r="F40" s="541"/>
      <c r="G40" s="551"/>
      <c r="H40" s="543"/>
      <c r="I40" s="553"/>
      <c r="J40" s="555"/>
      <c r="K40" s="557"/>
      <c r="L40" s="545"/>
      <c r="M40" s="545"/>
      <c r="N40" s="327">
        <v>45728</v>
      </c>
      <c r="O40" s="541"/>
      <c r="P40" s="429">
        <v>5256</v>
      </c>
      <c r="Q40" s="324">
        <v>45733</v>
      </c>
      <c r="R40" s="325"/>
      <c r="S40" s="323"/>
      <c r="T40" s="323"/>
      <c r="U40" s="543"/>
      <c r="V40" s="547"/>
      <c r="W40" s="549"/>
      <c r="X40" s="110">
        <v>85</v>
      </c>
    </row>
    <row r="41" spans="1:24" s="80" customFormat="1" ht="36" customHeight="1" x14ac:dyDescent="0.25">
      <c r="A41" s="611">
        <v>17</v>
      </c>
      <c r="B41" s="608" t="s">
        <v>56</v>
      </c>
      <c r="C41" s="608" t="s">
        <v>147</v>
      </c>
      <c r="D41" s="608" t="s">
        <v>153</v>
      </c>
      <c r="E41" s="608" t="s">
        <v>228</v>
      </c>
      <c r="F41" s="655">
        <v>46018</v>
      </c>
      <c r="G41" s="658" t="s">
        <v>227</v>
      </c>
      <c r="H41" s="614">
        <v>109854</v>
      </c>
      <c r="I41" s="661">
        <f>IF(X41 = 86, H41 + SUM(S41:S43) - SUM(T41:T43) - SUM(P41:P43) - V41,0)</f>
        <v>3.637978807091713E-12</v>
      </c>
      <c r="J41" s="664">
        <v>235300582900</v>
      </c>
      <c r="K41" s="667" t="s">
        <v>158</v>
      </c>
      <c r="L41" s="608" t="s">
        <v>147</v>
      </c>
      <c r="M41" s="608" t="s">
        <v>231</v>
      </c>
      <c r="N41" s="202">
        <v>45688</v>
      </c>
      <c r="O41" s="655" t="s">
        <v>180</v>
      </c>
      <c r="P41" s="234">
        <v>87010</v>
      </c>
      <c r="Q41" s="204">
        <v>45702</v>
      </c>
      <c r="R41" s="205"/>
      <c r="S41" s="203"/>
      <c r="T41" s="203"/>
      <c r="U41" s="614" t="s">
        <v>264</v>
      </c>
      <c r="V41" s="649">
        <v>14085.8</v>
      </c>
      <c r="W41" s="652"/>
      <c r="X41" s="80">
        <v>86</v>
      </c>
    </row>
    <row r="42" spans="1:24" s="110" customFormat="1" x14ac:dyDescent="0.25">
      <c r="A42" s="612"/>
      <c r="B42" s="609"/>
      <c r="C42" s="609"/>
      <c r="D42" s="609"/>
      <c r="E42" s="609"/>
      <c r="F42" s="656"/>
      <c r="G42" s="659"/>
      <c r="H42" s="615"/>
      <c r="I42" s="662"/>
      <c r="J42" s="665"/>
      <c r="K42" s="668"/>
      <c r="L42" s="609"/>
      <c r="M42" s="609"/>
      <c r="N42" s="210">
        <v>45688</v>
      </c>
      <c r="O42" s="656"/>
      <c r="P42" s="235">
        <v>3608.8</v>
      </c>
      <c r="Q42" s="212">
        <v>45695</v>
      </c>
      <c r="R42" s="213"/>
      <c r="S42" s="211"/>
      <c r="T42" s="211"/>
      <c r="U42" s="615"/>
      <c r="V42" s="650"/>
      <c r="W42" s="653"/>
      <c r="X42" s="110">
        <v>86</v>
      </c>
    </row>
    <row r="43" spans="1:24" s="110" customFormat="1" x14ac:dyDescent="0.25">
      <c r="A43" s="613"/>
      <c r="B43" s="610"/>
      <c r="C43" s="610"/>
      <c r="D43" s="610"/>
      <c r="E43" s="610"/>
      <c r="F43" s="657"/>
      <c r="G43" s="660"/>
      <c r="H43" s="616"/>
      <c r="I43" s="663"/>
      <c r="J43" s="666"/>
      <c r="K43" s="669"/>
      <c r="L43" s="610"/>
      <c r="M43" s="610"/>
      <c r="N43" s="206">
        <v>45688</v>
      </c>
      <c r="O43" s="657"/>
      <c r="P43" s="236">
        <v>5149.3999999999996</v>
      </c>
      <c r="Q43" s="208">
        <v>45706</v>
      </c>
      <c r="R43" s="209"/>
      <c r="S43" s="207"/>
      <c r="T43" s="207"/>
      <c r="U43" s="616"/>
      <c r="V43" s="651"/>
      <c r="W43" s="654"/>
      <c r="X43" s="110">
        <v>86</v>
      </c>
    </row>
    <row r="44" spans="1:24" s="80" customFormat="1" ht="56.25" x14ac:dyDescent="0.25">
      <c r="A44" s="193">
        <v>18</v>
      </c>
      <c r="B44" s="109" t="s">
        <v>56</v>
      </c>
      <c r="C44" s="180" t="s">
        <v>147</v>
      </c>
      <c r="D44" s="109" t="s">
        <v>153</v>
      </c>
      <c r="E44" s="194" t="s">
        <v>229</v>
      </c>
      <c r="F44" s="201">
        <v>45672</v>
      </c>
      <c r="G44" s="195" t="s">
        <v>227</v>
      </c>
      <c r="H44" s="196">
        <v>10472</v>
      </c>
      <c r="I44" s="197">
        <f>IF(X44 = 87, H44 + SUM(S44:S44) - SUM(T44:T44) - SUM(P44:P44) - V44,0)</f>
        <v>0</v>
      </c>
      <c r="J44" s="198">
        <v>235300582900</v>
      </c>
      <c r="K44" s="199" t="s">
        <v>158</v>
      </c>
      <c r="L44" s="180" t="s">
        <v>147</v>
      </c>
      <c r="M44" s="194" t="s">
        <v>231</v>
      </c>
      <c r="N44" s="201">
        <v>45688</v>
      </c>
      <c r="O44" s="111" t="s">
        <v>180</v>
      </c>
      <c r="P44" s="237">
        <v>9394</v>
      </c>
      <c r="Q44" s="195">
        <v>45706</v>
      </c>
      <c r="R44" s="194"/>
      <c r="S44" s="196"/>
      <c r="T44" s="196"/>
      <c r="U44" s="196" t="s">
        <v>264</v>
      </c>
      <c r="V44" s="200">
        <v>1078</v>
      </c>
      <c r="W44" s="192"/>
      <c r="X44" s="80">
        <v>87</v>
      </c>
    </row>
    <row r="45" spans="1:24" s="80" customFormat="1" ht="150" x14ac:dyDescent="0.25">
      <c r="A45" s="193">
        <v>19</v>
      </c>
      <c r="B45" s="109" t="s">
        <v>56</v>
      </c>
      <c r="C45" s="194" t="s">
        <v>147</v>
      </c>
      <c r="D45" s="109" t="s">
        <v>153</v>
      </c>
      <c r="E45" s="194" t="s">
        <v>246</v>
      </c>
      <c r="F45" s="201">
        <v>45688</v>
      </c>
      <c r="G45" s="195" t="s">
        <v>181</v>
      </c>
      <c r="H45" s="196">
        <v>62208</v>
      </c>
      <c r="I45" s="197">
        <f>IF(X45 = 88, H45 + SUM(S45:S45) - SUM(T45:T45) - SUM(P45:P45) - V45,0)</f>
        <v>54432</v>
      </c>
      <c r="J45" s="198">
        <v>2353017179</v>
      </c>
      <c r="K45" s="199" t="s">
        <v>182</v>
      </c>
      <c r="L45" s="194" t="s">
        <v>147</v>
      </c>
      <c r="M45" s="194" t="s">
        <v>247</v>
      </c>
      <c r="N45" s="201">
        <v>45716</v>
      </c>
      <c r="O45" s="201" t="s">
        <v>180</v>
      </c>
      <c r="P45" s="237">
        <v>7776</v>
      </c>
      <c r="Q45" s="195">
        <v>45721</v>
      </c>
      <c r="R45" s="194"/>
      <c r="S45" s="196"/>
      <c r="T45" s="196"/>
      <c r="U45" s="196"/>
      <c r="V45" s="200"/>
      <c r="W45" s="192"/>
      <c r="X45" s="80">
        <v>88</v>
      </c>
    </row>
    <row r="46" spans="1:24" s="80" customFormat="1" ht="75" x14ac:dyDescent="0.25">
      <c r="A46" s="264">
        <v>20</v>
      </c>
      <c r="B46" s="109" t="s">
        <v>56</v>
      </c>
      <c r="C46" s="194" t="s">
        <v>147</v>
      </c>
      <c r="D46" s="109" t="s">
        <v>153</v>
      </c>
      <c r="E46" s="266" t="s">
        <v>259</v>
      </c>
      <c r="F46" s="276">
        <v>45713</v>
      </c>
      <c r="G46" s="269" t="s">
        <v>260</v>
      </c>
      <c r="H46" s="265">
        <v>31000</v>
      </c>
      <c r="I46" s="270">
        <f>IF(X46 = 89, H46 + SUM(S46:S46) - SUM(T46:T46) - SUM(P46:P46) - V46,0)</f>
        <v>0</v>
      </c>
      <c r="J46" s="271">
        <v>2311204586</v>
      </c>
      <c r="K46" s="272" t="s">
        <v>261</v>
      </c>
      <c r="L46" s="266" t="s">
        <v>147</v>
      </c>
      <c r="M46" s="266" t="s">
        <v>262</v>
      </c>
      <c r="N46" s="276">
        <v>45713</v>
      </c>
      <c r="O46" s="201" t="s">
        <v>263</v>
      </c>
      <c r="P46" s="275">
        <v>31000</v>
      </c>
      <c r="Q46" s="269">
        <v>45716</v>
      </c>
      <c r="R46" s="266"/>
      <c r="S46" s="265"/>
      <c r="T46" s="265"/>
      <c r="U46" s="265"/>
      <c r="V46" s="267"/>
      <c r="W46" s="268"/>
      <c r="X46" s="80">
        <v>89</v>
      </c>
    </row>
    <row r="47" spans="1:24" s="80" customFormat="1" ht="36" customHeight="1" x14ac:dyDescent="0.25">
      <c r="A47" s="706">
        <v>21</v>
      </c>
      <c r="B47" s="715" t="s">
        <v>56</v>
      </c>
      <c r="C47" s="715" t="s">
        <v>147</v>
      </c>
      <c r="D47" s="715" t="s">
        <v>153</v>
      </c>
      <c r="E47" s="715" t="s">
        <v>265</v>
      </c>
      <c r="F47" s="709">
        <v>45688</v>
      </c>
      <c r="G47" s="724" t="s">
        <v>227</v>
      </c>
      <c r="H47" s="712">
        <v>488382</v>
      </c>
      <c r="I47" s="727">
        <f>IF(X47 = 90, H47 + SUM(S47:S50) - SUM(T47:T50) - SUM(P47:P50) - V47,0)</f>
        <v>392403.4</v>
      </c>
      <c r="J47" s="730">
        <v>235300582900</v>
      </c>
      <c r="K47" s="733" t="s">
        <v>158</v>
      </c>
      <c r="L47" s="715" t="s">
        <v>147</v>
      </c>
      <c r="M47" s="715" t="s">
        <v>266</v>
      </c>
      <c r="N47" s="328">
        <v>45728</v>
      </c>
      <c r="O47" s="709" t="s">
        <v>180</v>
      </c>
      <c r="P47" s="430">
        <v>9702</v>
      </c>
      <c r="Q47" s="330">
        <v>45733</v>
      </c>
      <c r="R47" s="331"/>
      <c r="S47" s="329"/>
      <c r="T47" s="329"/>
      <c r="U47" s="712"/>
      <c r="V47" s="718"/>
      <c r="W47" s="721"/>
      <c r="X47" s="80">
        <v>90</v>
      </c>
    </row>
    <row r="48" spans="1:24" s="110" customFormat="1" x14ac:dyDescent="0.25">
      <c r="A48" s="707"/>
      <c r="B48" s="716"/>
      <c r="C48" s="716"/>
      <c r="D48" s="716"/>
      <c r="E48" s="716"/>
      <c r="F48" s="710"/>
      <c r="G48" s="725"/>
      <c r="H48" s="713"/>
      <c r="I48" s="728"/>
      <c r="J48" s="731"/>
      <c r="K48" s="734"/>
      <c r="L48" s="716"/>
      <c r="M48" s="716"/>
      <c r="N48" s="336">
        <v>45728</v>
      </c>
      <c r="O48" s="710"/>
      <c r="P48" s="427">
        <v>79464</v>
      </c>
      <c r="Q48" s="338">
        <v>45733</v>
      </c>
      <c r="R48" s="339"/>
      <c r="S48" s="337"/>
      <c r="T48" s="337"/>
      <c r="U48" s="713"/>
      <c r="V48" s="719"/>
      <c r="W48" s="722"/>
      <c r="X48" s="110">
        <v>90</v>
      </c>
    </row>
    <row r="49" spans="1:24" s="110" customFormat="1" x14ac:dyDescent="0.25">
      <c r="A49" s="707"/>
      <c r="B49" s="716"/>
      <c r="C49" s="716"/>
      <c r="D49" s="716"/>
      <c r="E49" s="716"/>
      <c r="F49" s="710"/>
      <c r="G49" s="725"/>
      <c r="H49" s="713"/>
      <c r="I49" s="728"/>
      <c r="J49" s="731"/>
      <c r="K49" s="734"/>
      <c r="L49" s="716"/>
      <c r="M49" s="716"/>
      <c r="N49" s="336">
        <v>45728</v>
      </c>
      <c r="O49" s="710"/>
      <c r="P49" s="427">
        <v>4869.3999999999996</v>
      </c>
      <c r="Q49" s="338">
        <v>45733</v>
      </c>
      <c r="R49" s="339"/>
      <c r="S49" s="337"/>
      <c r="T49" s="337"/>
      <c r="U49" s="713"/>
      <c r="V49" s="719"/>
      <c r="W49" s="722"/>
      <c r="X49" s="110">
        <v>90</v>
      </c>
    </row>
    <row r="50" spans="1:24" s="110" customFormat="1" x14ac:dyDescent="0.25">
      <c r="A50" s="708"/>
      <c r="B50" s="717"/>
      <c r="C50" s="717"/>
      <c r="D50" s="717"/>
      <c r="E50" s="717"/>
      <c r="F50" s="711"/>
      <c r="G50" s="726"/>
      <c r="H50" s="714"/>
      <c r="I50" s="729"/>
      <c r="J50" s="732"/>
      <c r="K50" s="735"/>
      <c r="L50" s="717"/>
      <c r="M50" s="717"/>
      <c r="N50" s="332">
        <v>45728</v>
      </c>
      <c r="O50" s="711"/>
      <c r="P50" s="428">
        <v>1943.2</v>
      </c>
      <c r="Q50" s="334">
        <v>45733</v>
      </c>
      <c r="R50" s="335"/>
      <c r="S50" s="333"/>
      <c r="T50" s="333"/>
      <c r="U50" s="714"/>
      <c r="V50" s="720"/>
      <c r="W50" s="723"/>
      <c r="X50" s="110">
        <v>90</v>
      </c>
    </row>
    <row r="51" spans="1:24" s="80" customFormat="1" ht="75" x14ac:dyDescent="0.25">
      <c r="A51" s="356">
        <v>22</v>
      </c>
      <c r="B51" s="352" t="s">
        <v>56</v>
      </c>
      <c r="C51" s="352" t="s">
        <v>147</v>
      </c>
      <c r="D51" s="352" t="s">
        <v>153</v>
      </c>
      <c r="E51" s="352" t="s">
        <v>267</v>
      </c>
      <c r="F51" s="360">
        <v>45748</v>
      </c>
      <c r="G51" s="353" t="s">
        <v>189</v>
      </c>
      <c r="H51" s="354">
        <v>145276.79999999999</v>
      </c>
      <c r="I51" s="355">
        <f>IF(X51 = 91, H51 + SUM(S51:S51) - SUM(T51:T51) - SUM(P51:P51) - V51,0)</f>
        <v>145276.79999999999</v>
      </c>
      <c r="J51" s="357">
        <v>7743529527</v>
      </c>
      <c r="K51" s="358" t="s">
        <v>173</v>
      </c>
      <c r="L51" s="352" t="s">
        <v>147</v>
      </c>
      <c r="M51" s="352" t="s">
        <v>268</v>
      </c>
      <c r="N51" s="360"/>
      <c r="O51" s="360" t="s">
        <v>209</v>
      </c>
      <c r="P51" s="354"/>
      <c r="Q51" s="353"/>
      <c r="R51" s="352"/>
      <c r="S51" s="354"/>
      <c r="T51" s="354"/>
      <c r="U51" s="354"/>
      <c r="V51" s="359"/>
      <c r="W51" s="351"/>
      <c r="X51" s="80">
        <v>91</v>
      </c>
    </row>
    <row r="52" spans="1:24" s="80" customFormat="1" ht="75" x14ac:dyDescent="0.25">
      <c r="A52" s="366">
        <v>23</v>
      </c>
      <c r="B52" s="361" t="s">
        <v>56</v>
      </c>
      <c r="C52" s="367" t="s">
        <v>147</v>
      </c>
      <c r="D52" s="361" t="s">
        <v>153</v>
      </c>
      <c r="E52" s="367" t="s">
        <v>269</v>
      </c>
      <c r="F52" s="380">
        <v>45714</v>
      </c>
      <c r="G52" s="368" t="s">
        <v>270</v>
      </c>
      <c r="H52" s="369">
        <v>6698.9</v>
      </c>
      <c r="I52" s="370">
        <f>IF(X52 = 92, H52 + SUM(S52:S52) - SUM(T52:T52) - SUM(P52:P52) - V52,0)</f>
        <v>0</v>
      </c>
      <c r="J52" s="371">
        <v>7706526550</v>
      </c>
      <c r="K52" s="372" t="s">
        <v>271</v>
      </c>
      <c r="L52" s="367" t="s">
        <v>147</v>
      </c>
      <c r="M52" s="367" t="s">
        <v>272</v>
      </c>
      <c r="N52" s="380">
        <v>45730</v>
      </c>
      <c r="O52" s="380" t="s">
        <v>180</v>
      </c>
      <c r="P52" s="431">
        <v>6698.9</v>
      </c>
      <c r="Q52" s="368">
        <v>45741</v>
      </c>
      <c r="R52" s="367"/>
      <c r="S52" s="369"/>
      <c r="T52" s="369"/>
      <c r="U52" s="369"/>
      <c r="V52" s="376"/>
      <c r="W52" s="377"/>
      <c r="X52" s="80">
        <v>92</v>
      </c>
    </row>
    <row r="53" spans="1:24" x14ac:dyDescent="0.25">
      <c r="X53" s="2">
        <v>93</v>
      </c>
    </row>
  </sheetData>
  <sheetProtection algorithmName="SHA-512" hashValue="R8U4Nz6kzEpvOFoThu0CtTrN897i0/MwymnrkKv9p8w0WKyQewgydA5OKsCdLPFdt/IIaNvG5FPEL5yqg+nWow==" saltValue="tNzO+Vzyd/SrrLINNaBLJw==" spinCount="100000" sheet="1" objects="1" scenarios="1" formatCells="0" formatColumns="0" formatRows="0"/>
  <mergeCells count="224">
    <mergeCell ref="B35:B36"/>
    <mergeCell ref="V35:V36"/>
    <mergeCell ref="C35:C36"/>
    <mergeCell ref="W35:W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A47:A50"/>
    <mergeCell ref="O47:O50"/>
    <mergeCell ref="U47:U50"/>
    <mergeCell ref="B47:B50"/>
    <mergeCell ref="V47:V50"/>
    <mergeCell ref="C47:C50"/>
    <mergeCell ref="W47:W50"/>
    <mergeCell ref="D47:D50"/>
    <mergeCell ref="E47:E50"/>
    <mergeCell ref="F47:F50"/>
    <mergeCell ref="G47:G50"/>
    <mergeCell ref="H47:H50"/>
    <mergeCell ref="I47:I50"/>
    <mergeCell ref="J47:J50"/>
    <mergeCell ref="K47:K50"/>
    <mergeCell ref="L47:L50"/>
    <mergeCell ref="M47:M50"/>
    <mergeCell ref="C37:C38"/>
    <mergeCell ref="W37:W38"/>
    <mergeCell ref="D37:D38"/>
    <mergeCell ref="E37:E38"/>
    <mergeCell ref="F37:F38"/>
    <mergeCell ref="G37:G38"/>
    <mergeCell ref="H37:H38"/>
    <mergeCell ref="I37:I38"/>
    <mergeCell ref="J37:J38"/>
    <mergeCell ref="K37:K38"/>
    <mergeCell ref="L37:L38"/>
    <mergeCell ref="M37:M38"/>
    <mergeCell ref="B22:B23"/>
    <mergeCell ref="K29:K30"/>
    <mergeCell ref="L29:L30"/>
    <mergeCell ref="M29:M30"/>
    <mergeCell ref="V33:V34"/>
    <mergeCell ref="C33:C34"/>
    <mergeCell ref="W33:W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E29:E30"/>
    <mergeCell ref="O35:O36"/>
    <mergeCell ref="S2:U2"/>
    <mergeCell ref="F2:G2"/>
    <mergeCell ref="N2:O2"/>
    <mergeCell ref="V41:V43"/>
    <mergeCell ref="W41:W43"/>
    <mergeCell ref="F41:F43"/>
    <mergeCell ref="G41:G43"/>
    <mergeCell ref="H41:H43"/>
    <mergeCell ref="I41:I43"/>
    <mergeCell ref="J41:J43"/>
    <mergeCell ref="K41:K43"/>
    <mergeCell ref="L41:L43"/>
    <mergeCell ref="M41:M43"/>
    <mergeCell ref="O41:O43"/>
    <mergeCell ref="V29:V30"/>
    <mergeCell ref="W29:W30"/>
    <mergeCell ref="F29:F30"/>
    <mergeCell ref="G29:G30"/>
    <mergeCell ref="H29:H30"/>
    <mergeCell ref="I29:I30"/>
    <mergeCell ref="J29:J30"/>
    <mergeCell ref="V37:V38"/>
    <mergeCell ref="U35:U36"/>
    <mergeCell ref="C22:C23"/>
    <mergeCell ref="D41:D43"/>
    <mergeCell ref="A41:A43"/>
    <mergeCell ref="B41:B43"/>
    <mergeCell ref="C41:C43"/>
    <mergeCell ref="E41:E43"/>
    <mergeCell ref="U41:U43"/>
    <mergeCell ref="A22:A23"/>
    <mergeCell ref="A29:A30"/>
    <mergeCell ref="O29:O30"/>
    <mergeCell ref="U29:U30"/>
    <mergeCell ref="B29:B30"/>
    <mergeCell ref="A33:A34"/>
    <mergeCell ref="O33:O34"/>
    <mergeCell ref="U33:U34"/>
    <mergeCell ref="B33:B34"/>
    <mergeCell ref="A37:A38"/>
    <mergeCell ref="O37:O38"/>
    <mergeCell ref="U37:U38"/>
    <mergeCell ref="B37:B38"/>
    <mergeCell ref="C29:C30"/>
    <mergeCell ref="D29:D30"/>
    <mergeCell ref="A39:A40"/>
    <mergeCell ref="A35:A36"/>
    <mergeCell ref="W22:W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O22:O23"/>
    <mergeCell ref="U22:U23"/>
    <mergeCell ref="V22:V23"/>
    <mergeCell ref="A20:A21"/>
    <mergeCell ref="O20:O21"/>
    <mergeCell ref="U20:U21"/>
    <mergeCell ref="B20:B21"/>
    <mergeCell ref="V20:V21"/>
    <mergeCell ref="C20:C21"/>
    <mergeCell ref="W25:W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A25:A26"/>
    <mergeCell ref="O25:O26"/>
    <mergeCell ref="U25:U26"/>
    <mergeCell ref="B25:B26"/>
    <mergeCell ref="V25:V26"/>
    <mergeCell ref="C25:C26"/>
    <mergeCell ref="W20:W21"/>
    <mergeCell ref="M20:M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A9:A14"/>
    <mergeCell ref="O9:O14"/>
    <mergeCell ref="U9:U14"/>
    <mergeCell ref="B9:B14"/>
    <mergeCell ref="V9:V14"/>
    <mergeCell ref="C9:C14"/>
    <mergeCell ref="W9:W14"/>
    <mergeCell ref="D9:D14"/>
    <mergeCell ref="E9:E14"/>
    <mergeCell ref="F9:F14"/>
    <mergeCell ref="G9:G14"/>
    <mergeCell ref="H9:H14"/>
    <mergeCell ref="I9:I14"/>
    <mergeCell ref="J9:J14"/>
    <mergeCell ref="K9:K14"/>
    <mergeCell ref="L9:L14"/>
    <mergeCell ref="M9:M14"/>
    <mergeCell ref="O39:O40"/>
    <mergeCell ref="U39:U40"/>
    <mergeCell ref="B39:B40"/>
    <mergeCell ref="V39:V40"/>
    <mergeCell ref="C39:C40"/>
    <mergeCell ref="W39:W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A15:A17"/>
    <mergeCell ref="O15:O17"/>
    <mergeCell ref="U15:U17"/>
    <mergeCell ref="B15:B17"/>
    <mergeCell ref="V15:V17"/>
    <mergeCell ref="C15:C17"/>
    <mergeCell ref="W15:W17"/>
    <mergeCell ref="D15:D17"/>
    <mergeCell ref="E15:E17"/>
    <mergeCell ref="F15:F17"/>
    <mergeCell ref="G15:G17"/>
    <mergeCell ref="H15:H17"/>
    <mergeCell ref="I15:I17"/>
    <mergeCell ref="J15:J17"/>
    <mergeCell ref="K15:K17"/>
    <mergeCell ref="L15:L17"/>
    <mergeCell ref="M15:M17"/>
    <mergeCell ref="A18:A19"/>
    <mergeCell ref="O18:O19"/>
    <mergeCell ref="U18:U19"/>
    <mergeCell ref="B18:B19"/>
    <mergeCell ref="V18:V19"/>
    <mergeCell ref="C18:C19"/>
    <mergeCell ref="W18:W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</mergeCells>
  <phoneticPr fontId="17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rgb="FF00B050"/>
  </sheetPr>
  <dimension ref="A1:V20"/>
  <sheetViews>
    <sheetView showGridLines="0" topLeftCell="J1" zoomScale="50" zoomScaleNormal="50" workbookViewId="0">
      <pane ySplit="8" topLeftCell="A9" activePane="bottomLeft" state="frozen"/>
      <selection pane="bottomLeft" activeCell="N12" sqref="N12"/>
    </sheetView>
  </sheetViews>
  <sheetFormatPr defaultColWidth="0" defaultRowHeight="18.75" x14ac:dyDescent="0.25"/>
  <cols>
    <col min="1" max="1" width="8.42578125" style="3" customWidth="1"/>
    <col min="2" max="2" width="28.5703125" style="3" customWidth="1"/>
    <col min="3" max="3" width="39.5703125" style="3" bestFit="1" customWidth="1"/>
    <col min="4" max="4" width="23.85546875" style="3" customWidth="1"/>
    <col min="5" max="5" width="32.42578125" style="3" customWidth="1"/>
    <col min="6" max="6" width="27.42578125" style="11" customWidth="1"/>
    <col min="7" max="7" width="27.42578125" style="3" customWidth="1"/>
    <col min="8" max="8" width="33" style="3" customWidth="1"/>
    <col min="9" max="10" width="27.42578125" style="10" customWidth="1"/>
    <col min="11" max="11" width="26.5703125" style="3" customWidth="1"/>
    <col min="12" max="12" width="38.42578125" style="11" customWidth="1"/>
    <col min="13" max="13" width="37.5703125" style="3" customWidth="1"/>
    <col min="14" max="14" width="24.5703125" style="10" customWidth="1"/>
    <col min="15" max="16" width="24.42578125" style="11" customWidth="1"/>
    <col min="17" max="17" width="27.42578125" style="11" customWidth="1"/>
    <col min="18" max="18" width="27.140625" style="11" customWidth="1"/>
    <col min="19" max="19" width="23.42578125" style="11" customWidth="1"/>
    <col min="20" max="20" width="22.85546875" style="10" customWidth="1"/>
    <col min="21" max="21" width="21.85546875" style="2" customWidth="1"/>
    <col min="22" max="16384" width="9.140625" style="2" hidden="1"/>
  </cols>
  <sheetData>
    <row r="1" spans="1:22" ht="19.5" thickBot="1" x14ac:dyDescent="0.3"/>
    <row r="2" spans="1:22" ht="39.950000000000003" customHeight="1" thickBot="1" x14ac:dyDescent="0.3">
      <c r="B2" s="65"/>
      <c r="C2" s="65"/>
      <c r="D2" s="65"/>
      <c r="E2" s="647" t="s">
        <v>24</v>
      </c>
      <c r="F2" s="648"/>
      <c r="G2" s="75">
        <f>SUM(G9:G9999)</f>
        <v>1337343.5350000001</v>
      </c>
      <c r="L2" s="773" t="s">
        <v>137</v>
      </c>
      <c r="M2" s="774"/>
      <c r="N2" s="66">
        <f>SUM(N9:N9999)</f>
        <v>463320.98</v>
      </c>
      <c r="P2" s="65"/>
      <c r="Q2" s="486" t="s">
        <v>45</v>
      </c>
      <c r="R2" s="487"/>
      <c r="S2" s="488"/>
      <c r="T2" s="67">
        <f>SUM(T9:T9999)</f>
        <v>0</v>
      </c>
    </row>
    <row r="3" spans="1:22" x14ac:dyDescent="0.25">
      <c r="E3" s="2"/>
      <c r="F3" s="2"/>
      <c r="G3" s="2"/>
      <c r="H3" s="2"/>
      <c r="L3" s="2"/>
      <c r="M3" s="2"/>
      <c r="P3" s="2"/>
      <c r="Q3" s="2"/>
      <c r="R3" s="2"/>
      <c r="S3" s="2"/>
    </row>
    <row r="4" spans="1:22" ht="39.950000000000003" customHeight="1" x14ac:dyDescent="0.25">
      <c r="E4" s="2"/>
      <c r="F4" s="2"/>
      <c r="G4" s="2"/>
      <c r="H4" s="2"/>
      <c r="L4" s="2"/>
      <c r="M4" s="2"/>
      <c r="P4" s="2"/>
      <c r="Q4" s="2"/>
      <c r="R4" s="2"/>
      <c r="S4" s="2"/>
    </row>
    <row r="6" spans="1:22" ht="150" x14ac:dyDescent="0.25">
      <c r="A6" s="23" t="s">
        <v>8</v>
      </c>
      <c r="B6" s="23" t="s">
        <v>21</v>
      </c>
      <c r="C6" s="23" t="s">
        <v>10</v>
      </c>
      <c r="D6" s="23" t="s">
        <v>15</v>
      </c>
      <c r="E6" s="23" t="s">
        <v>0</v>
      </c>
      <c r="F6" s="22" t="s">
        <v>3</v>
      </c>
      <c r="G6" s="23" t="s">
        <v>38</v>
      </c>
      <c r="H6" s="23" t="s">
        <v>22</v>
      </c>
      <c r="I6" s="68" t="s">
        <v>46</v>
      </c>
      <c r="J6" s="68" t="s">
        <v>5</v>
      </c>
      <c r="K6" s="23" t="s">
        <v>39</v>
      </c>
      <c r="L6" s="22" t="s">
        <v>37</v>
      </c>
      <c r="M6" s="23" t="s">
        <v>6</v>
      </c>
      <c r="N6" s="68" t="s">
        <v>23</v>
      </c>
      <c r="O6" s="22" t="s">
        <v>9</v>
      </c>
      <c r="P6" s="22" t="s">
        <v>40</v>
      </c>
      <c r="Q6" s="22" t="s">
        <v>103</v>
      </c>
      <c r="R6" s="22" t="s">
        <v>104</v>
      </c>
      <c r="S6" s="22" t="s">
        <v>41</v>
      </c>
      <c r="T6" s="68" t="s">
        <v>43</v>
      </c>
      <c r="U6" s="13" t="s">
        <v>42</v>
      </c>
    </row>
    <row r="7" spans="1:22" s="82" customFormat="1" x14ac:dyDescent="0.25">
      <c r="A7" s="81" t="s">
        <v>36</v>
      </c>
      <c r="B7" s="81" t="s">
        <v>110</v>
      </c>
      <c r="C7" s="81" t="s">
        <v>111</v>
      </c>
      <c r="D7" s="81" t="s">
        <v>112</v>
      </c>
      <c r="E7" s="81" t="s">
        <v>113</v>
      </c>
      <c r="F7" s="81" t="s">
        <v>114</v>
      </c>
      <c r="G7" s="81" t="s">
        <v>115</v>
      </c>
      <c r="H7" s="81" t="s">
        <v>116</v>
      </c>
      <c r="I7" s="81" t="s">
        <v>117</v>
      </c>
      <c r="J7" s="81" t="s">
        <v>118</v>
      </c>
      <c r="K7" s="81" t="s">
        <v>119</v>
      </c>
      <c r="L7" s="81" t="s">
        <v>120</v>
      </c>
      <c r="M7" s="81" t="s">
        <v>121</v>
      </c>
      <c r="N7" s="81" t="s">
        <v>122</v>
      </c>
      <c r="O7" s="81" t="s">
        <v>123</v>
      </c>
      <c r="P7" s="81" t="s">
        <v>124</v>
      </c>
      <c r="Q7" s="81" t="s">
        <v>125</v>
      </c>
      <c r="R7" s="81" t="s">
        <v>126</v>
      </c>
      <c r="S7" s="81" t="s">
        <v>127</v>
      </c>
      <c r="T7" s="81" t="s">
        <v>128</v>
      </c>
      <c r="U7" s="81" t="s">
        <v>129</v>
      </c>
    </row>
    <row r="8" spans="1:22" s="14" customFormat="1" ht="131.25" hidden="1" x14ac:dyDescent="0.25">
      <c r="A8" s="69" t="s">
        <v>36</v>
      </c>
      <c r="B8" s="69" t="s">
        <v>67</v>
      </c>
      <c r="C8" s="69" t="s">
        <v>66</v>
      </c>
      <c r="D8" s="69" t="s">
        <v>48</v>
      </c>
      <c r="E8" s="73">
        <v>43823</v>
      </c>
      <c r="F8" s="70" t="s">
        <v>65</v>
      </c>
      <c r="G8" s="71">
        <v>100000</v>
      </c>
      <c r="H8" s="71">
        <v>90000</v>
      </c>
      <c r="I8" s="74">
        <v>2308091759</v>
      </c>
      <c r="J8" s="69" t="s">
        <v>68</v>
      </c>
      <c r="K8" s="69" t="s">
        <v>69</v>
      </c>
      <c r="L8" s="70">
        <v>43801</v>
      </c>
      <c r="M8" s="69" t="s">
        <v>70</v>
      </c>
      <c r="N8" s="71">
        <v>10000</v>
      </c>
      <c r="O8" s="70">
        <v>43489</v>
      </c>
      <c r="P8" s="70"/>
      <c r="Q8" s="70"/>
      <c r="R8" s="70"/>
      <c r="S8" s="70"/>
      <c r="T8" s="71"/>
      <c r="U8" s="72" t="s">
        <v>64</v>
      </c>
    </row>
    <row r="9" spans="1:22" s="80" customFormat="1" ht="54" customHeight="1" x14ac:dyDescent="0.25">
      <c r="A9" s="766">
        <v>1</v>
      </c>
      <c r="B9" s="754" t="s">
        <v>211</v>
      </c>
      <c r="C9" s="754" t="s">
        <v>153</v>
      </c>
      <c r="D9" s="754" t="s">
        <v>212</v>
      </c>
      <c r="E9" s="756">
        <v>45649</v>
      </c>
      <c r="F9" s="758" t="s">
        <v>213</v>
      </c>
      <c r="G9" s="760">
        <v>774185.67</v>
      </c>
      <c r="H9" s="762">
        <f>IF(V9 = 2, G9 + SUM(Q9:Q16) - SUM(R9:R16) - SUM(N9:N16) - T9,0)</f>
        <v>736679.02</v>
      </c>
      <c r="I9" s="764">
        <v>2308119595</v>
      </c>
      <c r="J9" s="754" t="s">
        <v>214</v>
      </c>
      <c r="K9" s="754" t="s">
        <v>195</v>
      </c>
      <c r="L9" s="348">
        <v>45688</v>
      </c>
      <c r="M9" s="754" t="s">
        <v>215</v>
      </c>
      <c r="N9" s="340">
        <v>131391.35999999999</v>
      </c>
      <c r="O9" s="348">
        <v>45702</v>
      </c>
      <c r="P9" s="341"/>
      <c r="Q9" s="342"/>
      <c r="R9" s="342"/>
      <c r="S9" s="758"/>
      <c r="T9" s="760"/>
      <c r="U9" s="752"/>
      <c r="V9" s="80">
        <v>2</v>
      </c>
    </row>
    <row r="10" spans="1:22" s="110" customFormat="1" x14ac:dyDescent="0.25">
      <c r="A10" s="775"/>
      <c r="B10" s="769"/>
      <c r="C10" s="769"/>
      <c r="D10" s="769"/>
      <c r="E10" s="776"/>
      <c r="F10" s="777"/>
      <c r="G10" s="768"/>
      <c r="H10" s="771"/>
      <c r="I10" s="772"/>
      <c r="J10" s="769"/>
      <c r="K10" s="769"/>
      <c r="L10" s="349">
        <v>45689</v>
      </c>
      <c r="M10" s="769"/>
      <c r="N10" s="343">
        <v>47789.14</v>
      </c>
      <c r="O10" s="349">
        <v>45701</v>
      </c>
      <c r="P10" s="344"/>
      <c r="Q10" s="345"/>
      <c r="R10" s="345"/>
      <c r="S10" s="777"/>
      <c r="T10" s="768"/>
      <c r="U10" s="770"/>
      <c r="V10" s="110">
        <v>2</v>
      </c>
    </row>
    <row r="11" spans="1:22" s="110" customFormat="1" x14ac:dyDescent="0.25">
      <c r="A11" s="775"/>
      <c r="B11" s="769"/>
      <c r="C11" s="769"/>
      <c r="D11" s="769"/>
      <c r="E11" s="776"/>
      <c r="F11" s="777"/>
      <c r="G11" s="768"/>
      <c r="H11" s="771"/>
      <c r="I11" s="772"/>
      <c r="J11" s="769"/>
      <c r="K11" s="769"/>
      <c r="L11" s="349">
        <v>45689</v>
      </c>
      <c r="M11" s="769"/>
      <c r="N11" s="343">
        <v>57392.959999999999</v>
      </c>
      <c r="O11" s="349">
        <v>45702</v>
      </c>
      <c r="P11" s="344" t="s">
        <v>273</v>
      </c>
      <c r="Q11" s="345">
        <v>425814.33</v>
      </c>
      <c r="R11" s="345"/>
      <c r="S11" s="777"/>
      <c r="T11" s="768"/>
      <c r="U11" s="770"/>
      <c r="V11" s="110">
        <v>2</v>
      </c>
    </row>
    <row r="12" spans="1:22" s="110" customFormat="1" x14ac:dyDescent="0.25">
      <c r="A12" s="775"/>
      <c r="B12" s="769"/>
      <c r="C12" s="769"/>
      <c r="D12" s="769"/>
      <c r="E12" s="776"/>
      <c r="F12" s="777"/>
      <c r="G12" s="768"/>
      <c r="H12" s="771"/>
      <c r="I12" s="772"/>
      <c r="J12" s="769"/>
      <c r="K12" s="769"/>
      <c r="L12" s="349">
        <v>45716</v>
      </c>
      <c r="M12" s="769"/>
      <c r="N12" s="343">
        <v>58771.25</v>
      </c>
      <c r="O12" s="349">
        <v>45734</v>
      </c>
      <c r="P12" s="344"/>
      <c r="Q12" s="345"/>
      <c r="R12" s="345"/>
      <c r="S12" s="777"/>
      <c r="T12" s="768"/>
      <c r="U12" s="770"/>
      <c r="V12" s="110">
        <v>2</v>
      </c>
    </row>
    <row r="13" spans="1:22" s="110" customFormat="1" x14ac:dyDescent="0.25">
      <c r="A13" s="775"/>
      <c r="B13" s="769"/>
      <c r="C13" s="769"/>
      <c r="D13" s="769"/>
      <c r="E13" s="776"/>
      <c r="F13" s="777"/>
      <c r="G13" s="768"/>
      <c r="H13" s="771"/>
      <c r="I13" s="772"/>
      <c r="J13" s="769"/>
      <c r="K13" s="769"/>
      <c r="L13" s="349">
        <v>45717</v>
      </c>
      <c r="M13" s="769"/>
      <c r="N13" s="343">
        <v>43037.59</v>
      </c>
      <c r="O13" s="349">
        <v>45719</v>
      </c>
      <c r="P13" s="344"/>
      <c r="Q13" s="345"/>
      <c r="R13" s="345"/>
      <c r="S13" s="777"/>
      <c r="T13" s="768"/>
      <c r="U13" s="770"/>
      <c r="V13" s="110">
        <v>2</v>
      </c>
    </row>
    <row r="14" spans="1:22" s="110" customFormat="1" x14ac:dyDescent="0.25">
      <c r="A14" s="775"/>
      <c r="B14" s="769"/>
      <c r="C14" s="769"/>
      <c r="D14" s="769"/>
      <c r="E14" s="776"/>
      <c r="F14" s="777"/>
      <c r="G14" s="768"/>
      <c r="H14" s="771"/>
      <c r="I14" s="772"/>
      <c r="J14" s="769"/>
      <c r="K14" s="769"/>
      <c r="L14" s="349">
        <v>45717</v>
      </c>
      <c r="M14" s="769"/>
      <c r="N14" s="343">
        <v>71393.53</v>
      </c>
      <c r="O14" s="349">
        <v>45734</v>
      </c>
      <c r="P14" s="344"/>
      <c r="Q14" s="345"/>
      <c r="R14" s="345"/>
      <c r="S14" s="777"/>
      <c r="T14" s="768"/>
      <c r="U14" s="770"/>
      <c r="V14" s="110">
        <v>2</v>
      </c>
    </row>
    <row r="15" spans="1:22" s="110" customFormat="1" x14ac:dyDescent="0.25">
      <c r="A15" s="775"/>
      <c r="B15" s="769"/>
      <c r="C15" s="769"/>
      <c r="D15" s="769"/>
      <c r="E15" s="776"/>
      <c r="F15" s="777"/>
      <c r="G15" s="768"/>
      <c r="H15" s="771"/>
      <c r="I15" s="772"/>
      <c r="J15" s="769"/>
      <c r="K15" s="769"/>
      <c r="L15" s="349">
        <v>45747</v>
      </c>
      <c r="M15" s="769"/>
      <c r="N15" s="345"/>
      <c r="O15" s="349"/>
      <c r="P15" s="344"/>
      <c r="Q15" s="345"/>
      <c r="R15" s="345"/>
      <c r="S15" s="777"/>
      <c r="T15" s="768"/>
      <c r="U15" s="770"/>
      <c r="V15" s="110">
        <v>2</v>
      </c>
    </row>
    <row r="16" spans="1:22" s="110" customFormat="1" x14ac:dyDescent="0.25">
      <c r="A16" s="767"/>
      <c r="B16" s="755"/>
      <c r="C16" s="755"/>
      <c r="D16" s="755"/>
      <c r="E16" s="757"/>
      <c r="F16" s="759"/>
      <c r="G16" s="761"/>
      <c r="H16" s="763"/>
      <c r="I16" s="765"/>
      <c r="J16" s="755"/>
      <c r="K16" s="755"/>
      <c r="L16" s="350">
        <v>45748</v>
      </c>
      <c r="M16" s="755"/>
      <c r="N16" s="432">
        <v>53545.15</v>
      </c>
      <c r="O16" s="350">
        <v>45748</v>
      </c>
      <c r="P16" s="347"/>
      <c r="Q16" s="346"/>
      <c r="R16" s="346"/>
      <c r="S16" s="759"/>
      <c r="T16" s="761"/>
      <c r="U16" s="753"/>
      <c r="V16" s="110">
        <v>2</v>
      </c>
    </row>
    <row r="17" spans="1:22" s="80" customFormat="1" ht="54" customHeight="1" x14ac:dyDescent="0.25">
      <c r="A17" s="766">
        <v>2</v>
      </c>
      <c r="B17" s="754"/>
      <c r="C17" s="754" t="s">
        <v>153</v>
      </c>
      <c r="D17" s="754" t="s">
        <v>237</v>
      </c>
      <c r="E17" s="756">
        <v>45708</v>
      </c>
      <c r="F17" s="758" t="s">
        <v>238</v>
      </c>
      <c r="G17" s="760">
        <v>498597.22</v>
      </c>
      <c r="H17" s="762">
        <f>IF(V17 = 3, G17 + SUM(Q17:Q18) - SUM(R17:R18) - SUM(N17:N18) - T17,0)</f>
        <v>498597.22</v>
      </c>
      <c r="I17" s="764">
        <v>7715995942</v>
      </c>
      <c r="J17" s="754" t="s">
        <v>240</v>
      </c>
      <c r="K17" s="754" t="s">
        <v>241</v>
      </c>
      <c r="L17" s="348"/>
      <c r="M17" s="754" t="s">
        <v>243</v>
      </c>
      <c r="N17" s="342"/>
      <c r="O17" s="348"/>
      <c r="P17" s="341"/>
      <c r="Q17" s="342"/>
      <c r="R17" s="342"/>
      <c r="S17" s="758"/>
      <c r="T17" s="760"/>
      <c r="U17" s="752"/>
      <c r="V17" s="80">
        <v>3</v>
      </c>
    </row>
    <row r="18" spans="1:22" s="110" customFormat="1" x14ac:dyDescent="0.25">
      <c r="A18" s="767"/>
      <c r="B18" s="755"/>
      <c r="C18" s="755"/>
      <c r="D18" s="755"/>
      <c r="E18" s="757"/>
      <c r="F18" s="759"/>
      <c r="G18" s="761"/>
      <c r="H18" s="763"/>
      <c r="I18" s="765"/>
      <c r="J18" s="755"/>
      <c r="K18" s="755"/>
      <c r="L18" s="350"/>
      <c r="M18" s="755"/>
      <c r="N18" s="346"/>
      <c r="O18" s="350"/>
      <c r="P18" s="347"/>
      <c r="Q18" s="346"/>
      <c r="R18" s="346"/>
      <c r="S18" s="759"/>
      <c r="T18" s="761"/>
      <c r="U18" s="753"/>
      <c r="V18" s="110">
        <v>3</v>
      </c>
    </row>
    <row r="19" spans="1:22" s="80" customFormat="1" ht="75" x14ac:dyDescent="0.25">
      <c r="A19" s="231">
        <v>3</v>
      </c>
      <c r="B19" s="223"/>
      <c r="C19" s="223" t="s">
        <v>153</v>
      </c>
      <c r="D19" s="223" t="s">
        <v>239</v>
      </c>
      <c r="E19" s="232">
        <v>45713</v>
      </c>
      <c r="F19" s="229" t="s">
        <v>238</v>
      </c>
      <c r="G19" s="225">
        <v>64560.644999999997</v>
      </c>
      <c r="H19" s="226">
        <f>IF(V19 = 4, G19 + SUM(Q19:Q19) - SUM(R19:R19) - SUM(N19:N19) - T19,0)</f>
        <v>64560.644999999997</v>
      </c>
      <c r="I19" s="230">
        <v>7715995942</v>
      </c>
      <c r="J19" s="228" t="s">
        <v>240</v>
      </c>
      <c r="K19" s="228" t="s">
        <v>242</v>
      </c>
      <c r="L19" s="232"/>
      <c r="M19" s="228" t="s">
        <v>243</v>
      </c>
      <c r="N19" s="225"/>
      <c r="O19" s="232"/>
      <c r="P19" s="224"/>
      <c r="Q19" s="225"/>
      <c r="R19" s="225"/>
      <c r="S19" s="224"/>
      <c r="T19" s="225"/>
      <c r="U19" s="227"/>
      <c r="V19" s="80">
        <v>4</v>
      </c>
    </row>
    <row r="20" spans="1:22" x14ac:dyDescent="0.25">
      <c r="V20" s="2">
        <v>5</v>
      </c>
    </row>
  </sheetData>
  <sheetProtection algorithmName="SHA-512" hashValue="zzXu/dsBEWww5M+tK6luX8qQxMUBmWdBndKUtc8r3URHxYnNegqjAtNgZZd2oVw46smw35P0HXF0CRcidloymg==" saltValue="oQEkQ1RW5XXAF7t0XXNZkw==" spinCount="100000" sheet="1" objects="1" scenarios="1" formatCells="0" formatColumns="0" formatRows="0"/>
  <mergeCells count="33">
    <mergeCell ref="Q2:S2"/>
    <mergeCell ref="E2:F2"/>
    <mergeCell ref="L2:M2"/>
    <mergeCell ref="A9:A16"/>
    <mergeCell ref="B9:B16"/>
    <mergeCell ref="D9:D16"/>
    <mergeCell ref="E9:E16"/>
    <mergeCell ref="F9:F16"/>
    <mergeCell ref="M9:M16"/>
    <mergeCell ref="S9:S16"/>
    <mergeCell ref="T9:T16"/>
    <mergeCell ref="C9:C16"/>
    <mergeCell ref="U9:U16"/>
    <mergeCell ref="G9:G16"/>
    <mergeCell ref="H9:H16"/>
    <mergeCell ref="I9:I16"/>
    <mergeCell ref="J9:J16"/>
    <mergeCell ref="K9:K16"/>
    <mergeCell ref="A17:A18"/>
    <mergeCell ref="M17:M18"/>
    <mergeCell ref="S17:S18"/>
    <mergeCell ref="B17:B18"/>
    <mergeCell ref="T17:T18"/>
    <mergeCell ref="C17:C18"/>
    <mergeCell ref="U17:U18"/>
    <mergeCell ref="D17:D18"/>
    <mergeCell ref="E17:E18"/>
    <mergeCell ref="F17:F18"/>
    <mergeCell ref="G17:G18"/>
    <mergeCell ref="H17:H18"/>
    <mergeCell ref="I17:I18"/>
    <mergeCell ref="J17:J18"/>
    <mergeCell ref="K17:K18"/>
  </mergeCells>
  <phoneticPr fontId="17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theme="3" tint="0.39997558519241921"/>
  </sheetPr>
  <dimension ref="A1:AL11"/>
  <sheetViews>
    <sheetView showGridLines="0" topLeftCell="L1" zoomScale="50" zoomScaleNormal="50" workbookViewId="0">
      <pane ySplit="8" topLeftCell="A9" activePane="bottomLeft" state="frozen"/>
      <selection pane="bottomLeft" activeCell="X9" sqref="X9"/>
    </sheetView>
  </sheetViews>
  <sheetFormatPr defaultColWidth="0" defaultRowHeight="18.75" x14ac:dyDescent="0.25"/>
  <cols>
    <col min="1" max="1" width="9.140625" style="83" customWidth="1"/>
    <col min="2" max="2" width="44" style="3" customWidth="1"/>
    <col min="3" max="3" width="30.5703125" style="3" customWidth="1"/>
    <col min="4" max="6" width="33.5703125" style="3" customWidth="1"/>
    <col min="7" max="8" width="22.42578125" style="10" customWidth="1"/>
    <col min="9" max="9" width="24.42578125" style="28" customWidth="1"/>
    <col min="10" max="10" width="28.42578125" style="28" customWidth="1"/>
    <col min="11" max="12" width="19.5703125" style="3" customWidth="1"/>
    <col min="13" max="13" width="25.5703125" style="3" customWidth="1"/>
    <col min="14" max="14" width="24.42578125" style="11" bestFit="1" customWidth="1"/>
    <col min="15" max="15" width="24.42578125" style="3" customWidth="1"/>
    <col min="16" max="16" width="31.5703125" style="3" customWidth="1"/>
    <col min="17" max="18" width="21.85546875" style="10" customWidth="1"/>
    <col min="19" max="19" width="23.5703125" style="3" customWidth="1"/>
    <col min="20" max="20" width="31.42578125" style="11" customWidth="1"/>
    <col min="21" max="21" width="27.5703125" style="11" customWidth="1"/>
    <col min="22" max="22" width="25.42578125" style="10" customWidth="1"/>
    <col min="23" max="23" width="25" style="11" customWidth="1"/>
    <col min="24" max="24" width="24.5703125" style="3" customWidth="1"/>
    <col min="25" max="25" width="24.85546875" style="3" customWidth="1"/>
    <col min="26" max="26" width="24" style="3" customWidth="1"/>
    <col min="27" max="27" width="23.5703125" style="11" customWidth="1"/>
    <col min="28" max="28" width="19.140625" style="10" customWidth="1"/>
    <col min="29" max="29" width="23.140625" style="3" customWidth="1"/>
    <col min="30" max="30" width="9.140625" style="2" hidden="1" customWidth="1"/>
    <col min="31" max="31" width="8.5703125" style="2" hidden="1" customWidth="1"/>
    <col min="32" max="38" width="0" style="2" hidden="1" customWidth="1"/>
    <col min="39" max="16384" width="9.140625" style="2" hidden="1"/>
  </cols>
  <sheetData>
    <row r="1" spans="1:30" ht="19.5" thickBot="1" x14ac:dyDescent="0.3"/>
    <row r="2" spans="1:30" ht="39.950000000000003" customHeight="1" thickBot="1" x14ac:dyDescent="0.3">
      <c r="E2" s="647" t="s">
        <v>139</v>
      </c>
      <c r="F2" s="648"/>
      <c r="G2" s="77">
        <f>SUM(G9:G9999)</f>
        <v>740880</v>
      </c>
      <c r="O2" s="647" t="s">
        <v>24</v>
      </c>
      <c r="P2" s="648"/>
      <c r="Q2" s="75">
        <f>SUM(Q9:Q9999)</f>
        <v>674200.8</v>
      </c>
      <c r="T2" s="486" t="s">
        <v>137</v>
      </c>
      <c r="U2" s="488"/>
      <c r="V2" s="66">
        <f>SUM(V9:V9999)</f>
        <v>270597.59999999998</v>
      </c>
      <c r="X2" s="65"/>
      <c r="Y2" s="486" t="s">
        <v>45</v>
      </c>
      <c r="Z2" s="487"/>
      <c r="AA2" s="488"/>
      <c r="AB2" s="67">
        <f>SUM(AB9:AB9999)</f>
        <v>0</v>
      </c>
    </row>
    <row r="3" spans="1:30" x14ac:dyDescent="0.25">
      <c r="T3" s="2"/>
      <c r="U3" s="2"/>
      <c r="X3" s="2"/>
      <c r="Y3" s="2"/>
      <c r="Z3" s="2"/>
      <c r="AA3" s="2"/>
    </row>
    <row r="4" spans="1:30" ht="39.950000000000003" customHeight="1" x14ac:dyDescent="0.25">
      <c r="T4" s="2"/>
      <c r="U4" s="2"/>
      <c r="X4" s="2"/>
      <c r="Y4" s="2"/>
      <c r="Z4" s="2"/>
      <c r="AA4" s="2"/>
    </row>
    <row r="6" spans="1:30" s="82" customFormat="1" ht="150" x14ac:dyDescent="0.25">
      <c r="A6" s="84" t="s">
        <v>8</v>
      </c>
      <c r="B6" s="84" t="s">
        <v>47</v>
      </c>
      <c r="C6" s="84" t="s">
        <v>33</v>
      </c>
      <c r="D6" s="84" t="s">
        <v>10</v>
      </c>
      <c r="E6" s="84" t="s">
        <v>11</v>
      </c>
      <c r="F6" s="84" t="s">
        <v>12</v>
      </c>
      <c r="G6" s="90" t="s">
        <v>13</v>
      </c>
      <c r="H6" s="90" t="s">
        <v>34</v>
      </c>
      <c r="I6" s="92" t="s">
        <v>16</v>
      </c>
      <c r="J6" s="92" t="s">
        <v>17</v>
      </c>
      <c r="K6" s="84" t="s">
        <v>14</v>
      </c>
      <c r="L6" s="84" t="s">
        <v>32</v>
      </c>
      <c r="M6" s="84" t="s">
        <v>15</v>
      </c>
      <c r="N6" s="86" t="s">
        <v>0</v>
      </c>
      <c r="O6" s="84" t="s">
        <v>46</v>
      </c>
      <c r="P6" s="84" t="s">
        <v>5</v>
      </c>
      <c r="Q6" s="90" t="s">
        <v>18</v>
      </c>
      <c r="R6" s="90" t="s">
        <v>22</v>
      </c>
      <c r="S6" s="84" t="s">
        <v>19</v>
      </c>
      <c r="T6" s="86" t="s">
        <v>37</v>
      </c>
      <c r="U6" s="86" t="s">
        <v>20</v>
      </c>
      <c r="V6" s="90" t="s">
        <v>23</v>
      </c>
      <c r="W6" s="86" t="s">
        <v>9</v>
      </c>
      <c r="X6" s="88" t="s">
        <v>40</v>
      </c>
      <c r="Y6" s="88" t="s">
        <v>103</v>
      </c>
      <c r="Z6" s="88" t="s">
        <v>104</v>
      </c>
      <c r="AA6" s="89" t="s">
        <v>41</v>
      </c>
      <c r="AB6" s="90" t="s">
        <v>43</v>
      </c>
      <c r="AC6" s="84" t="s">
        <v>42</v>
      </c>
    </row>
    <row r="7" spans="1:30" s="82" customFormat="1" x14ac:dyDescent="0.25">
      <c r="A7" s="81" t="s">
        <v>36</v>
      </c>
      <c r="B7" s="81" t="s">
        <v>110</v>
      </c>
      <c r="C7" s="81" t="s">
        <v>111</v>
      </c>
      <c r="D7" s="81" t="s">
        <v>112</v>
      </c>
      <c r="E7" s="81" t="s">
        <v>113</v>
      </c>
      <c r="F7" s="81" t="s">
        <v>114</v>
      </c>
      <c r="G7" s="81" t="s">
        <v>115</v>
      </c>
      <c r="H7" s="81" t="s">
        <v>116</v>
      </c>
      <c r="I7" s="81" t="s">
        <v>117</v>
      </c>
      <c r="J7" s="81" t="s">
        <v>118</v>
      </c>
      <c r="K7" s="81" t="s">
        <v>119</v>
      </c>
      <c r="L7" s="81" t="s">
        <v>120</v>
      </c>
      <c r="M7" s="81" t="s">
        <v>121</v>
      </c>
      <c r="N7" s="81" t="s">
        <v>122</v>
      </c>
      <c r="O7" s="81" t="s">
        <v>123</v>
      </c>
      <c r="P7" s="81" t="s">
        <v>124</v>
      </c>
      <c r="Q7" s="81" t="s">
        <v>125</v>
      </c>
      <c r="R7" s="81" t="s">
        <v>126</v>
      </c>
      <c r="S7" s="81" t="s">
        <v>127</v>
      </c>
      <c r="T7" s="81" t="s">
        <v>128</v>
      </c>
      <c r="U7" s="81" t="s">
        <v>129</v>
      </c>
      <c r="V7" s="81" t="s">
        <v>130</v>
      </c>
      <c r="W7" s="81" t="s">
        <v>131</v>
      </c>
      <c r="X7" s="81" t="s">
        <v>132</v>
      </c>
      <c r="Y7" s="81" t="s">
        <v>133</v>
      </c>
      <c r="Z7" s="81" t="s">
        <v>134</v>
      </c>
      <c r="AA7" s="81" t="s">
        <v>135</v>
      </c>
      <c r="AB7" s="81" t="s">
        <v>136</v>
      </c>
      <c r="AC7" s="81" t="s">
        <v>138</v>
      </c>
    </row>
    <row r="8" spans="1:30" ht="168.75" hidden="1" x14ac:dyDescent="0.25">
      <c r="A8" s="85" t="s">
        <v>36</v>
      </c>
      <c r="B8" s="21"/>
      <c r="C8" s="21" t="s">
        <v>73</v>
      </c>
      <c r="D8" s="21" t="s">
        <v>74</v>
      </c>
      <c r="E8" s="21" t="s">
        <v>71</v>
      </c>
      <c r="F8" s="21" t="s">
        <v>72</v>
      </c>
      <c r="G8" s="19">
        <v>15500.01</v>
      </c>
      <c r="H8" s="19">
        <f t="shared" ref="H8" si="0">G8-Q8</f>
        <v>6725</v>
      </c>
      <c r="I8" s="30">
        <v>6</v>
      </c>
      <c r="J8" s="30">
        <v>0</v>
      </c>
      <c r="K8" s="21" t="s">
        <v>75</v>
      </c>
      <c r="L8" s="21" t="s">
        <v>76</v>
      </c>
      <c r="M8" s="21" t="s">
        <v>77</v>
      </c>
      <c r="N8" s="20">
        <v>43655</v>
      </c>
      <c r="O8" s="21" t="s">
        <v>79</v>
      </c>
      <c r="P8" s="21" t="s">
        <v>78</v>
      </c>
      <c r="Q8" s="19">
        <v>8775.01</v>
      </c>
      <c r="R8" s="19">
        <f>Q8-V8</f>
        <v>0</v>
      </c>
      <c r="S8" s="21" t="s">
        <v>80</v>
      </c>
      <c r="T8" s="20">
        <v>43677</v>
      </c>
      <c r="U8" s="20" t="s">
        <v>81</v>
      </c>
      <c r="V8" s="19">
        <v>8775.01</v>
      </c>
      <c r="W8" s="20">
        <v>43696</v>
      </c>
      <c r="X8" s="21"/>
      <c r="Y8" s="53"/>
      <c r="Z8" s="53"/>
      <c r="AA8" s="20"/>
      <c r="AB8" s="19"/>
      <c r="AC8" s="21" t="s">
        <v>64</v>
      </c>
    </row>
    <row r="9" spans="1:30" s="80" customFormat="1" ht="52.35" customHeight="1" x14ac:dyDescent="0.25">
      <c r="A9" s="778">
        <v>1</v>
      </c>
      <c r="B9" s="784" t="s">
        <v>56</v>
      </c>
      <c r="C9" s="784" t="s">
        <v>216</v>
      </c>
      <c r="D9" s="784" t="s">
        <v>153</v>
      </c>
      <c r="E9" s="784" t="s">
        <v>217</v>
      </c>
      <c r="F9" s="784" t="s">
        <v>150</v>
      </c>
      <c r="G9" s="786">
        <v>740880</v>
      </c>
      <c r="H9" s="788">
        <f>IF(AD9 = 1, G9 - Q9,0)</f>
        <v>66679.199999999953</v>
      </c>
      <c r="I9" s="786">
        <v>2</v>
      </c>
      <c r="J9" s="786">
        <v>0</v>
      </c>
      <c r="K9" s="784" t="s">
        <v>174</v>
      </c>
      <c r="L9" s="784" t="s">
        <v>218</v>
      </c>
      <c r="M9" s="784" t="s">
        <v>217</v>
      </c>
      <c r="N9" s="794">
        <v>45649</v>
      </c>
      <c r="O9" s="784" t="s">
        <v>194</v>
      </c>
      <c r="P9" s="784" t="s">
        <v>151</v>
      </c>
      <c r="Q9" s="786">
        <v>674200.8</v>
      </c>
      <c r="R9" s="788">
        <f>IF(AD9 = 1, Q9 + SUM(Y9:Y10) - SUM(Z9:Z10) - SUM(V9:V10) - AB9,0)</f>
        <v>403603.20000000007</v>
      </c>
      <c r="S9" s="784" t="s">
        <v>219</v>
      </c>
      <c r="T9" s="291">
        <v>45692</v>
      </c>
      <c r="U9" s="780" t="s">
        <v>152</v>
      </c>
      <c r="V9" s="286">
        <v>142178.4</v>
      </c>
      <c r="W9" s="293">
        <v>45700</v>
      </c>
      <c r="X9" s="287"/>
      <c r="Y9" s="288"/>
      <c r="Z9" s="288"/>
      <c r="AA9" s="782"/>
      <c r="AB9" s="790"/>
      <c r="AC9" s="792"/>
      <c r="AD9" s="80">
        <v>1</v>
      </c>
    </row>
    <row r="10" spans="1:30" s="110" customFormat="1" x14ac:dyDescent="0.25">
      <c r="A10" s="779"/>
      <c r="B10" s="785"/>
      <c r="C10" s="785"/>
      <c r="D10" s="785"/>
      <c r="E10" s="785"/>
      <c r="F10" s="785"/>
      <c r="G10" s="787"/>
      <c r="H10" s="789"/>
      <c r="I10" s="787"/>
      <c r="J10" s="787"/>
      <c r="K10" s="785"/>
      <c r="L10" s="785"/>
      <c r="M10" s="785"/>
      <c r="N10" s="795"/>
      <c r="O10" s="785"/>
      <c r="P10" s="785"/>
      <c r="Q10" s="787"/>
      <c r="R10" s="789"/>
      <c r="S10" s="785"/>
      <c r="T10" s="292">
        <v>45720</v>
      </c>
      <c r="U10" s="781"/>
      <c r="V10" s="294">
        <v>128419.2</v>
      </c>
      <c r="W10" s="292">
        <v>45722</v>
      </c>
      <c r="X10" s="290"/>
      <c r="Y10" s="289"/>
      <c r="Z10" s="289"/>
      <c r="AA10" s="783"/>
      <c r="AB10" s="791"/>
      <c r="AC10" s="793"/>
      <c r="AD10" s="110">
        <v>1</v>
      </c>
    </row>
    <row r="11" spans="1:30" x14ac:dyDescent="0.25">
      <c r="AD11" s="2">
        <v>4</v>
      </c>
    </row>
  </sheetData>
  <sheetProtection algorithmName="SHA-512" hashValue="78o2HNCDegA/4sDNzIvaRMVuba1liqahs8UulbwbhbMSKEgX1dimthpWCVwAkSyZ9XY3wgA+54EdTvqFfUEcAQ==" saltValue="VwhSh+VIe5J1UXJmEOW39g==" spinCount="100000" sheet="1" objects="1" scenarios="1" formatCells="0" formatColumns="0" formatRows="0"/>
  <mergeCells count="27">
    <mergeCell ref="AB9:AB10"/>
    <mergeCell ref="C9:C10"/>
    <mergeCell ref="AC9:A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N9:N10"/>
    <mergeCell ref="O9:O10"/>
    <mergeCell ref="P9:P10"/>
    <mergeCell ref="E2:F2"/>
    <mergeCell ref="O2:P2"/>
    <mergeCell ref="Y2:AA2"/>
    <mergeCell ref="T2:U2"/>
    <mergeCell ref="A9:A10"/>
    <mergeCell ref="U9:U10"/>
    <mergeCell ref="AA9:AA10"/>
    <mergeCell ref="B9:B10"/>
    <mergeCell ref="Q9:Q10"/>
    <mergeCell ref="R9:R10"/>
    <mergeCell ref="S9:S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tabColor theme="3" tint="0.39997558519241921"/>
  </sheetPr>
  <dimension ref="A1:AL14"/>
  <sheetViews>
    <sheetView showGridLines="0" tabSelected="1" topLeftCell="L1" zoomScale="50" zoomScaleNormal="50" workbookViewId="0">
      <pane ySplit="8" topLeftCell="A9" activePane="bottomLeft" state="frozen"/>
      <selection pane="bottomLeft" activeCell="V13" sqref="V13"/>
    </sheetView>
  </sheetViews>
  <sheetFormatPr defaultColWidth="0" defaultRowHeight="18.75" x14ac:dyDescent="0.25"/>
  <cols>
    <col min="1" max="1" width="9.140625" style="3" customWidth="1"/>
    <col min="2" max="2" width="47.140625" style="3" customWidth="1"/>
    <col min="3" max="3" width="34.42578125" style="3" customWidth="1"/>
    <col min="4" max="6" width="33.5703125" style="3" customWidth="1"/>
    <col min="7" max="7" width="22.42578125" style="10" customWidth="1"/>
    <col min="8" max="8" width="22.42578125" style="2" customWidth="1"/>
    <col min="9" max="9" width="24.42578125" style="28" customWidth="1"/>
    <col min="10" max="10" width="28.42578125" style="28" customWidth="1"/>
    <col min="11" max="12" width="19.5703125" style="3" customWidth="1"/>
    <col min="13" max="13" width="25.5703125" style="3" customWidth="1"/>
    <col min="14" max="14" width="24.42578125" style="11" bestFit="1" customWidth="1"/>
    <col min="15" max="15" width="24.42578125" style="3" customWidth="1"/>
    <col min="16" max="16" width="31.5703125" style="3" customWidth="1"/>
    <col min="17" max="17" width="27" style="10" customWidth="1"/>
    <col min="18" max="18" width="21.85546875" style="2" customWidth="1"/>
    <col min="19" max="19" width="23.5703125" style="2" customWidth="1"/>
    <col min="20" max="20" width="32.42578125" style="2" customWidth="1"/>
    <col min="21" max="21" width="27.5703125" style="2" customWidth="1"/>
    <col min="22" max="22" width="25.42578125" style="2" customWidth="1"/>
    <col min="23" max="23" width="25" style="2" customWidth="1"/>
    <col min="24" max="26" width="25.140625" style="2" customWidth="1"/>
    <col min="27" max="27" width="23.85546875" style="2" customWidth="1"/>
    <col min="28" max="28" width="20.42578125" style="2" customWidth="1"/>
    <col min="29" max="29" width="20" style="2" customWidth="1"/>
    <col min="30" max="38" width="0" style="2" hidden="1" customWidth="1"/>
    <col min="39" max="16384" width="9.140625" style="2" hidden="1"/>
  </cols>
  <sheetData>
    <row r="1" spans="1:30" ht="19.5" thickBot="1" x14ac:dyDescent="0.3"/>
    <row r="2" spans="1:30" ht="39.950000000000003" customHeight="1" thickBot="1" x14ac:dyDescent="0.3">
      <c r="E2" s="647" t="s">
        <v>139</v>
      </c>
      <c r="F2" s="648"/>
      <c r="G2" s="77">
        <f>SUM(G9:G9999)</f>
        <v>847247.54</v>
      </c>
      <c r="H2" s="10"/>
      <c r="O2" s="647" t="s">
        <v>24</v>
      </c>
      <c r="P2" s="648"/>
      <c r="Q2" s="75">
        <f>SUM(Q9:Q9999)</f>
        <v>847247.54</v>
      </c>
      <c r="T2" s="486" t="s">
        <v>137</v>
      </c>
      <c r="U2" s="488"/>
      <c r="V2" s="66">
        <f>SUM(V9:V9999)</f>
        <v>396262.1</v>
      </c>
      <c r="X2" s="65"/>
      <c r="Y2" s="486" t="s">
        <v>45</v>
      </c>
      <c r="Z2" s="487"/>
      <c r="AA2" s="488"/>
      <c r="AB2" s="67">
        <f>SUM(AB9:AB9999)</f>
        <v>0</v>
      </c>
    </row>
    <row r="4" spans="1:30" ht="39.950000000000003" customHeight="1" x14ac:dyDescent="0.25"/>
    <row r="6" spans="1:30" ht="150" x14ac:dyDescent="0.25">
      <c r="A6" s="18" t="s">
        <v>8</v>
      </c>
      <c r="B6" s="18" t="s">
        <v>47</v>
      </c>
      <c r="C6" s="18" t="s">
        <v>33</v>
      </c>
      <c r="D6" s="18" t="s">
        <v>10</v>
      </c>
      <c r="E6" s="18" t="s">
        <v>11</v>
      </c>
      <c r="F6" s="18" t="s">
        <v>12</v>
      </c>
      <c r="G6" s="25" t="s">
        <v>13</v>
      </c>
      <c r="H6" s="1" t="s">
        <v>34</v>
      </c>
      <c r="I6" s="29" t="s">
        <v>16</v>
      </c>
      <c r="J6" s="29" t="s">
        <v>17</v>
      </c>
      <c r="K6" s="18" t="s">
        <v>14</v>
      </c>
      <c r="L6" s="18" t="s">
        <v>32</v>
      </c>
      <c r="M6" s="18" t="s">
        <v>15</v>
      </c>
      <c r="N6" s="24" t="s">
        <v>0</v>
      </c>
      <c r="O6" s="18" t="s">
        <v>46</v>
      </c>
      <c r="P6" s="18" t="s">
        <v>5</v>
      </c>
      <c r="Q6" s="25" t="s">
        <v>38</v>
      </c>
      <c r="R6" s="1" t="s">
        <v>22</v>
      </c>
      <c r="S6" s="1" t="s">
        <v>19</v>
      </c>
      <c r="T6" s="1" t="s">
        <v>37</v>
      </c>
      <c r="U6" s="1" t="s">
        <v>20</v>
      </c>
      <c r="V6" s="1" t="s">
        <v>23</v>
      </c>
      <c r="W6" s="1" t="s">
        <v>9</v>
      </c>
      <c r="X6" s="13" t="s">
        <v>40</v>
      </c>
      <c r="Y6" s="13" t="s">
        <v>103</v>
      </c>
      <c r="Z6" s="13" t="s">
        <v>104</v>
      </c>
      <c r="AA6" s="13" t="s">
        <v>41</v>
      </c>
      <c r="AB6" s="1" t="s">
        <v>43</v>
      </c>
      <c r="AC6" s="1" t="s">
        <v>42</v>
      </c>
    </row>
    <row r="7" spans="1:30" x14ac:dyDescent="0.25">
      <c r="A7" s="57" t="s">
        <v>36</v>
      </c>
      <c r="B7" s="57" t="s">
        <v>110</v>
      </c>
      <c r="C7" s="57" t="s">
        <v>111</v>
      </c>
      <c r="D7" s="57" t="s">
        <v>112</v>
      </c>
      <c r="E7" s="57" t="s">
        <v>113</v>
      </c>
      <c r="F7" s="57" t="s">
        <v>114</v>
      </c>
      <c r="G7" s="57" t="s">
        <v>115</v>
      </c>
      <c r="H7" s="57" t="s">
        <v>116</v>
      </c>
      <c r="I7" s="57" t="s">
        <v>117</v>
      </c>
      <c r="J7" s="57" t="s">
        <v>118</v>
      </c>
      <c r="K7" s="57" t="s">
        <v>119</v>
      </c>
      <c r="L7" s="57" t="s">
        <v>120</v>
      </c>
      <c r="M7" s="57" t="s">
        <v>121</v>
      </c>
      <c r="N7" s="57" t="s">
        <v>122</v>
      </c>
      <c r="O7" s="57" t="s">
        <v>123</v>
      </c>
      <c r="P7" s="57" t="s">
        <v>124</v>
      </c>
      <c r="Q7" s="57" t="s">
        <v>125</v>
      </c>
      <c r="R7" s="57" t="s">
        <v>126</v>
      </c>
      <c r="S7" s="57" t="s">
        <v>127</v>
      </c>
      <c r="T7" s="57" t="s">
        <v>128</v>
      </c>
      <c r="U7" s="57" t="s">
        <v>129</v>
      </c>
      <c r="V7" s="57" t="s">
        <v>130</v>
      </c>
      <c r="W7" s="57" t="s">
        <v>131</v>
      </c>
      <c r="X7" s="57" t="s">
        <v>132</v>
      </c>
      <c r="Y7" s="57" t="s">
        <v>133</v>
      </c>
      <c r="Z7" s="57" t="s">
        <v>134</v>
      </c>
      <c r="AA7" s="57" t="s">
        <v>135</v>
      </c>
      <c r="AB7" s="57" t="s">
        <v>136</v>
      </c>
      <c r="AC7" s="57" t="s">
        <v>138</v>
      </c>
    </row>
    <row r="8" spans="1:30" ht="169.5" hidden="1" thickBot="1" x14ac:dyDescent="0.3">
      <c r="A8" s="122" t="s">
        <v>36</v>
      </c>
      <c r="B8" s="122"/>
      <c r="C8" s="122" t="s">
        <v>73</v>
      </c>
      <c r="D8" s="122" t="s">
        <v>74</v>
      </c>
      <c r="E8" s="122" t="s">
        <v>71</v>
      </c>
      <c r="F8" s="122" t="s">
        <v>72</v>
      </c>
      <c r="G8" s="123">
        <v>15500.01</v>
      </c>
      <c r="H8" s="123">
        <f t="shared" ref="H8" si="0">G8-Q8</f>
        <v>6725</v>
      </c>
      <c r="I8" s="124">
        <v>6</v>
      </c>
      <c r="J8" s="124">
        <v>0</v>
      </c>
      <c r="K8" s="122" t="s">
        <v>75</v>
      </c>
      <c r="L8" s="122" t="s">
        <v>76</v>
      </c>
      <c r="M8" s="122" t="s">
        <v>77</v>
      </c>
      <c r="N8" s="125">
        <v>43655</v>
      </c>
      <c r="O8" s="122" t="s">
        <v>79</v>
      </c>
      <c r="P8" s="122" t="s">
        <v>78</v>
      </c>
      <c r="Q8" s="123">
        <v>8775.01</v>
      </c>
      <c r="R8" s="123">
        <f>Q8-V8</f>
        <v>0</v>
      </c>
      <c r="S8" s="122" t="s">
        <v>80</v>
      </c>
      <c r="T8" s="125">
        <v>43677</v>
      </c>
      <c r="U8" s="122" t="s">
        <v>81</v>
      </c>
      <c r="V8" s="123">
        <v>8775.01</v>
      </c>
      <c r="W8" s="125">
        <v>43696</v>
      </c>
      <c r="X8" s="122"/>
      <c r="Y8" s="122"/>
      <c r="Z8" s="122"/>
      <c r="AA8" s="122"/>
      <c r="AB8" s="123"/>
      <c r="AC8" s="126" t="s">
        <v>64</v>
      </c>
    </row>
    <row r="9" spans="1:30" s="80" customFormat="1" ht="54.6" customHeight="1" x14ac:dyDescent="0.25">
      <c r="A9" s="796">
        <v>1</v>
      </c>
      <c r="B9" s="799" t="s">
        <v>56</v>
      </c>
      <c r="C9" s="799" t="s">
        <v>220</v>
      </c>
      <c r="D9" s="799" t="s">
        <v>153</v>
      </c>
      <c r="E9" s="799" t="s">
        <v>221</v>
      </c>
      <c r="F9" s="799" t="s">
        <v>160</v>
      </c>
      <c r="G9" s="802">
        <v>847247.54</v>
      </c>
      <c r="H9" s="805">
        <f>IF(AD9 = 1, G9 - Q9,0)</f>
        <v>0</v>
      </c>
      <c r="I9" s="802">
        <v>1</v>
      </c>
      <c r="J9" s="802">
        <v>0</v>
      </c>
      <c r="K9" s="799" t="s">
        <v>174</v>
      </c>
      <c r="L9" s="811" t="s">
        <v>223</v>
      </c>
      <c r="M9" s="799" t="s">
        <v>156</v>
      </c>
      <c r="N9" s="814">
        <v>45642</v>
      </c>
      <c r="O9" s="799" t="s">
        <v>157</v>
      </c>
      <c r="P9" s="799" t="s">
        <v>158</v>
      </c>
      <c r="Q9" s="802">
        <v>847247.54</v>
      </c>
      <c r="R9" s="805">
        <f>IF(AD9 = 1, Q9 + SUM(Y9:Y13) - SUM(Z9:Z13) - SUM(V9:V13) - AB9,0)</f>
        <v>450985.44000000006</v>
      </c>
      <c r="S9" s="799" t="s">
        <v>222</v>
      </c>
      <c r="T9" s="389">
        <v>45681</v>
      </c>
      <c r="U9" s="799" t="s">
        <v>159</v>
      </c>
      <c r="V9" s="381">
        <v>65390.78</v>
      </c>
      <c r="W9" s="389">
        <v>45712</v>
      </c>
      <c r="X9" s="382"/>
      <c r="Y9" s="383"/>
      <c r="Z9" s="383"/>
      <c r="AA9" s="799"/>
      <c r="AB9" s="802"/>
      <c r="AC9" s="808"/>
      <c r="AD9" s="80">
        <v>1</v>
      </c>
    </row>
    <row r="10" spans="1:30" s="110" customFormat="1" x14ac:dyDescent="0.25">
      <c r="A10" s="797"/>
      <c r="B10" s="800"/>
      <c r="C10" s="800"/>
      <c r="D10" s="800"/>
      <c r="E10" s="800"/>
      <c r="F10" s="800"/>
      <c r="G10" s="803"/>
      <c r="H10" s="806"/>
      <c r="I10" s="803"/>
      <c r="J10" s="803"/>
      <c r="K10" s="800"/>
      <c r="L10" s="812"/>
      <c r="M10" s="800"/>
      <c r="N10" s="815"/>
      <c r="O10" s="800"/>
      <c r="P10" s="800"/>
      <c r="Q10" s="803"/>
      <c r="R10" s="806"/>
      <c r="S10" s="800"/>
      <c r="T10" s="390">
        <v>45695</v>
      </c>
      <c r="U10" s="800"/>
      <c r="V10" s="384">
        <v>95675.45</v>
      </c>
      <c r="W10" s="390">
        <v>45712</v>
      </c>
      <c r="X10" s="385"/>
      <c r="Y10" s="386"/>
      <c r="Z10" s="386"/>
      <c r="AA10" s="800"/>
      <c r="AB10" s="803"/>
      <c r="AC10" s="809"/>
      <c r="AD10" s="110">
        <v>1</v>
      </c>
    </row>
    <row r="11" spans="1:30" s="110" customFormat="1" x14ac:dyDescent="0.25">
      <c r="A11" s="797"/>
      <c r="B11" s="800"/>
      <c r="C11" s="800"/>
      <c r="D11" s="800"/>
      <c r="E11" s="800"/>
      <c r="F11" s="800"/>
      <c r="G11" s="803"/>
      <c r="H11" s="806"/>
      <c r="I11" s="803"/>
      <c r="J11" s="803"/>
      <c r="K11" s="800"/>
      <c r="L11" s="812"/>
      <c r="M11" s="800"/>
      <c r="N11" s="815"/>
      <c r="O11" s="800"/>
      <c r="P11" s="800"/>
      <c r="Q11" s="803"/>
      <c r="R11" s="806"/>
      <c r="S11" s="800"/>
      <c r="T11" s="390">
        <v>45709</v>
      </c>
      <c r="U11" s="800"/>
      <c r="V11" s="384">
        <v>81512.47</v>
      </c>
      <c r="W11" s="390">
        <v>45716</v>
      </c>
      <c r="X11" s="385"/>
      <c r="Y11" s="386"/>
      <c r="Z11" s="386"/>
      <c r="AA11" s="800"/>
      <c r="AB11" s="803"/>
      <c r="AC11" s="809"/>
      <c r="AD11" s="110">
        <v>1</v>
      </c>
    </row>
    <row r="12" spans="1:30" s="110" customFormat="1" x14ac:dyDescent="0.25">
      <c r="A12" s="797"/>
      <c r="B12" s="800"/>
      <c r="C12" s="800"/>
      <c r="D12" s="800"/>
      <c r="E12" s="800"/>
      <c r="F12" s="800"/>
      <c r="G12" s="803"/>
      <c r="H12" s="806"/>
      <c r="I12" s="803"/>
      <c r="J12" s="803"/>
      <c r="K12" s="800"/>
      <c r="L12" s="812"/>
      <c r="M12" s="800"/>
      <c r="N12" s="815"/>
      <c r="O12" s="800"/>
      <c r="P12" s="800"/>
      <c r="Q12" s="803"/>
      <c r="R12" s="806"/>
      <c r="S12" s="800"/>
      <c r="T12" s="390">
        <v>45722</v>
      </c>
      <c r="U12" s="800"/>
      <c r="V12" s="384">
        <v>65993.460000000006</v>
      </c>
      <c r="W12" s="390">
        <v>45728</v>
      </c>
      <c r="X12" s="385"/>
      <c r="Y12" s="386"/>
      <c r="Z12" s="386"/>
      <c r="AA12" s="800"/>
      <c r="AB12" s="803"/>
      <c r="AC12" s="809"/>
      <c r="AD12" s="110">
        <v>1</v>
      </c>
    </row>
    <row r="13" spans="1:30" s="110" customFormat="1" x14ac:dyDescent="0.25">
      <c r="A13" s="798"/>
      <c r="B13" s="801"/>
      <c r="C13" s="801"/>
      <c r="D13" s="801"/>
      <c r="E13" s="801"/>
      <c r="F13" s="801"/>
      <c r="G13" s="804"/>
      <c r="H13" s="807"/>
      <c r="I13" s="804"/>
      <c r="J13" s="804"/>
      <c r="K13" s="801"/>
      <c r="L13" s="813"/>
      <c r="M13" s="801"/>
      <c r="N13" s="816"/>
      <c r="O13" s="801"/>
      <c r="P13" s="801"/>
      <c r="Q13" s="804"/>
      <c r="R13" s="807"/>
      <c r="S13" s="801"/>
      <c r="T13" s="391">
        <v>45737</v>
      </c>
      <c r="U13" s="801"/>
      <c r="V13" s="387">
        <v>87689.94</v>
      </c>
      <c r="W13" s="391"/>
      <c r="X13" s="388"/>
      <c r="Y13" s="387"/>
      <c r="Z13" s="387"/>
      <c r="AA13" s="801"/>
      <c r="AB13" s="804"/>
      <c r="AC13" s="810"/>
      <c r="AD13" s="110">
        <v>1</v>
      </c>
    </row>
    <row r="14" spans="1:30" x14ac:dyDescent="0.25">
      <c r="AD14" s="2">
        <v>3</v>
      </c>
    </row>
  </sheetData>
  <sheetProtection algorithmName="SHA-512" hashValue="IO8lALx2KDK/EVF6a+Ml3vKM6xN91RZtHwTVDPmkk9YNZv8pcekLZNxnf5cpRqhSYx+VhkNOs+mHL7Zx9irAbQ==" saltValue="AMks0dpRJlGZ2Yd7i/2+6A==" spinCount="100000" sheet="1" objects="1" scenarios="1" formatCells="0" formatColumns="0" formatRows="0"/>
  <mergeCells count="27">
    <mergeCell ref="AB9:AB13"/>
    <mergeCell ref="C9:C13"/>
    <mergeCell ref="AC9:AC13"/>
    <mergeCell ref="D9:D13"/>
    <mergeCell ref="E9:E13"/>
    <mergeCell ref="F9:F13"/>
    <mergeCell ref="G9:G13"/>
    <mergeCell ref="H9:H13"/>
    <mergeCell ref="I9:I13"/>
    <mergeCell ref="J9:J13"/>
    <mergeCell ref="K9:K13"/>
    <mergeCell ref="L9:L13"/>
    <mergeCell ref="M9:M13"/>
    <mergeCell ref="N9:N13"/>
    <mergeCell ref="E2:F2"/>
    <mergeCell ref="O2:P2"/>
    <mergeCell ref="Y2:AA2"/>
    <mergeCell ref="T2:U2"/>
    <mergeCell ref="R9:R13"/>
    <mergeCell ref="S9:S13"/>
    <mergeCell ref="A9:A13"/>
    <mergeCell ref="U9:U13"/>
    <mergeCell ref="AA9:AA13"/>
    <mergeCell ref="B9:B13"/>
    <mergeCell ref="Q9:Q13"/>
    <mergeCell ref="O9:O13"/>
    <mergeCell ref="P9:P13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tabColor theme="3" tint="0.39997558519241921"/>
  </sheetPr>
  <dimension ref="A1:AD17"/>
  <sheetViews>
    <sheetView showGridLines="0" zoomScale="50" zoomScaleNormal="50" workbookViewId="0">
      <pane ySplit="8" topLeftCell="A9" activePane="bottomLeft" state="frozen"/>
      <selection pane="bottomLeft" activeCell="O51" sqref="O51:O53"/>
    </sheetView>
  </sheetViews>
  <sheetFormatPr defaultColWidth="0" defaultRowHeight="18.75" x14ac:dyDescent="0.25"/>
  <cols>
    <col min="1" max="1" width="9.140625" style="2" customWidth="1"/>
    <col min="2" max="2" width="47.140625" style="2" customWidth="1"/>
    <col min="3" max="3" width="33.42578125" style="2" customWidth="1"/>
    <col min="4" max="6" width="33.5703125" style="2" customWidth="1"/>
    <col min="7" max="8" width="22.42578125" style="2" customWidth="1"/>
    <col min="9" max="9" width="24.42578125" style="2" customWidth="1"/>
    <col min="10" max="10" width="28.42578125" style="2" customWidth="1"/>
    <col min="11" max="12" width="19.5703125" style="2" customWidth="1"/>
    <col min="13" max="13" width="25.5703125" style="2" customWidth="1"/>
    <col min="14" max="14" width="24.42578125" style="2" bestFit="1" customWidth="1"/>
    <col min="15" max="15" width="24.42578125" style="2" customWidth="1"/>
    <col min="16" max="16" width="31.5703125" style="2" customWidth="1"/>
    <col min="17" max="18" width="21.85546875" style="2" customWidth="1"/>
    <col min="19" max="19" width="23.5703125" style="2" customWidth="1"/>
    <col min="20" max="20" width="31.85546875" style="2" customWidth="1"/>
    <col min="21" max="21" width="27.5703125" style="2" customWidth="1"/>
    <col min="22" max="22" width="25.42578125" style="2" customWidth="1"/>
    <col min="23" max="23" width="25" style="2" customWidth="1"/>
    <col min="24" max="26" width="29.42578125" style="2" customWidth="1"/>
    <col min="27" max="27" width="26.42578125" style="2" customWidth="1"/>
    <col min="28" max="28" width="25.140625" style="2" customWidth="1"/>
    <col min="29" max="29" width="19.140625" style="2" customWidth="1"/>
    <col min="30" max="16384" width="9.140625" style="2" hidden="1"/>
  </cols>
  <sheetData>
    <row r="1" spans="1:30" ht="19.5" thickBot="1" x14ac:dyDescent="0.3"/>
    <row r="2" spans="1:30" ht="39.950000000000003" customHeight="1" thickBot="1" x14ac:dyDescent="0.3">
      <c r="E2" s="647" t="s">
        <v>139</v>
      </c>
      <c r="F2" s="648"/>
      <c r="G2" s="77">
        <f>SUM(G9:G9999)</f>
        <v>0</v>
      </c>
      <c r="H2" s="10"/>
      <c r="O2" s="647" t="s">
        <v>24</v>
      </c>
      <c r="P2" s="648"/>
      <c r="Q2" s="75">
        <f>SUM(Q9:Q9999)</f>
        <v>0</v>
      </c>
      <c r="T2" s="486" t="s">
        <v>137</v>
      </c>
      <c r="U2" s="488"/>
      <c r="V2" s="66">
        <f>SUM(V9:V9999)</f>
        <v>0</v>
      </c>
      <c r="X2" s="65"/>
      <c r="Y2" s="486" t="s">
        <v>45</v>
      </c>
      <c r="Z2" s="487"/>
      <c r="AA2" s="488"/>
      <c r="AB2" s="67">
        <f>SUM(AB9:AB9999)</f>
        <v>0</v>
      </c>
    </row>
    <row r="4" spans="1:30" ht="39.950000000000003" customHeight="1" x14ac:dyDescent="0.25">
      <c r="P4" s="485"/>
      <c r="Q4" s="485"/>
      <c r="R4" s="485"/>
      <c r="T4" s="65"/>
      <c r="U4" s="65"/>
    </row>
    <row r="6" spans="1:30" s="82" customFormat="1" ht="150" x14ac:dyDescent="0.25">
      <c r="A6" s="91" t="s">
        <v>8</v>
      </c>
      <c r="B6" s="91" t="s">
        <v>47</v>
      </c>
      <c r="C6" s="91" t="s">
        <v>33</v>
      </c>
      <c r="D6" s="91" t="s">
        <v>10</v>
      </c>
      <c r="E6" s="91" t="s">
        <v>11</v>
      </c>
      <c r="F6" s="91" t="s">
        <v>12</v>
      </c>
      <c r="G6" s="91" t="s">
        <v>13</v>
      </c>
      <c r="H6" s="91" t="s">
        <v>34</v>
      </c>
      <c r="I6" s="91" t="s">
        <v>16</v>
      </c>
      <c r="J6" s="91" t="s">
        <v>17</v>
      </c>
      <c r="K6" s="91" t="s">
        <v>14</v>
      </c>
      <c r="L6" s="91" t="s">
        <v>32</v>
      </c>
      <c r="M6" s="91" t="s">
        <v>15</v>
      </c>
      <c r="N6" s="91" t="s">
        <v>0</v>
      </c>
      <c r="O6" s="91" t="s">
        <v>46</v>
      </c>
      <c r="P6" s="91" t="s">
        <v>5</v>
      </c>
      <c r="Q6" s="91" t="s">
        <v>18</v>
      </c>
      <c r="R6" s="91" t="s">
        <v>22</v>
      </c>
      <c r="S6" s="91" t="s">
        <v>19</v>
      </c>
      <c r="T6" s="91" t="s">
        <v>37</v>
      </c>
      <c r="U6" s="91" t="s">
        <v>20</v>
      </c>
      <c r="V6" s="91" t="s">
        <v>23</v>
      </c>
      <c r="W6" s="91" t="s">
        <v>9</v>
      </c>
      <c r="X6" s="97" t="s">
        <v>40</v>
      </c>
      <c r="Y6" s="97" t="s">
        <v>103</v>
      </c>
      <c r="Z6" s="97" t="s">
        <v>104</v>
      </c>
      <c r="AA6" s="97" t="s">
        <v>41</v>
      </c>
      <c r="AB6" s="91" t="s">
        <v>43</v>
      </c>
      <c r="AC6" s="91" t="s">
        <v>42</v>
      </c>
    </row>
    <row r="7" spans="1:30" s="82" customFormat="1" x14ac:dyDescent="0.25">
      <c r="A7" s="96">
        <v>1</v>
      </c>
      <c r="B7" s="96">
        <v>2</v>
      </c>
      <c r="C7" s="96">
        <v>3</v>
      </c>
      <c r="D7" s="96">
        <v>4</v>
      </c>
      <c r="E7" s="96">
        <v>5</v>
      </c>
      <c r="F7" s="96">
        <v>6</v>
      </c>
      <c r="G7" s="96">
        <v>7</v>
      </c>
      <c r="H7" s="96">
        <v>8</v>
      </c>
      <c r="I7" s="96">
        <v>9</v>
      </c>
      <c r="J7" s="96">
        <v>10</v>
      </c>
      <c r="K7" s="96">
        <v>11</v>
      </c>
      <c r="L7" s="96">
        <v>12</v>
      </c>
      <c r="M7" s="96">
        <v>13</v>
      </c>
      <c r="N7" s="96">
        <v>14</v>
      </c>
      <c r="O7" s="96">
        <v>15</v>
      </c>
      <c r="P7" s="96">
        <v>16</v>
      </c>
      <c r="Q7" s="96">
        <v>17</v>
      </c>
      <c r="R7" s="96">
        <v>18</v>
      </c>
      <c r="S7" s="96">
        <v>19</v>
      </c>
      <c r="T7" s="96">
        <v>20</v>
      </c>
      <c r="U7" s="96">
        <v>21</v>
      </c>
      <c r="V7" s="96">
        <v>22</v>
      </c>
      <c r="W7" s="96">
        <v>23</v>
      </c>
      <c r="X7" s="96">
        <v>24</v>
      </c>
      <c r="Y7" s="96">
        <v>25</v>
      </c>
      <c r="Z7" s="96">
        <v>26</v>
      </c>
      <c r="AA7" s="96">
        <v>27</v>
      </c>
      <c r="AB7" s="96">
        <v>28</v>
      </c>
      <c r="AC7" s="96">
        <v>29</v>
      </c>
    </row>
    <row r="8" spans="1:30" ht="168.75" hidden="1" x14ac:dyDescent="0.25">
      <c r="A8" s="21" t="s">
        <v>36</v>
      </c>
      <c r="B8" s="21"/>
      <c r="C8" s="21" t="s">
        <v>73</v>
      </c>
      <c r="D8" s="21" t="s">
        <v>74</v>
      </c>
      <c r="E8" s="21" t="s">
        <v>71</v>
      </c>
      <c r="F8" s="21" t="s">
        <v>72</v>
      </c>
      <c r="G8" s="19">
        <v>15500.01</v>
      </c>
      <c r="H8" s="19">
        <f t="shared" ref="H8" si="0">G8-Q8</f>
        <v>6725</v>
      </c>
      <c r="I8" s="30">
        <v>6</v>
      </c>
      <c r="J8" s="30">
        <v>0</v>
      </c>
      <c r="K8" s="21" t="s">
        <v>75</v>
      </c>
      <c r="L8" s="21" t="s">
        <v>76</v>
      </c>
      <c r="M8" s="21" t="s">
        <v>77</v>
      </c>
      <c r="N8" s="20">
        <v>43655</v>
      </c>
      <c r="O8" s="20" t="s">
        <v>79</v>
      </c>
      <c r="P8" s="21" t="s">
        <v>78</v>
      </c>
      <c r="Q8" s="19">
        <v>8775.01</v>
      </c>
      <c r="R8" s="19">
        <f>Q8-V8</f>
        <v>0</v>
      </c>
      <c r="S8" s="21" t="s">
        <v>80</v>
      </c>
      <c r="T8" s="20">
        <v>43677</v>
      </c>
      <c r="U8" s="21" t="s">
        <v>81</v>
      </c>
      <c r="V8" s="19">
        <v>8775.01</v>
      </c>
      <c r="W8" s="20">
        <v>43696</v>
      </c>
      <c r="X8" s="21"/>
      <c r="Y8" s="53"/>
      <c r="Z8" s="53"/>
      <c r="AA8" s="21"/>
      <c r="AB8" s="19"/>
      <c r="AC8" s="12" t="s">
        <v>64</v>
      </c>
    </row>
    <row r="9" spans="1:30" hidden="1" x14ac:dyDescent="0.25">
      <c r="M9" s="3"/>
      <c r="AD9" s="2">
        <v>2</v>
      </c>
    </row>
    <row r="10" spans="1:30" hidden="1" x14ac:dyDescent="0.25">
      <c r="M10" s="3"/>
    </row>
    <row r="11" spans="1:30" hidden="1" x14ac:dyDescent="0.25">
      <c r="M11" s="3"/>
    </row>
    <row r="12" spans="1:30" hidden="1" x14ac:dyDescent="0.25">
      <c r="M12" s="3"/>
    </row>
    <row r="13" spans="1:30" hidden="1" x14ac:dyDescent="0.25">
      <c r="M13" s="3"/>
    </row>
    <row r="14" spans="1:30" hidden="1" x14ac:dyDescent="0.25">
      <c r="M14" s="3"/>
    </row>
    <row r="15" spans="1:30" hidden="1" x14ac:dyDescent="0.25">
      <c r="M15" s="3"/>
    </row>
    <row r="16" spans="1:30" hidden="1" x14ac:dyDescent="0.25">
      <c r="M16" s="3"/>
    </row>
    <row r="17" spans="13:13" hidden="1" x14ac:dyDescent="0.25">
      <c r="M17" s="3"/>
    </row>
  </sheetData>
  <sheetProtection algorithmName="SHA-512" hashValue="o2E3SMfKpom8q6a7CW3y7nuTDnf7CrmDV6qUdnsEAj9uxKFUuc6wOhBb5DswI+WWe/cJM0C2sid4uGcyROQb8Q==" saltValue="Ps96jAudkHqMwFybpfHwWA==" spinCount="100000" sheet="1" objects="1" scenarios="1" formatCells="0" formatColumns="0" formatRows="0"/>
  <mergeCells count="5">
    <mergeCell ref="P4:R4"/>
    <mergeCell ref="E2:F2"/>
    <mergeCell ref="O2:P2"/>
    <mergeCell ref="Y2:AA2"/>
    <mergeCell ref="T2:U2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3" tint="0.39997558519241921"/>
  </sheetPr>
  <dimension ref="A1:K83"/>
  <sheetViews>
    <sheetView workbookViewId="0">
      <selection activeCell="F20" sqref="F20"/>
    </sheetView>
  </sheetViews>
  <sheetFormatPr defaultColWidth="9.140625" defaultRowHeight="15.75" x14ac:dyDescent="0.25"/>
  <cols>
    <col min="1" max="1" width="15.42578125" style="32" customWidth="1"/>
    <col min="2" max="3" width="17.42578125" style="32" customWidth="1"/>
    <col min="4" max="4" width="38.85546875" style="32" customWidth="1"/>
    <col min="5" max="5" width="15.5703125" style="32" bestFit="1" customWidth="1"/>
    <col min="6" max="11" width="16.140625" style="32" customWidth="1"/>
    <col min="12" max="16384" width="9.140625" style="32"/>
  </cols>
  <sheetData>
    <row r="1" spans="1:11" x14ac:dyDescent="0.25">
      <c r="A1" s="46">
        <v>12</v>
      </c>
      <c r="B1" s="46">
        <v>4</v>
      </c>
      <c r="C1" s="46">
        <v>9</v>
      </c>
      <c r="D1" s="819" t="s">
        <v>50</v>
      </c>
      <c r="E1" s="31"/>
      <c r="F1" s="59" t="s">
        <v>108</v>
      </c>
      <c r="G1" s="63" t="s">
        <v>108</v>
      </c>
      <c r="H1" s="62" t="s">
        <v>108</v>
      </c>
      <c r="I1" s="61" t="s">
        <v>108</v>
      </c>
      <c r="J1" s="60" t="s">
        <v>108</v>
      </c>
      <c r="K1" s="64" t="s">
        <v>108</v>
      </c>
    </row>
    <row r="2" spans="1:11" x14ac:dyDescent="0.25">
      <c r="A2" s="47" t="s">
        <v>84</v>
      </c>
      <c r="B2" s="46" t="s">
        <v>85</v>
      </c>
      <c r="C2" s="46" t="s">
        <v>86</v>
      </c>
      <c r="D2" s="820"/>
      <c r="E2" s="31"/>
      <c r="F2" s="59">
        <v>127</v>
      </c>
      <c r="G2" s="63">
        <v>92</v>
      </c>
      <c r="H2" s="62">
        <v>4</v>
      </c>
      <c r="I2" s="61">
        <v>3</v>
      </c>
      <c r="J2" s="60">
        <v>2</v>
      </c>
      <c r="K2" s="64">
        <v>1</v>
      </c>
    </row>
    <row r="3" spans="1:11" x14ac:dyDescent="0.25">
      <c r="A3" s="33"/>
      <c r="B3" s="31"/>
      <c r="C3" s="31"/>
      <c r="D3" s="31"/>
      <c r="E3" s="31"/>
      <c r="F3" s="59" t="s">
        <v>109</v>
      </c>
      <c r="G3" s="63" t="s">
        <v>109</v>
      </c>
      <c r="H3" s="62" t="s">
        <v>109</v>
      </c>
      <c r="I3" s="61" t="s">
        <v>109</v>
      </c>
      <c r="J3" s="60" t="s">
        <v>109</v>
      </c>
      <c r="K3" s="64" t="s">
        <v>109</v>
      </c>
    </row>
    <row r="4" spans="1:11" x14ac:dyDescent="0.25">
      <c r="A4" s="42">
        <v>52</v>
      </c>
      <c r="B4" s="43">
        <v>23</v>
      </c>
      <c r="C4" s="43">
        <v>9</v>
      </c>
      <c r="D4" s="821" t="s">
        <v>102</v>
      </c>
      <c r="E4" s="31"/>
      <c r="F4" s="59">
        <v>128</v>
      </c>
      <c r="G4" s="63">
        <v>93</v>
      </c>
      <c r="H4" s="62">
        <v>5</v>
      </c>
      <c r="I4" s="61">
        <v>4</v>
      </c>
      <c r="J4" s="60">
        <v>3</v>
      </c>
      <c r="K4" s="64">
        <v>2</v>
      </c>
    </row>
    <row r="5" spans="1:11" x14ac:dyDescent="0.25">
      <c r="A5" s="42" t="s">
        <v>89</v>
      </c>
      <c r="B5" s="43" t="s">
        <v>88</v>
      </c>
      <c r="C5" s="43" t="s">
        <v>87</v>
      </c>
      <c r="D5" s="822"/>
      <c r="E5" s="31"/>
      <c r="F5" s="31"/>
      <c r="G5" s="31"/>
    </row>
    <row r="6" spans="1:11" x14ac:dyDescent="0.25">
      <c r="A6" s="33"/>
      <c r="B6" s="31"/>
      <c r="C6" s="31"/>
      <c r="D6" s="31"/>
      <c r="E6" s="31"/>
      <c r="F6" s="31"/>
      <c r="G6" s="31"/>
    </row>
    <row r="7" spans="1:11" x14ac:dyDescent="0.25">
      <c r="A7" s="44">
        <v>19</v>
      </c>
      <c r="B7" s="45">
        <v>3</v>
      </c>
      <c r="C7" s="45">
        <v>9</v>
      </c>
      <c r="D7" s="823" t="s">
        <v>52</v>
      </c>
      <c r="E7" s="31"/>
      <c r="F7" s="31"/>
      <c r="G7" s="31"/>
    </row>
    <row r="8" spans="1:11" x14ac:dyDescent="0.25">
      <c r="A8" s="44" t="s">
        <v>90</v>
      </c>
      <c r="B8" s="45" t="s">
        <v>91</v>
      </c>
      <c r="C8" s="45" t="s">
        <v>92</v>
      </c>
      <c r="D8" s="824"/>
      <c r="E8" s="31"/>
      <c r="F8" s="31"/>
      <c r="G8" s="31"/>
    </row>
    <row r="9" spans="1:11" x14ac:dyDescent="0.25">
      <c r="A9" s="33"/>
      <c r="B9" s="31"/>
      <c r="C9" s="31"/>
      <c r="D9" s="31"/>
      <c r="E9" s="31"/>
      <c r="F9" s="31"/>
      <c r="G9" s="31"/>
    </row>
    <row r="10" spans="1:11" x14ac:dyDescent="0.25">
      <c r="A10" s="40">
        <v>10</v>
      </c>
      <c r="B10" s="41">
        <v>1</v>
      </c>
      <c r="C10" s="41">
        <v>9</v>
      </c>
      <c r="D10" s="825" t="s">
        <v>31</v>
      </c>
      <c r="E10" s="31"/>
      <c r="F10" s="31"/>
      <c r="G10" s="31"/>
    </row>
    <row r="11" spans="1:11" x14ac:dyDescent="0.25">
      <c r="A11" s="40" t="s">
        <v>93</v>
      </c>
      <c r="B11" s="41" t="s">
        <v>94</v>
      </c>
      <c r="C11" s="41" t="s">
        <v>95</v>
      </c>
      <c r="D11" s="826"/>
      <c r="E11" s="31"/>
      <c r="F11" s="31"/>
      <c r="G11" s="31"/>
    </row>
    <row r="12" spans="1:11" x14ac:dyDescent="0.25">
      <c r="A12" s="33"/>
      <c r="B12" s="31"/>
      <c r="C12" s="31"/>
      <c r="D12" s="31"/>
      <c r="E12" s="31"/>
      <c r="F12" s="31"/>
      <c r="G12" s="31"/>
    </row>
    <row r="13" spans="1:11" x14ac:dyDescent="0.25">
      <c r="A13" s="38">
        <v>13</v>
      </c>
      <c r="B13" s="39">
        <v>1</v>
      </c>
      <c r="C13" s="39">
        <v>9</v>
      </c>
      <c r="D13" s="827" t="s">
        <v>49</v>
      </c>
      <c r="E13" s="31"/>
      <c r="F13" s="31"/>
      <c r="G13" s="31"/>
    </row>
    <row r="14" spans="1:11" x14ac:dyDescent="0.25">
      <c r="A14" s="38" t="s">
        <v>96</v>
      </c>
      <c r="B14" s="39" t="s">
        <v>97</v>
      </c>
      <c r="C14" s="39" t="s">
        <v>98</v>
      </c>
      <c r="D14" s="828"/>
      <c r="E14" s="31"/>
      <c r="F14" s="31"/>
      <c r="G14" s="31"/>
    </row>
    <row r="15" spans="1:11" x14ac:dyDescent="0.25">
      <c r="A15" s="33"/>
      <c r="B15" s="31"/>
      <c r="C15" s="31"/>
      <c r="D15" s="31"/>
      <c r="E15" s="31"/>
      <c r="F15" s="31"/>
      <c r="G15" s="31"/>
    </row>
    <row r="16" spans="1:11" x14ac:dyDescent="0.25">
      <c r="A16" s="36">
        <v>8</v>
      </c>
      <c r="B16" s="37">
        <v>0</v>
      </c>
      <c r="C16" s="37">
        <v>9</v>
      </c>
      <c r="D16" s="817" t="s">
        <v>83</v>
      </c>
      <c r="E16" s="31"/>
      <c r="F16" s="31"/>
      <c r="G16" s="31"/>
    </row>
    <row r="17" spans="1:4" x14ac:dyDescent="0.25">
      <c r="A17" s="36" t="s">
        <v>99</v>
      </c>
      <c r="B17" s="37" t="s">
        <v>100</v>
      </c>
      <c r="C17" s="37" t="s">
        <v>101</v>
      </c>
      <c r="D17" s="818"/>
    </row>
    <row r="18" spans="1:4" x14ac:dyDescent="0.25">
      <c r="A18" s="33"/>
    </row>
    <row r="19" spans="1:4" x14ac:dyDescent="0.25">
      <c r="A19" s="33"/>
    </row>
    <row r="20" spans="1:4" x14ac:dyDescent="0.25">
      <c r="A20" s="33"/>
    </row>
    <row r="21" spans="1:4" x14ac:dyDescent="0.25">
      <c r="A21" s="33"/>
    </row>
    <row r="22" spans="1:4" x14ac:dyDescent="0.25">
      <c r="A22" s="33"/>
    </row>
    <row r="23" spans="1:4" x14ac:dyDescent="0.25">
      <c r="A23" s="33"/>
    </row>
    <row r="24" spans="1:4" x14ac:dyDescent="0.25">
      <c r="A24" s="33"/>
    </row>
    <row r="25" spans="1:4" x14ac:dyDescent="0.25">
      <c r="A25" s="33"/>
    </row>
    <row r="26" spans="1:4" x14ac:dyDescent="0.25">
      <c r="A26" s="33"/>
    </row>
    <row r="27" spans="1:4" x14ac:dyDescent="0.25">
      <c r="A27" s="33"/>
    </row>
    <row r="28" spans="1:4" x14ac:dyDescent="0.25">
      <c r="A28" s="33"/>
    </row>
    <row r="29" spans="1:4" x14ac:dyDescent="0.25">
      <c r="A29" s="33"/>
    </row>
    <row r="30" spans="1:4" x14ac:dyDescent="0.25">
      <c r="A30" s="33"/>
    </row>
    <row r="31" spans="1:4" x14ac:dyDescent="0.25">
      <c r="A31" s="33"/>
    </row>
    <row r="32" spans="1:4" x14ac:dyDescent="0.25">
      <c r="A32" s="33"/>
    </row>
    <row r="33" spans="1:1" x14ac:dyDescent="0.25">
      <c r="A33" s="33"/>
    </row>
    <row r="34" spans="1:1" x14ac:dyDescent="0.25">
      <c r="A34" s="33"/>
    </row>
    <row r="35" spans="1:1" x14ac:dyDescent="0.25">
      <c r="A35" s="33"/>
    </row>
    <row r="36" spans="1:1" x14ac:dyDescent="0.25">
      <c r="A36" s="33"/>
    </row>
    <row r="37" spans="1:1" x14ac:dyDescent="0.25">
      <c r="A37" s="33"/>
    </row>
    <row r="38" spans="1:1" x14ac:dyDescent="0.25">
      <c r="A38" s="33"/>
    </row>
    <row r="39" spans="1:1" x14ac:dyDescent="0.25">
      <c r="A39" s="33"/>
    </row>
    <row r="40" spans="1:1" x14ac:dyDescent="0.25">
      <c r="A40" s="33"/>
    </row>
    <row r="41" spans="1:1" x14ac:dyDescent="0.25">
      <c r="A41" s="33"/>
    </row>
    <row r="42" spans="1:1" x14ac:dyDescent="0.25">
      <c r="A42" s="33"/>
    </row>
    <row r="43" spans="1:1" x14ac:dyDescent="0.25">
      <c r="A43" s="33"/>
    </row>
    <row r="44" spans="1:1" x14ac:dyDescent="0.25">
      <c r="A44" s="33"/>
    </row>
    <row r="45" spans="1:1" x14ac:dyDescent="0.25">
      <c r="A45" s="33"/>
    </row>
    <row r="81" spans="1:1" x14ac:dyDescent="0.25">
      <c r="A81" s="34"/>
    </row>
    <row r="82" spans="1:1" x14ac:dyDescent="0.25">
      <c r="A82" s="34"/>
    </row>
    <row r="83" spans="1:1" x14ac:dyDescent="0.25">
      <c r="A83" s="35"/>
    </row>
  </sheetData>
  <mergeCells count="6">
    <mergeCell ref="D16:D17"/>
    <mergeCell ref="D1:D2"/>
    <mergeCell ref="D4:D5"/>
    <mergeCell ref="D7:D8"/>
    <mergeCell ref="D10:D11"/>
    <mergeCell ref="D13:D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Общая информация</vt:lpstr>
      <vt:lpstr>Ед. поставщик п.4 ч.1</vt:lpstr>
      <vt:lpstr>Ед. поставщик п.5 ч.1</vt:lpstr>
      <vt:lpstr>Ед.поставщик за искл. п.4,5 ч.1</vt:lpstr>
      <vt:lpstr>Состоявшиеся аукционы</vt:lpstr>
      <vt:lpstr>Несостоявшиеся аукционы</vt:lpstr>
      <vt:lpstr>Иные конкурентные закупки</vt:lpstr>
      <vt:lpstr>Настройки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Компьютер № 3</dc:creator>
  <cp:lastModifiedBy>Admin</cp:lastModifiedBy>
  <cp:lastPrinted>2024-12-26T10:05:52Z</cp:lastPrinted>
  <dcterms:created xsi:type="dcterms:W3CDTF">2017-01-25T04:28:39Z</dcterms:created>
  <dcterms:modified xsi:type="dcterms:W3CDTF">2025-05-05T12:15:14Z</dcterms:modified>
</cp:coreProperties>
</file>