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an\"/>
    </mc:Choice>
  </mc:AlternateContent>
  <workbookProtection workbookPassword="EB34" lockStructure="1"/>
  <bookViews>
    <workbookView xWindow="-105" yWindow="-105" windowWidth="19425" windowHeight="10425" tabRatio="603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123" i="31"/>
  <c r="I23" i="31"/>
  <c r="I31" i="31"/>
  <c r="H9" i="19"/>
  <c r="I78" i="31"/>
  <c r="I35" i="27"/>
  <c r="I34" i="27"/>
  <c r="I92" i="31"/>
  <c r="I33" i="27" l="1"/>
  <c r="I32" i="27"/>
  <c r="I31" i="27"/>
  <c r="H9" i="20"/>
  <c r="R9" i="20"/>
  <c r="I48" i="31"/>
  <c r="I39" i="31"/>
  <c r="I71" i="31"/>
  <c r="I30" i="27"/>
  <c r="I29" i="27"/>
  <c r="I28" i="27"/>
  <c r="I58" i="31"/>
  <c r="I115" i="31"/>
  <c r="I27" i="27"/>
  <c r="I26" i="27"/>
  <c r="I25" i="27"/>
  <c r="I24" i="27"/>
  <c r="I23" i="27"/>
  <c r="I46" i="31"/>
  <c r="I17" i="31"/>
  <c r="I56" i="31"/>
  <c r="H14" i="17"/>
  <c r="R14" i="17"/>
  <c r="I65" i="31"/>
  <c r="I22" i="27"/>
  <c r="H9" i="22"/>
  <c r="R9" i="22"/>
  <c r="H12" i="20"/>
  <c r="R12" i="20"/>
  <c r="I21" i="27"/>
  <c r="I20" i="27"/>
  <c r="I19" i="27"/>
  <c r="I18" i="27"/>
  <c r="I17" i="27"/>
  <c r="H9" i="17"/>
  <c r="R9" i="17"/>
  <c r="I99" i="31"/>
  <c r="I121" i="31"/>
  <c r="I9" i="31"/>
  <c r="I16" i="27"/>
  <c r="I15" i="27"/>
  <c r="I14" i="27"/>
  <c r="H30" i="19"/>
  <c r="I13" i="27"/>
  <c r="I120" i="31"/>
  <c r="I119" i="31" l="1"/>
  <c r="I118" i="31"/>
  <c r="I85" i="31"/>
  <c r="I68" i="31"/>
  <c r="I12" i="27"/>
  <c r="H27" i="19"/>
  <c r="I98" i="31"/>
  <c r="I11" i="27"/>
  <c r="I10" i="27"/>
  <c r="H29" i="19"/>
  <c r="I9" i="27"/>
  <c r="I88" i="31"/>
  <c r="I91" i="31"/>
  <c r="I55" i="31"/>
  <c r="I67" i="31" l="1"/>
  <c r="I36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<sst xmlns="http://schemas.openxmlformats.org/spreadsheetml/2006/main" count="1022" uniqueCount="416">
  <si>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</si>
  <si>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</si>
  <si>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</si>
  <si>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</si>
  <si>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</si>
  <si>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</si>
  <si>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</si>
  <si>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</si>
  <si>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</si>
  <si>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</si>
  <si>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</si>
  <si>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</si>
  <si>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</si>
  <si>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</si>
  <si>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</si>
  <si>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</si>
  <si>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</si>
  <si>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</si>
  <si>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</si>
  <si>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</si>
  <si>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</si>
  <si>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</si>
  <si>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</si>
  <si>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</si>
  <si>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</si>
  <si>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</si>
  <si>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</si>
  <si>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</si>
  <si>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</si>
  <si>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</si>
  <si>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</si>
  <si>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</si>
  <si>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</si>
  <si>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</si>
  <si>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</si>
  <si>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</si>
  <si>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</si>
  <si>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</si>
  <si>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</si>
  <si>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</si>
  <si>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</si>
  <si>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</si>
  <si>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</si>
  <si>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</si>
  <si>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</si>
  <si>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</si>
  <si>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</si>
  <si>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</si>
  <si>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</si>
  <si>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</si>
  <si>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</si>
  <si>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</si>
  <si>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</si>
  <si>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</si>
  <si>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</si>
  <si>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</si>
  <si>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</si>
  <si>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</si>
  <si>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</si>
  <si>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</si>
  <si>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</si>
  <si>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</si>
  <si>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</si>
  <si>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</si>
  <si>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</si>
  <si>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</si>
  <si>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</si>
  <si>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</si>
  <si>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</si>
  <si>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</si>
  <si>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</si>
  <si>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</si>
  <si>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</si>
  <si>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</si>
  <si>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</si>
  <si>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</si>
  <si>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</si>
  <si>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</si>
  <si>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</si>
  <si>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</si>
  <si>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</si>
  <si>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</si>
  <si>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</si>
  <si>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</si>
  <si>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</si>
  <si>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</si>
  <si>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</si>
  <si>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</si>
  <si>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</si>
  <si>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</si>
  <si>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</si>
  <si>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</si>
  <si>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</si>
  <si>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</si>
  <si>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</si>
  <si>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</si>
  <si>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</si>
  <si>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</si>
  <si>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</si>
  <si>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</si>
  <si>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</si>
  <si>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</si>
  <si>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</si>
  <si>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</si>
  <si>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</si>
  <si>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</si>
  <si>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</si>
  <si>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</si>
  <si>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</si>
  <si>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</si>
  <si>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</si>
  <si>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</si>
  <si>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</si>
  <si>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</si>
  <si>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</si>
  <si>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</si>
  <si>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</si>
  <si>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</si>
  <si>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</si>
  <si>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</si>
  <si>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</si>
  <si>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</si>
  <si>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</si>
  <si>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</si>
  <si>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</si>
  <si>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</si>
  <si>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</si>
  <si>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</si>
  <si>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</si>
  <si>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</si>
  <si>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</si>
  <si>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</si>
  <si>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</si>
  <si>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</si>
  <si>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</si>
  <si>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</si>
  <si>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</si>
  <si>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</si>
  <si>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</si>
  <si>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</si>
  <si>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</si>
  <si>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</si>
  <si>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</si>
  <si>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</si>
  <si>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</si>
  <si>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</si>
  <si>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</si>
  <si>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</si>
  <si>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</si>
  <si>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</si>
  <si>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Оказание охранных услуг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</si>
  <si>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</si>
  <si>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</si>
  <si>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</si>
  <si>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</si>
  <si>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</si>
  <si>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0818300019923000373-01</t>
  </si>
  <si>
    <t>235300582900</t>
  </si>
  <si>
    <t>ИП Эжбаев Ю.Н.</t>
  </si>
  <si>
    <t>В течение 7 рабочих дней после подписания документа о приемке</t>
  </si>
  <si>
    <t>Услуги по организации питания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</si>
  <si>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</si>
  <si>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</si>
  <si>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</si>
  <si>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</si>
  <si>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</si>
  <si>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</si>
  <si>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</si>
  <si>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А-179</t>
  </si>
  <si>
    <t>Работы по  техническому обслуживанию установки системы пожарного мониторинга "Стрелец-мониторинг"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</si>
  <si>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</si>
  <si>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</si>
  <si>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</si>
  <si>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ООО "РН-Карт"</t>
  </si>
  <si>
    <t>Да</t>
  </si>
  <si>
    <t>б/н</t>
  </si>
  <si>
    <t>Базирование транспортных средств</t>
  </si>
  <si>
    <t>Холодное водоснабжение</t>
  </si>
  <si>
    <t>ИП Лукоянов Ю.В.</t>
  </si>
  <si>
    <t>ООО "Водоснабжение"</t>
  </si>
  <si>
    <t>в течение 10 рабочих дней с даты подписания акта оказанных услуг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</si>
  <si>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</si>
  <si>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</si>
  <si>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</si>
  <si>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</si>
  <si>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</si>
  <si>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</si>
  <si>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</si>
  <si>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Бензин</t>
  </si>
  <si>
    <t>Систематическая дератизация</t>
  </si>
  <si>
    <t>ООО "Дезинфекция"</t>
  </si>
  <si>
    <t>ООО "РООС"</t>
  </si>
  <si>
    <t>Откачка и вывоз ЖБО</t>
  </si>
  <si>
    <t>2304067057</t>
  </si>
  <si>
    <t>с 01.01.2025 по 31.12.2025</t>
  </si>
  <si>
    <t>25-11-02596/25</t>
  </si>
  <si>
    <t>в течение 10 рабочих дней с даты подписания акта сдачи-приемки оказанных услуг</t>
  </si>
  <si>
    <t>34001048</t>
  </si>
  <si>
    <t>42</t>
  </si>
  <si>
    <t>ДГ 25/43</t>
  </si>
  <si>
    <t>34550724/038602</t>
  </si>
  <si>
    <t>Техническое обслуживание комплекса тревожной сигнализации</t>
  </si>
  <si>
    <t>ИП Даценко И.Н.</t>
  </si>
  <si>
    <t>с 01.01.2025 по 31.05.2025</t>
  </si>
  <si>
    <t>210009817619-122024</t>
  </si>
  <si>
    <t>Услуги по идентификации АСН в ГАИС "Эра-Глонасс"</t>
  </si>
  <si>
    <t>АО "ГЛОНАСС"</t>
  </si>
  <si>
    <t>В течение  10 рабочих дней со дня подписания акта оказанных услуг</t>
  </si>
  <si>
    <t>в срок, не превышающий 10 рабочих дней с даты подписания отчетных документов</t>
  </si>
  <si>
    <t>в течение 7 рабочих дней с даты подписания акта оказанных услуг</t>
  </si>
  <si>
    <t xml:space="preserve"> 32353015333240000039</t>
  </si>
  <si>
    <t>23070500320</t>
  </si>
  <si>
    <t>Электроэнергия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</si>
  <si>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</si>
  <si>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243235301533323530100100140018010244</t>
  </si>
  <si>
    <t xml:space="preserve">0818300019924000328 </t>
  </si>
  <si>
    <t>3235301533324000010</t>
  </si>
  <si>
    <t>с 01 января 2025 г. по 27 мая 2025 г. до 23 ч.59 включительно)</t>
  </si>
  <si>
    <t>233235301533323530100100120015629244</t>
  </si>
  <si>
    <t>0818300019924000324</t>
  </si>
  <si>
    <t>с 09.01.2025 по 23.05.2025г</t>
  </si>
  <si>
    <t>3235301533324000008</t>
  </si>
  <si>
    <t>21/25</t>
  </si>
  <si>
    <t>с 01.01.2025 по 30.06.2025</t>
  </si>
  <si>
    <t>1/25</t>
  </si>
  <si>
    <t>Оказание услуг по организации питания</t>
  </si>
  <si>
    <t>2/25</t>
  </si>
  <si>
    <t>3/25</t>
  </si>
  <si>
    <t>с 09.01.2025 по 23.05.2025</t>
  </si>
  <si>
    <t>с 09.01.2025 по 31.01.2025</t>
  </si>
  <si>
    <t>Услуги по подготовке декларации НВОС</t>
  </si>
  <si>
    <t>235307568414</t>
  </si>
  <si>
    <t>ИП Козырева Е.Н.</t>
  </si>
  <si>
    <t>с момента заключения контракта по 31.12.2025г.</t>
  </si>
  <si>
    <t>В течение 7 дней с момента подписания акта о приемке оказанных услуг</t>
  </si>
  <si>
    <t>А0172103</t>
  </si>
  <si>
    <t>Учебная литература</t>
  </si>
  <si>
    <t>А0174570</t>
  </si>
  <si>
    <t>Акционерное общество "Издательство "Просвещение"</t>
  </si>
  <si>
    <t>с 20.02.2025 по 30.06.2025</t>
  </si>
  <si>
    <t>в течение 10 рабочих дней с даты подписания документа о приемке</t>
  </si>
  <si>
    <t>б/н от 07.02.2025</t>
  </si>
  <si>
    <t>43</t>
  </si>
  <si>
    <t>01.02.2025 по 31.12.2025г.</t>
  </si>
  <si>
    <t>66-ТО</t>
  </si>
  <si>
    <t>Проверка тех. состояния транспортных средств</t>
  </si>
  <si>
    <t>235305769122</t>
  </si>
  <si>
    <t>ИП Барма И.Н.</t>
  </si>
  <si>
    <t>Не ранее чем через 5 рабочих дней со дня поступления заявки Заказчика</t>
  </si>
  <si>
    <t>В течение 10 рабочих дней с момента подписания акта о приемке оказанных услуг</t>
  </si>
  <si>
    <t>Ремонт автомобиля</t>
  </si>
  <si>
    <t>235303483777</t>
  </si>
  <si>
    <t>ИП Аполонов А.А.</t>
  </si>
  <si>
    <t>в течение 10 рабочих дней с даты подписания акта выполненных работ</t>
  </si>
  <si>
    <t>21.02.2025</t>
  </si>
  <si>
    <t>21/1</t>
  </si>
  <si>
    <t>Стойка охраны</t>
  </si>
  <si>
    <t>ООО "ТИТ-Мебель"</t>
  </si>
  <si>
    <t>в течение 30 рабочих дней со дня заключения контракта.</t>
  </si>
  <si>
    <t>в течение 10 рабочих дней с даты подписания акта приемки товара</t>
  </si>
  <si>
    <t>б/н от 18.02.2025</t>
  </si>
  <si>
    <t>4/21</t>
  </si>
  <si>
    <t>с 03.02.2025 по 23.05.2025</t>
  </si>
  <si>
    <t>34550725/011963</t>
  </si>
  <si>
    <t>с 01.04.2025 по 30.06.2025</t>
  </si>
  <si>
    <t>23-12192</t>
  </si>
  <si>
    <t>Полиграфическая продукция</t>
  </si>
  <si>
    <t>ООО "СпецБланк-Москва"</t>
  </si>
  <si>
    <t>в течение 40 календарных дней  после подписания контракта</t>
  </si>
  <si>
    <t>1 от 17.02.2025</t>
  </si>
  <si>
    <t>АТ00-002488</t>
  </si>
  <si>
    <t>Право на использование програмного обеспечения</t>
  </si>
  <si>
    <t>2311187588</t>
  </si>
  <si>
    <t>ООО Айти Мониторинг"</t>
  </si>
  <si>
    <t>В течение 15 рабочих дней, со дня подписания сторонами договора</t>
  </si>
  <si>
    <t>в течение 10 рабочих дней с даты подписания УПД</t>
  </si>
  <si>
    <t>Бумага для офисной техники</t>
  </si>
  <si>
    <t>ООО "Югпромснаб"</t>
  </si>
  <si>
    <t>В течение 10 рабочих дней с даты подписания  договора</t>
  </si>
  <si>
    <t>в течение 10 рабочих дней с даты подписания универсального передаточного документа</t>
  </si>
  <si>
    <t>б/н от 16.04.2025</t>
  </si>
  <si>
    <t>Услуги по выполнению предрейсового и послерейсового медицинского осмотра водителей и предрейсового и послерейсового  технического осмотра транспортного средства</t>
  </si>
  <si>
    <t>да</t>
  </si>
  <si>
    <t>21-04/2025</t>
  </si>
  <si>
    <t>Ковер Самбо</t>
  </si>
  <si>
    <t>ООО "РУССАМБО"</t>
  </si>
  <si>
    <t>с момента подписания договора до 10.05.2024</t>
  </si>
  <si>
    <t>Учебно-педагогическая документация</t>
  </si>
  <si>
    <t>2310132554</t>
  </si>
  <si>
    <t>ООО "Краснодарский учколлектор"</t>
  </si>
  <si>
    <t>с момента заключения контракта до 15.08.2025г</t>
  </si>
  <si>
    <t>в течение 7 рабочих дней с даты подписания акта выполненных работ</t>
  </si>
  <si>
    <t>А0218803</t>
  </si>
  <si>
    <t>с 25.02.2025 по 30.06.2025</t>
  </si>
  <si>
    <t>с24.04.2025 по 25.08.2025</t>
  </si>
  <si>
    <t xml:space="preserve">3235301533325000003 </t>
  </si>
  <si>
    <t xml:space="preserve">3235301533325000001 </t>
  </si>
  <si>
    <t xml:space="preserve">	3235301533325000002 </t>
  </si>
  <si>
    <t>48</t>
  </si>
  <si>
    <t>Проверка работы и очистка  вентиляции пищеблока</t>
  </si>
  <si>
    <t>2353002302</t>
  </si>
  <si>
    <t>с момента заключения контракта до 18.04.2025г</t>
  </si>
  <si>
    <t>10300</t>
  </si>
  <si>
    <t>2353023292</t>
  </si>
  <si>
    <t>ООО "Экопроект"</t>
  </si>
  <si>
    <t>с момента заключения контракта до 31.12.2025г</t>
  </si>
  <si>
    <t>в течение 7 дней с даты подписания акта о приемке оказанных услуг</t>
  </si>
  <si>
    <t>3086</t>
  </si>
  <si>
    <t>ИП Архангельский А.А.</t>
  </si>
  <si>
    <t>234602203000</t>
  </si>
  <si>
    <t>в течение 10 дней с момента заключения договора</t>
  </si>
  <si>
    <t>в течение 10 рабочих  дней с даты подписания акта о приемке оказанных услуг</t>
  </si>
  <si>
    <t>21-25-К</t>
  </si>
  <si>
    <t>2353018870</t>
  </si>
  <si>
    <t>Неисключительное право использования программного продукта</t>
  </si>
  <si>
    <t>Дезинсекция открытой территории школы против клещей, блох</t>
  </si>
  <si>
    <t>с момента заключения контракта до 15.06.2025</t>
  </si>
  <si>
    <t>5/21</t>
  </si>
  <si>
    <t>Услуги по организации питаничя</t>
  </si>
  <si>
    <t>с 01.04.2025 по 23.05.2025</t>
  </si>
  <si>
    <t>ФПК-72/5768</t>
  </si>
  <si>
    <t>ФГБОУ ВО КГУФКСТ</t>
  </si>
  <si>
    <t>2310018516</t>
  </si>
  <si>
    <t>Курсы повышения квалификации</t>
  </si>
  <si>
    <t>с 12.05.2025 по 23.05.2025</t>
  </si>
  <si>
    <t>Участие в форуме</t>
  </si>
  <si>
    <t>2304013862</t>
  </si>
  <si>
    <t>ЧУ "Пансионар Рассвет"</t>
  </si>
  <si>
    <t>с 13.05.2025 по 16.05.2025</t>
  </si>
  <si>
    <t>51/25</t>
  </si>
  <si>
    <t>Дополнительное образование водителей</t>
  </si>
  <si>
    <t>2327014502</t>
  </si>
  <si>
    <t>ООО "Брюховецкий образовательный центр"</t>
  </si>
  <si>
    <t>с 28.05.2025 по 02.06.2025</t>
  </si>
  <si>
    <t>253235301533323530100100130018010244</t>
  </si>
  <si>
    <t>0818300019925000133</t>
  </si>
  <si>
    <t>3235301533325000004</t>
  </si>
  <si>
    <t>08183000199250001330001</t>
  </si>
  <si>
    <t>с 28.05.2025 по 31.12.2025</t>
  </si>
  <si>
    <t>02,06.2025</t>
  </si>
  <si>
    <t>б/н от 05.06.2025</t>
  </si>
  <si>
    <t>34550725</t>
  </si>
  <si>
    <t>7743529527</t>
  </si>
  <si>
    <t>с 01.07.2025 по 30.09.2025</t>
  </si>
  <si>
    <t>130080</t>
  </si>
  <si>
    <t>Оказание услуг по организации питания в лагере с дневным пребыванием</t>
  </si>
  <si>
    <t>с 26.05.2025 по 15.06.2025</t>
  </si>
  <si>
    <t>253235301533323530100100140015629244</t>
  </si>
  <si>
    <t>08183000199250001740001</t>
  </si>
  <si>
    <t>Оказание услуг по организации горячего питания</t>
  </si>
  <si>
    <t>3235301533325000005</t>
  </si>
  <si>
    <t>с 01.09.2025 по 28.11.2025</t>
  </si>
  <si>
    <t>б/н от 06.06.2025</t>
  </si>
  <si>
    <t>б/н от 10.06.2025</t>
  </si>
  <si>
    <t>106/25</t>
  </si>
  <si>
    <t xml:space="preserve">Медицинский осмотр водителя </t>
  </si>
  <si>
    <t>2353006498</t>
  </si>
  <si>
    <t>ГБУЗ "Тимашевская ЦРБ" МЗ КК</t>
  </si>
  <si>
    <t>10.06.2025</t>
  </si>
  <si>
    <t>в течение 7 рабочих  дней с даты подписания акта о приемке оказанных услуг</t>
  </si>
  <si>
    <t>160</t>
  </si>
  <si>
    <t>Медицинский осмотр работников</t>
  </si>
  <si>
    <t>112/25</t>
  </si>
  <si>
    <t>112-1/25</t>
  </si>
  <si>
    <t>23.07.2025</t>
  </si>
  <si>
    <t>1/2025/25</t>
  </si>
  <si>
    <t>Услуги по публичному показу музейных предметов, музейных коллекций</t>
  </si>
  <si>
    <t>2310052884</t>
  </si>
  <si>
    <t>ГБУК КК"КГИАМЗ им. Е.Д. Фелицина"</t>
  </si>
  <si>
    <t>с 05.06.2025 по 15.10.2025г согласно заявки</t>
  </si>
  <si>
    <t>в течение 5 рабочих  дней с даты подписания акта о приемке оказанных услуг</t>
  </si>
  <si>
    <t>Оказание услуг по обращению с твердыми коммунальными отходами</t>
  </si>
  <si>
    <t>с 01.07.2025 по 31.12.2025</t>
  </si>
  <si>
    <t>Подготовка декларации НВОС , отчет 2 ТП (отходы) за 2024г</t>
  </si>
  <si>
    <t>ПАО "ТНС энерго Кубань"</t>
  </si>
  <si>
    <t>51-25</t>
  </si>
  <si>
    <t>Работы по электролабораторным испытаниям и электрическим измерениям</t>
  </si>
  <si>
    <t>2353018101</t>
  </si>
  <si>
    <t>ООО "Агропромэнерго"</t>
  </si>
  <si>
    <t>в течение 10 рабочих  дней с даты подписания акта о приемке выполненных работ</t>
  </si>
  <si>
    <t>11/2025</t>
  </si>
  <si>
    <t>Краска фасадная, краска половая</t>
  </si>
  <si>
    <t>235303016116</t>
  </si>
  <si>
    <t>ИП Демченко В.В.</t>
  </si>
  <si>
    <t>07.07.2025</t>
  </si>
  <si>
    <t>341</t>
  </si>
  <si>
    <t>2308105200</t>
  </si>
  <si>
    <t>Тимашевский филиал  ФБУЗ "Центр гигиены и эпидемиологии в Краснодарском крае"</t>
  </si>
  <si>
    <t>в течение 30 дней с момента заключения договора</t>
  </si>
  <si>
    <t>б/н от 25.07.2025</t>
  </si>
  <si>
    <t>Профиль, эмаль,колер, дюбель, краска, шпатлевка, цемент</t>
  </si>
  <si>
    <t>235309678500</t>
  </si>
  <si>
    <t>ИП Озеров В.В.</t>
  </si>
  <si>
    <t>в течение 10 дней с момента заключения договора.</t>
  </si>
  <si>
    <t>в течение 10 рабочих  дней с даты подписания акта о приемке поставленных товаров</t>
  </si>
  <si>
    <t>Лабораторные исследования воды, освещенности, почвы, метеорологических факторов, санитарно-гигиеническая оценка результатов</t>
  </si>
  <si>
    <t>1191</t>
  </si>
  <si>
    <t>Настройка программного обеспечения</t>
  </si>
  <si>
    <t>235309088540</t>
  </si>
  <si>
    <t>ИП Железняк И.И.</t>
  </si>
  <si>
    <t>21.07.2025</t>
  </si>
  <si>
    <t>в течение 10 рабочих  дней с даты подписания акта оказанных услуг.</t>
  </si>
  <si>
    <t>К231939/25</t>
  </si>
  <si>
    <t>6663003127</t>
  </si>
  <si>
    <t>АО "ПФ"СКБ Контур"</t>
  </si>
  <si>
    <t>22.07.2025</t>
  </si>
  <si>
    <t>32317250-280725-25</t>
  </si>
  <si>
    <t>Страховая премия обязательного страхования гражданской ответственности владельцев транспортных средств</t>
  </si>
  <si>
    <t>7707067683</t>
  </si>
  <si>
    <t>ПАО СК "Росгосстрах"</t>
  </si>
  <si>
    <t>04.08.2025</t>
  </si>
  <si>
    <t>Местная религиозная организация православный Приход храма Вознесения Господня г. Тимашевска  Краснодарского края  Ейской Епархии  Русской Православной Церкви</t>
  </si>
  <si>
    <t>2353016418</t>
  </si>
  <si>
    <t>Экскурсионные услуги с целью духовно-нравственного воспитания учащихся</t>
  </si>
  <si>
    <t>05.08.2025</t>
  </si>
  <si>
    <t>15.08.2025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</si>
</sst>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3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6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9" fontId="15" fillId="18" borderId="32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5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9" fontId="15" fillId="18" borderId="35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5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49" fontId="15" fillId="18" borderId="48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9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4" fontId="1" fillId="19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1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9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3" xfId="0" applyFont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Border="1" applyAlignment="1" applyProtection="1">
      <alignment horizontal="center" vertical="center" wrapText="1"/>
      <protection locked="0"/>
    </xf>
    <xf numFmtId="4" fontId="1" fillId="0" borderId="73" xfId="0" applyNumberFormat="1" applyFont="1" applyBorder="1" applyAlignment="1" applyProtection="1">
      <alignment horizontal="center" vertical="center" wrapText="1"/>
      <protection locked="0"/>
    </xf>
    <xf numFmtId="4" fontId="1" fillId="0" borderId="73" xfId="0" applyNumberFormat="1" applyFont="1" applyBorder="1" applyAlignment="1">
      <alignment horizontal="center" vertical="center" wrapText="1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49" fontId="15" fillId="18" borderId="80" xfId="0" applyNumberFormat="1" applyFont="1" applyFill="1" applyBorder="1" applyAlignment="1">
      <alignment horizontal="center" vertical="center" wrapText="1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2" xfId="0" applyNumberFormat="1" applyFont="1" applyFill="1" applyBorder="1" applyAlignment="1">
      <alignment horizontal="center" vertical="center" wrapText="1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49" fontId="15" fillId="18" borderId="90" xfId="0" applyNumberFormat="1" applyFont="1" applyFill="1" applyBorder="1" applyAlignment="1">
      <alignment horizontal="center" vertical="center" wrapText="1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1" xfId="0" applyNumberFormat="1" applyFont="1" applyFill="1" applyBorder="1" applyAlignment="1">
      <alignment horizontal="center" vertical="center" wrapText="1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>
      <alignment horizontal="center" vertical="center" wrapText="1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168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7" xfId="0" applyNumberFormat="1" applyFont="1" applyFill="1" applyBorder="1" applyAlignment="1">
      <alignment horizontal="center" vertical="center" wrapText="1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>
      <alignment horizontal="center" vertical="center" wrapText="1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4" fontId="18" fillId="19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>
      <alignment horizontal="center" vertical="center" wrapText="1"/>
    </xf>
    <xf numFmtId="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3" xfId="0" applyNumberFormat="1" applyFont="1" applyFill="1" applyBorder="1" applyAlignment="1">
      <alignment horizontal="center" vertical="center" wrapText="1"/>
    </xf>
    <xf numFmtId="4" fontId="1" fillId="19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>
      <alignment horizontal="center" vertical="center" wrapText="1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>
      <alignment horizontal="center" vertical="center" wrapText="1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6" xfId="0" applyNumberFormat="1" applyFont="1" applyFill="1" applyBorder="1" applyAlignment="1">
      <alignment horizontal="center" vertical="center" wrapText="1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>
      <alignment horizontal="center" vertical="center" wrapText="1"/>
    </xf>
    <xf numFmtId="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>
      <alignment horizontal="center" vertical="center" wrapText="1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6" xfId="0" applyNumberFormat="1" applyFont="1" applyFill="1" applyBorder="1" applyAlignment="1">
      <alignment horizontal="center" vertical="center" wrapText="1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18" borderId="116" xfId="0" applyNumberFormat="1" applyFont="1" applyFill="1" applyBorder="1" applyAlignment="1">
      <alignment horizontal="center" vertical="center" wrapText="1"/>
    </xf>
    <xf numFmtId="49" fontId="15" fillId="18" borderId="119" xfId="0" applyNumberFormat="1" applyFont="1" applyFill="1" applyBorder="1" applyAlignment="1">
      <alignment horizontal="center" vertical="center" wrapText="1"/>
    </xf>
    <xf numFmtId="49" fontId="15" fillId="18" borderId="122" xfId="0" applyNumberFormat="1" applyFont="1" applyFill="1" applyBorder="1" applyAlignment="1">
      <alignment horizontal="center" vertical="center" wrapText="1"/>
    </xf>
    <xf numFmtId="1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8" xfId="0" applyFont="1" applyFill="1" applyBorder="1" applyAlignment="1" applyProtection="1">
      <alignment horizontal="center" vertical="center" wrapText="1"/>
      <protection locked="0"/>
    </xf>
    <xf numFmtId="0" fontId="1" fillId="18" borderId="121" xfId="0" applyFont="1" applyFill="1" applyBorder="1" applyAlignment="1" applyProtection="1">
      <alignment horizontal="center" vertical="center" wrapText="1"/>
      <protection locked="0"/>
    </xf>
    <xf numFmtId="0" fontId="1" fillId="18" borderId="124" xfId="0" applyFont="1" applyFill="1" applyBorder="1" applyAlignment="1" applyProtection="1">
      <alignment horizontal="center" vertical="center" wrapText="1"/>
      <protection locked="0"/>
    </xf>
    <xf numFmtId="49" fontId="15" fillId="18" borderId="113" xfId="0" applyNumberFormat="1" applyFont="1" applyFill="1" applyBorder="1" applyAlignment="1">
      <alignment horizontal="center" vertical="center" wrapText="1"/>
    </xf>
    <xf numFmtId="49" fontId="15" fillId="18" borderId="114" xfId="0" applyNumberFormat="1" applyFont="1" applyFill="1" applyBorder="1" applyAlignment="1">
      <alignment horizontal="center" vertical="center" wrapText="1"/>
    </xf>
    <xf numFmtId="49" fontId="15" fillId="18" borderId="115" xfId="0" applyNumberFormat="1" applyFont="1" applyFill="1" applyBorder="1" applyAlignment="1">
      <alignment horizontal="center" vertical="center" wrapText="1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0" fontId="1" fillId="18" borderId="114" xfId="0" applyFont="1" applyFill="1" applyBorder="1" applyAlignment="1" applyProtection="1">
      <alignment horizontal="center" vertical="center" wrapText="1"/>
      <protection locked="0"/>
    </xf>
    <xf numFmtId="0" fontId="1" fillId="18" borderId="115" xfId="0" applyFont="1" applyFill="1" applyBorder="1" applyAlignment="1" applyProtection="1">
      <alignment horizontal="center" vertical="center" wrapText="1"/>
      <protection locked="0"/>
    </xf>
    <xf numFmtId="16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8" xfId="0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1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>
      <alignment horizontal="center" vertical="center" wrapText="1"/>
    </xf>
    <xf numFmtId="4" fontId="1" fillId="18" borderId="99" xfId="0" applyNumberFormat="1" applyFont="1" applyFill="1" applyBorder="1" applyAlignment="1">
      <alignment horizontal="center" vertical="center" wrapText="1"/>
    </xf>
    <xf numFmtId="4" fontId="1" fillId="18" borderId="100" xfId="0" applyNumberFormat="1" applyFont="1" applyFill="1" applyBorder="1" applyAlignment="1">
      <alignment horizontal="center" vertical="center" wrapText="1"/>
    </xf>
    <xf numFmtId="16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8" xfId="0" applyNumberFormat="1" applyFont="1" applyFill="1" applyBorder="1" applyAlignment="1">
      <alignment horizontal="center" vertical="center" wrapText="1"/>
    </xf>
    <xf numFmtId="49" fontId="15" fillId="18" borderId="99" xfId="0" applyNumberFormat="1" applyFont="1" applyFill="1" applyBorder="1" applyAlignment="1">
      <alignment horizontal="center" vertical="center" wrapText="1"/>
    </xf>
    <xf numFmtId="49" fontId="15" fillId="18" borderId="100" xfId="0" applyNumberFormat="1" applyFont="1" applyFill="1" applyBorder="1" applyAlignment="1">
      <alignment horizontal="center" vertical="center" wrapText="1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0" fontId="1" fillId="18" borderId="94" xfId="0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18" borderId="93" xfId="0" applyNumberFormat="1" applyFont="1" applyFill="1" applyBorder="1" applyAlignment="1">
      <alignment horizontal="center" vertical="center" wrapText="1"/>
    </xf>
    <xf numFmtId="4" fontId="1" fillId="18" borderId="94" xfId="0" applyNumberFormat="1" applyFont="1" applyFill="1" applyBorder="1" applyAlignment="1">
      <alignment horizontal="center" vertical="center" wrapText="1"/>
    </xf>
    <xf numFmtId="16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2" xfId="0" applyNumberFormat="1" applyFont="1" applyFill="1" applyBorder="1" applyAlignment="1">
      <alignment horizontal="center" vertical="center" wrapText="1"/>
    </xf>
    <xf numFmtId="49" fontId="15" fillId="18" borderId="93" xfId="0" applyNumberFormat="1" applyFont="1" applyFill="1" applyBorder="1" applyAlignment="1">
      <alignment horizontal="center" vertical="center" wrapText="1"/>
    </xf>
    <xf numFmtId="49" fontId="15" fillId="18" borderId="94" xfId="0" applyNumberFormat="1" applyFont="1" applyFill="1" applyBorder="1" applyAlignment="1">
      <alignment horizontal="center" vertical="center" wrapText="1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1" xfId="0" applyNumberFormat="1" applyFont="1" applyFill="1" applyBorder="1" applyAlignment="1">
      <alignment horizontal="center" vertical="center" wrapText="1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5" fillId="18" borderId="63" xfId="0" applyNumberFormat="1" applyFont="1" applyFill="1" applyBorder="1" applyAlignment="1">
      <alignment horizontal="center" vertical="center" wrapText="1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9" xfId="0" applyNumberFormat="1" applyFont="1" applyFill="1" applyBorder="1" applyAlignment="1">
      <alignment horizontal="center" vertical="center" wrapText="1"/>
    </xf>
    <xf numFmtId="49" fontId="15" fillId="18" borderId="40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1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49" fontId="15" fillId="18" borderId="42" xfId="0" applyNumberFormat="1" applyFont="1" applyFill="1" applyBorder="1" applyAlignment="1">
      <alignment horizontal="center" vertical="center" wrapText="1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44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5" xfId="0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7" xfId="0" applyFont="1" applyFill="1" applyBorder="1" applyAlignment="1" applyProtection="1">
      <alignment horizontal="center" vertical="center" wrapText="1"/>
      <protection locked="0"/>
    </xf>
    <xf numFmtId="0" fontId="1" fillId="18" borderId="108" xfId="0" applyFont="1" applyFill="1" applyBorder="1" applyAlignment="1" applyProtection="1">
      <alignment horizontal="center" vertical="center" wrapText="1"/>
      <protection locked="0"/>
    </xf>
    <xf numFmtId="0" fontId="1" fillId="18" borderId="109" xfId="0" applyFont="1" applyFill="1" applyBorder="1" applyAlignment="1" applyProtection="1">
      <alignment horizontal="center" vertical="center" wrapText="1"/>
      <protection locked="0"/>
    </xf>
    <xf numFmtId="49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4" xfId="0" applyFont="1" applyFill="1" applyBorder="1" applyAlignment="1" applyProtection="1">
      <alignment horizontal="center" vertical="center" wrapText="1"/>
      <protection locked="0"/>
    </xf>
    <xf numFmtId="0" fontId="1" fillId="18" borderId="105" xfId="0" applyFont="1" applyFill="1" applyBorder="1" applyAlignment="1" applyProtection="1">
      <alignment horizontal="center" vertical="center" wrapText="1"/>
      <protection locked="0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5" xfId="0" applyNumberFormat="1" applyFont="1" applyFill="1" applyBorder="1" applyAlignment="1">
      <alignment horizontal="center" vertical="center" wrapText="1"/>
    </xf>
    <xf numFmtId="49" fontId="15" fillId="18" borderId="58" xfId="0" applyNumberFormat="1" applyFont="1" applyFill="1" applyBorder="1" applyAlignment="1">
      <alignment horizontal="center" vertical="center" wrapText="1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4" borderId="52" xfId="0" applyNumberFormat="1" applyFont="1" applyFill="1" applyBorder="1" applyAlignment="1">
      <alignment horizontal="center" vertical="center" wrapText="1"/>
    </xf>
    <xf numFmtId="49" fontId="15" fillId="4" borderId="53" xfId="0" applyNumberFormat="1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5" xfId="0" applyNumberFormat="1" applyFont="1" applyFill="1" applyBorder="1" applyAlignment="1">
      <alignment horizontal="center" vertical="center" wrapText="1"/>
    </xf>
    <xf numFmtId="49" fontId="15" fillId="18" borderId="86" xfId="0" applyNumberFormat="1" applyFont="1" applyFill="1" applyBorder="1" applyAlignment="1">
      <alignment horizontal="center" vertical="center" wrapText="1"/>
    </xf>
    <xf numFmtId="49" fontId="15" fillId="18" borderId="87" xfId="0" applyNumberFormat="1" applyFont="1" applyFill="1" applyBorder="1" applyAlignment="1">
      <alignment horizontal="center" vertical="center" wrapText="1"/>
    </xf>
    <xf numFmtId="1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16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1" xfId="0" applyNumberFormat="1" applyFont="1" applyFill="1" applyBorder="1" applyAlignment="1">
      <alignment horizontal="center" vertical="center" wrapText="1"/>
    </xf>
    <xf numFmtId="4" fontId="1" fillId="4" borderId="82" xfId="0" applyNumberFormat="1" applyFont="1" applyFill="1" applyBorder="1" applyAlignment="1">
      <alignment horizontal="center" vertical="center" wrapText="1"/>
    </xf>
    <xf numFmtId="167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1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8" borderId="89" xfId="0" applyNumberFormat="1" applyFont="1" applyFill="1" applyBorder="1" applyAlignment="1">
      <alignment horizontal="center" vertical="center" wrapText="1"/>
    </xf>
    <xf numFmtId="16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>
      <alignment horizontal="center" vertical="center" wrapText="1"/>
    </xf>
    <xf numFmtId="16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>
      <alignment horizontal="center" vertical="center" wrapText="1"/>
    </xf>
    <xf numFmtId="4" fontId="1" fillId="18" borderId="105" xfId="0" applyNumberFormat="1" applyFont="1" applyFill="1" applyBorder="1" applyAlignment="1">
      <alignment horizontal="center" vertical="center" wrapText="1"/>
    </xf>
    <xf numFmtId="4" fontId="1" fillId="18" borderId="106" xfId="0" applyNumberFormat="1" applyFont="1" applyFill="1" applyBorder="1" applyAlignment="1">
      <alignment horizontal="center" vertical="center" wrapText="1"/>
    </xf>
    <xf numFmtId="16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5" xfId="0" applyNumberFormat="1" applyFont="1" applyFill="1" applyBorder="1" applyAlignment="1">
      <alignment horizontal="center" vertical="center" wrapText="1"/>
    </xf>
    <xf numFmtId="49" fontId="15" fillId="18" borderId="96" xfId="0" applyNumberFormat="1" applyFont="1" applyFill="1" applyBorder="1" applyAlignment="1">
      <alignment horizontal="center" vertical="center" wrapText="1"/>
    </xf>
    <xf numFmtId="49" fontId="15" fillId="18" borderId="97" xfId="0" applyNumberFormat="1" applyFont="1" applyFill="1" applyBorder="1" applyAlignment="1">
      <alignment horizontal="center" vertical="center" wrapText="1"/>
    </xf>
    <xf numFmtId="49" fontId="15" fillId="4" borderId="81" xfId="0" applyNumberFormat="1" applyFont="1" applyFill="1" applyBorder="1" applyAlignment="1">
      <alignment horizontal="center" vertical="center" wrapText="1"/>
    </xf>
    <xf numFmtId="49" fontId="15" fillId="4" borderId="82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4" xfId="0" applyNumberFormat="1" applyFont="1" applyFill="1" applyBorder="1" applyAlignment="1">
      <alignment horizontal="center" vertical="center" wrapText="1"/>
    </xf>
    <xf numFmtId="49" fontId="15" fillId="18" borderId="105" xfId="0" applyNumberFormat="1" applyFont="1" applyFill="1" applyBorder="1" applyAlignment="1">
      <alignment horizontal="center" vertical="center" wrapText="1"/>
    </xf>
    <xf numFmtId="49" fontId="15" fillId="18" borderId="106" xfId="0" applyNumberFormat="1" applyFont="1" applyFill="1" applyBorder="1" applyAlignment="1">
      <alignment horizontal="center" vertical="center" wrapText="1"/>
    </xf>
    <xf numFmtId="14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>
      <alignment horizontal="center" vertical="center" wrapText="1"/>
    </xf>
    <xf numFmtId="4" fontId="1" fillId="18" borderId="108" xfId="0" applyNumberFormat="1" applyFont="1" applyFill="1" applyBorder="1" applyAlignment="1">
      <alignment horizontal="center" vertical="center" wrapText="1"/>
    </xf>
    <xf numFmtId="4" fontId="1" fillId="18" borderId="109" xfId="0" applyNumberFormat="1" applyFont="1" applyFill="1" applyBorder="1" applyAlignment="1">
      <alignment horizontal="center" vertical="center" wrapText="1"/>
    </xf>
    <xf numFmtId="16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7" xfId="0" applyNumberFormat="1" applyFont="1" applyFill="1" applyBorder="1" applyAlignment="1">
      <alignment horizontal="center" vertical="center" wrapText="1"/>
    </xf>
    <xf numFmtId="49" fontId="15" fillId="18" borderId="108" xfId="0" applyNumberFormat="1" applyFont="1" applyFill="1" applyBorder="1" applyAlignment="1">
      <alignment horizontal="center" vertical="center" wrapText="1"/>
    </xf>
    <xf numFmtId="49" fontId="15" fillId="18" borderId="109" xfId="0" applyNumberFormat="1" applyFont="1" applyFill="1" applyBorder="1" applyAlignment="1">
      <alignment horizontal="center" vertical="center" wrapText="1"/>
    </xf>
    <xf numFmtId="1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>
      <alignment horizontal="center" vertical="center" wrapText="1"/>
    </xf>
    <xf numFmtId="4" fontId="1" fillId="18" borderId="96" xfId="0" applyNumberFormat="1" applyFont="1" applyFill="1" applyBorder="1" applyAlignment="1">
      <alignment horizontal="center" vertical="center" wrapText="1"/>
    </xf>
    <xf numFmtId="4" fontId="1" fillId="18" borderId="97" xfId="0" applyNumberFormat="1" applyFont="1" applyFill="1" applyBorder="1" applyAlignment="1">
      <alignment horizontal="center" vertical="center" wrapText="1"/>
    </xf>
    <xf numFmtId="16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8" xfId="0" applyNumberFormat="1" applyFont="1" applyFill="1" applyBorder="1" applyAlignment="1">
      <alignment horizontal="center" vertical="center" wrapText="1"/>
    </xf>
    <xf numFmtId="49" fontId="15" fillId="18" borderId="89" xfId="0" applyNumberFormat="1" applyFont="1" applyFill="1" applyBorder="1" applyAlignment="1">
      <alignment horizontal="center" vertical="center" wrapText="1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5" fillId="18" borderId="84" xfId="0" applyNumberFormat="1" applyFont="1" applyFill="1" applyBorder="1" applyAlignment="1">
      <alignment horizontal="center" vertical="center" wrapText="1"/>
    </xf>
    <xf numFmtId="14" fontId="1" fillId="0" borderId="11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>
      <alignment horizontal="center" vertical="center" wrapText="1"/>
    </xf>
    <xf numFmtId="4" fontId="1" fillId="18" borderId="114" xfId="0" applyNumberFormat="1" applyFont="1" applyFill="1" applyBorder="1" applyAlignment="1">
      <alignment horizontal="center" vertical="center" wrapText="1"/>
    </xf>
    <xf numFmtId="4" fontId="1" fillId="18" borderId="115" xfId="0" applyNumberFormat="1" applyFont="1" applyFill="1" applyBorder="1" applyAlignment="1">
      <alignment horizontal="center" vertical="center" wrapText="1"/>
    </xf>
    <xf numFmtId="165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7" xfId="0" applyNumberFormat="1" applyFont="1" applyFill="1" applyBorder="1" applyAlignment="1">
      <alignment horizontal="center" vertical="center" wrapText="1"/>
    </xf>
    <xf numFmtId="4" fontId="1" fillId="18" borderId="120" xfId="0" applyNumberFormat="1" applyFont="1" applyFill="1" applyBorder="1" applyAlignment="1">
      <alignment horizontal="center" vertical="center" wrapText="1"/>
    </xf>
    <xf numFmtId="4" fontId="1" fillId="18" borderId="123" xfId="0" applyNumberFormat="1" applyFont="1" applyFill="1" applyBorder="1" applyAlignment="1">
      <alignment horizontal="center" vertical="center" wrapText="1"/>
    </xf>
    <xf numFmtId="167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0" xfId="0" applyFont="1" applyFill="1" applyBorder="1" applyAlignment="1" applyProtection="1">
      <alignment horizontal="center" vertical="center" wrapText="1"/>
      <protection locked="0"/>
    </xf>
    <xf numFmtId="0" fontId="1" fillId="18" borderId="111" xfId="0" applyFont="1" applyFill="1" applyBorder="1" applyAlignment="1" applyProtection="1">
      <alignment horizontal="center" vertical="center" wrapText="1"/>
      <protection locked="0"/>
    </xf>
    <xf numFmtId="0" fontId="1" fillId="18" borderId="112" xfId="0" applyFont="1" applyFill="1" applyBorder="1" applyAlignment="1" applyProtection="1">
      <alignment horizontal="center" vertical="center" wrapText="1"/>
      <protection locked="0"/>
    </xf>
    <xf numFmtId="49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0" xfId="0" applyNumberFormat="1" applyFont="1" applyFill="1" applyBorder="1" applyAlignment="1">
      <alignment horizontal="center" vertical="center" wrapText="1"/>
    </xf>
    <xf numFmtId="4" fontId="1" fillId="18" borderId="111" xfId="0" applyNumberFormat="1" applyFont="1" applyFill="1" applyBorder="1" applyAlignment="1">
      <alignment horizontal="center" vertical="center" wrapText="1"/>
    </xf>
    <xf numFmtId="4" fontId="1" fillId="18" borderId="112" xfId="0" applyNumberFormat="1" applyFont="1" applyFill="1" applyBorder="1" applyAlignment="1">
      <alignment horizontal="center" vertical="center" wrapText="1"/>
    </xf>
    <xf numFmtId="1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110" xfId="0" applyNumberFormat="1" applyFont="1" applyFill="1" applyBorder="1" applyAlignment="1">
      <alignment horizontal="center" vertical="center" wrapText="1"/>
    </xf>
    <xf numFmtId="49" fontId="1" fillId="18" borderId="111" xfId="0" applyNumberFormat="1" applyFont="1" applyFill="1" applyBorder="1" applyAlignment="1">
      <alignment horizontal="center" vertical="center" wrapText="1"/>
    </xf>
    <xf numFmtId="49" fontId="1" fillId="18" borderId="112" xfId="0" applyNumberFormat="1" applyFont="1" applyFill="1" applyBorder="1" applyAlignment="1">
      <alignment horizontal="center" vertical="center" wrapText="1"/>
    </xf>
    <xf numFmtId="49" fontId="15" fillId="4" borderId="64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49" fontId="15" fillId="4" borderId="70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75" xfId="0" applyNumberFormat="1" applyFont="1" applyBorder="1" applyAlignment="1" applyProtection="1">
      <alignment vertical="center" wrapText="1"/>
      <protection locked="0"/>
    </xf>
    <xf numFmtId="49" fontId="16" fillId="0" borderId="78" xfId="0" applyNumberFormat="1" applyFont="1" applyBorder="1" applyAlignment="1" applyProtection="1">
      <alignment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101" xfId="0" applyNumberFormat="1" applyFont="1" applyFill="1" applyBorder="1" applyAlignment="1">
      <alignment horizontal="center" vertical="center" wrapText="1"/>
    </xf>
    <xf numFmtId="49" fontId="1" fillId="18" borderId="102" xfId="0" applyNumberFormat="1" applyFont="1" applyFill="1" applyBorder="1" applyAlignment="1">
      <alignment horizontal="center" vertical="center" wrapText="1"/>
    </xf>
    <xf numFmtId="49" fontId="1" fillId="18" borderId="103" xfId="0" applyNumberFormat="1" applyFont="1" applyFill="1" applyBorder="1" applyAlignment="1">
      <alignment horizontal="center" vertical="center" wrapText="1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1" xfId="0" applyFont="1" applyFill="1" applyBorder="1" applyAlignment="1" applyProtection="1">
      <alignment horizontal="center" vertical="center" wrapText="1"/>
      <protection locked="0"/>
    </xf>
    <xf numFmtId="0" fontId="1" fillId="18" borderId="102" xfId="0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>
      <alignment horizontal="center" vertical="center" wrapText="1"/>
    </xf>
    <xf numFmtId="4" fontId="1" fillId="18" borderId="102" xfId="0" applyNumberFormat="1" applyFont="1" applyFill="1" applyBorder="1" applyAlignment="1">
      <alignment horizontal="center" vertical="center" wrapText="1"/>
    </xf>
    <xf numFmtId="4" fontId="1" fillId="18" borderId="103" xfId="0" applyNumberFormat="1" applyFont="1" applyFill="1" applyBorder="1" applyAlignment="1">
      <alignment horizontal="center" vertical="center" wrapText="1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A12" sqref="A12:C12"/>
    </sheetView>
  </sheetViews>
  <sheetFormatPr defaultColWidth="0" defaultRowHeight="15" x14ac:dyDescent="0.25"/>
  <cols>
    <col min="1" max="2" width="9.140625" style="8" customWidth="1"/>
    <col min="3" max="3" width="25.42578125" style="8" customWidth="1"/>
    <col min="4" max="5" width="9.140625" style="8" customWidth="1"/>
    <col min="6" max="6" width="11.570312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425781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5703125" style="8" hidden="1" customWidth="1"/>
    <col min="24" max="16384" width="9.140625" style="8" hidden="1"/>
  </cols>
  <sheetData>
    <row r="1" spans="1:14" ht="73.5" customHeight="1" thickBot="1" x14ac:dyDescent="0.3">
      <c r="A1" s="731" t="s">
        <v>141</v>
      </c>
      <c r="B1" s="732"/>
      <c r="C1" s="732"/>
      <c r="D1" s="732"/>
      <c r="E1" s="733" t="s">
        <v>145</v>
      </c>
      <c r="F1" s="734"/>
      <c r="G1" s="734"/>
      <c r="H1" s="734"/>
      <c r="I1" s="734"/>
      <c r="J1" s="734"/>
      <c r="K1" s="734"/>
      <c r="L1" s="734"/>
      <c r="M1" s="734"/>
      <c r="N1" s="735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707" t="s">
        <v>25</v>
      </c>
      <c r="B4" s="708"/>
      <c r="C4" s="4">
        <v>8881208.4600000009</v>
      </c>
      <c r="D4" s="5"/>
      <c r="E4" s="709" t="s">
        <v>140</v>
      </c>
      <c r="F4" s="710"/>
      <c r="G4" s="711"/>
      <c r="H4" s="712">
        <v>1401735.8</v>
      </c>
      <c r="I4" s="713"/>
      <c r="J4" s="714"/>
      <c r="K4" s="17"/>
      <c r="L4" s="76" t="s">
        <v>55</v>
      </c>
      <c r="M4" s="709">
        <v>2008118.58</v>
      </c>
      <c r="N4" s="711"/>
    </row>
    <row r="5" spans="1:14" ht="30.75" customHeight="1" thickBot="1" x14ac:dyDescent="0.3">
      <c r="A5" s="707" t="s">
        <v>26</v>
      </c>
      <c r="B5" s="708"/>
      <c r="C5" s="6">
        <f>C4-G15+J15</f>
        <v>2478444.8500000006</v>
      </c>
      <c r="D5" s="5"/>
      <c r="E5" s="709" t="s">
        <v>53</v>
      </c>
      <c r="F5" s="710"/>
      <c r="G5" s="711"/>
      <c r="H5" s="699">
        <f>H4-G12</f>
        <v>839444.52</v>
      </c>
      <c r="I5" s="700"/>
      <c r="J5" s="701"/>
      <c r="K5" s="17"/>
      <c r="L5" s="76" t="s">
        <v>54</v>
      </c>
      <c r="M5" s="702">
        <f>M4-G13</f>
        <v>255865.8600000001</v>
      </c>
      <c r="N5" s="703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715" t="s">
        <v>27</v>
      </c>
      <c r="B8" s="716"/>
      <c r="C8" s="717"/>
      <c r="D8" s="715" t="s">
        <v>28</v>
      </c>
      <c r="E8" s="716"/>
      <c r="F8" s="717"/>
      <c r="G8" s="718" t="s">
        <v>29</v>
      </c>
      <c r="H8" s="719"/>
      <c r="I8" s="720"/>
      <c r="J8" s="718" t="s">
        <v>142</v>
      </c>
      <c r="K8" s="719"/>
      <c r="L8" s="720"/>
      <c r="M8" s="715" t="s">
        <v>30</v>
      </c>
      <c r="N8" s="717"/>
    </row>
    <row r="9" spans="1:14" ht="41.25" customHeight="1" thickBot="1" x14ac:dyDescent="0.3">
      <c r="A9" s="721" t="s">
        <v>31</v>
      </c>
      <c r="B9" s="722"/>
      <c r="C9" s="723"/>
      <c r="D9" s="724">
        <f>'Состоявшиеся аукционы'!G2</f>
        <v>1339144.2</v>
      </c>
      <c r="E9" s="724"/>
      <c r="F9" s="724"/>
      <c r="G9" s="724">
        <f>'Состоявшиеся аукционы'!Q2</f>
        <v>1272465</v>
      </c>
      <c r="H9" s="724"/>
      <c r="I9" s="724"/>
      <c r="J9" s="704">
        <f>'Состоявшиеся аукционы'!AB2</f>
        <v>0</v>
      </c>
      <c r="K9" s="706"/>
      <c r="L9" s="705"/>
      <c r="M9" s="724">
        <f t="shared" ref="M9:M15" si="0">D9-G9</f>
        <v>66679.199999999953</v>
      </c>
      <c r="N9" s="724"/>
    </row>
    <row r="10" spans="1:14" ht="78.75" customHeight="1" thickBot="1" x14ac:dyDescent="0.3">
      <c r="A10" s="721" t="s">
        <v>49</v>
      </c>
      <c r="B10" s="722"/>
      <c r="C10" s="723"/>
      <c r="D10" s="724">
        <f>'Несостоявшиеся аукционы'!G2</f>
        <v>847247.54</v>
      </c>
      <c r="E10" s="724"/>
      <c r="F10" s="724"/>
      <c r="G10" s="724">
        <f>'Несостоявшиеся аукционы'!Q2</f>
        <v>847247.54</v>
      </c>
      <c r="H10" s="724"/>
      <c r="I10" s="724"/>
      <c r="J10" s="704">
        <f>'Несостоявшиеся аукционы'!AB2</f>
        <v>55175.35</v>
      </c>
      <c r="K10" s="706"/>
      <c r="L10" s="705"/>
      <c r="M10" s="724">
        <f t="shared" si="0"/>
        <v>0</v>
      </c>
      <c r="N10" s="724"/>
    </row>
    <row r="11" spans="1:14" ht="40.5" customHeight="1" thickBot="1" x14ac:dyDescent="0.3">
      <c r="A11" s="721" t="s">
        <v>83</v>
      </c>
      <c r="B11" s="722"/>
      <c r="C11" s="723"/>
      <c r="D11" s="704">
        <f>'Иные конкурентные закупки'!G2</f>
        <v>1098720</v>
      </c>
      <c r="E11" s="706"/>
      <c r="F11" s="705"/>
      <c r="G11" s="704">
        <f>'Иные конкурентные закупки'!Q2</f>
        <v>994080</v>
      </c>
      <c r="H11" s="706"/>
      <c r="I11" s="705"/>
      <c r="J11" s="704">
        <f>'Иные конкурентные закупки'!AB2</f>
        <v>0</v>
      </c>
      <c r="K11" s="706"/>
      <c r="L11" s="705"/>
      <c r="M11" s="704">
        <f t="shared" si="0"/>
        <v>104640</v>
      </c>
      <c r="N11" s="705"/>
    </row>
    <row r="12" spans="1:14" ht="54.75" customHeight="1" thickBot="1" x14ac:dyDescent="0.3">
      <c r="A12" s="728" t="s">
        <v>50</v>
      </c>
      <c r="B12" s="729"/>
      <c r="C12" s="730"/>
      <c r="D12" s="724">
        <f>'Ед. поставщик п.4 ч.1'!H2</f>
        <v>562291.28</v>
      </c>
      <c r="E12" s="724"/>
      <c r="F12" s="724"/>
      <c r="G12" s="724">
        <f>D12</f>
        <v>562291.28</v>
      </c>
      <c r="H12" s="724"/>
      <c r="I12" s="724"/>
      <c r="J12" s="704">
        <f>'Ед. поставщик п.4 ч.1'!V2</f>
        <v>0</v>
      </c>
      <c r="K12" s="706"/>
      <c r="L12" s="705"/>
      <c r="M12" s="724">
        <f t="shared" si="0"/>
        <v>0</v>
      </c>
      <c r="N12" s="724"/>
    </row>
    <row r="13" spans="1:14" ht="45.75" customHeight="1" thickBot="1" x14ac:dyDescent="0.3">
      <c r="A13" s="728" t="s">
        <v>51</v>
      </c>
      <c r="B13" s="729"/>
      <c r="C13" s="730"/>
      <c r="D13" s="724">
        <f>'Ед. поставщик п.5 ч.1'!H2</f>
        <v>1752252.72</v>
      </c>
      <c r="E13" s="724"/>
      <c r="F13" s="724"/>
      <c r="G13" s="724">
        <f>D13</f>
        <v>1752252.72</v>
      </c>
      <c r="H13" s="724"/>
      <c r="I13" s="724"/>
      <c r="J13" s="704">
        <f>'Ед. поставщик п.5 ч.1'!V2</f>
        <v>327959.12</v>
      </c>
      <c r="K13" s="706"/>
      <c r="L13" s="705"/>
      <c r="M13" s="724">
        <f t="shared" si="0"/>
        <v>0</v>
      </c>
      <c r="N13" s="724"/>
    </row>
    <row r="14" spans="1:14" ht="45.75" customHeight="1" thickBot="1" x14ac:dyDescent="0.3">
      <c r="A14" s="748" t="s">
        <v>52</v>
      </c>
      <c r="B14" s="749"/>
      <c r="C14" s="750"/>
      <c r="D14" s="704">
        <f>'Ед.поставщик за искл. п.4,5 ч.1'!G2</f>
        <v>1357561.54</v>
      </c>
      <c r="E14" s="706"/>
      <c r="F14" s="705"/>
      <c r="G14" s="704">
        <f>D14</f>
        <v>1357561.54</v>
      </c>
      <c r="H14" s="706"/>
      <c r="I14" s="705"/>
      <c r="J14" s="704">
        <f>'Ед.поставщик за искл. п.4,5 ч.1'!T2</f>
        <v>0</v>
      </c>
      <c r="K14" s="706"/>
      <c r="L14" s="705"/>
      <c r="M14" s="724">
        <f t="shared" si="0"/>
        <v>0</v>
      </c>
      <c r="N14" s="724"/>
    </row>
    <row r="15" spans="1:14" ht="21" thickBot="1" x14ac:dyDescent="0.3">
      <c r="A15" s="725" t="s">
        <v>146</v>
      </c>
      <c r="B15" s="726"/>
      <c r="C15" s="727"/>
      <c r="D15" s="724">
        <f>SUM(D9:D14)</f>
        <v>6957217.2800000003</v>
      </c>
      <c r="E15" s="724"/>
      <c r="F15" s="724"/>
      <c r="G15" s="704">
        <f>SUM(G9:G14)</f>
        <v>6785898.0800000001</v>
      </c>
      <c r="H15" s="706"/>
      <c r="I15" s="705"/>
      <c r="J15" s="704">
        <f>SUM(J9:J14)</f>
        <v>383134.47</v>
      </c>
      <c r="K15" s="706"/>
      <c r="L15" s="705"/>
      <c r="M15" s="724">
        <f t="shared" si="0"/>
        <v>171319.20000000019</v>
      </c>
      <c r="N15" s="724"/>
    </row>
    <row r="18" spans="1:12" ht="15.75" thickBot="1" x14ac:dyDescent="0.3"/>
    <row r="19" spans="1:12" ht="23.25" customHeight="1" x14ac:dyDescent="0.25">
      <c r="A19" s="736" t="s">
        <v>35</v>
      </c>
      <c r="B19" s="737"/>
      <c r="C19" s="738"/>
      <c r="D19" s="74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4647161.91</v>
      </c>
      <c r="E19" s="743"/>
      <c r="F19" s="743"/>
      <c r="G19" s="744"/>
      <c r="I19" s="15"/>
      <c r="J19" s="15"/>
      <c r="K19" s="15"/>
      <c r="L19" s="15"/>
    </row>
    <row r="20" spans="1:12" ht="24" customHeight="1" thickBot="1" x14ac:dyDescent="0.3">
      <c r="A20" s="739"/>
      <c r="B20" s="740"/>
      <c r="C20" s="741"/>
      <c r="D20" s="745"/>
      <c r="E20" s="746"/>
      <c r="F20" s="746"/>
      <c r="G20" s="747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36"/>
  <sheetViews>
    <sheetView showGridLines="0" topLeftCell="G1" zoomScale="50" zoomScaleNormal="50" workbookViewId="0">
      <pane ySplit="8" topLeftCell="A27" activePane="bottomLeft" state="frozen"/>
      <selection activeCell="I1" sqref="I1"/>
      <selection pane="bottomLeft" activeCell="Q35" sqref="Q35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570312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425781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5703125" style="2" customWidth="1"/>
    <col min="21" max="21" width="24.5703125" style="11" customWidth="1"/>
    <col min="22" max="22" width="25.5703125" style="26" customWidth="1"/>
    <col min="23" max="23" width="17.570312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562291.28</v>
      </c>
      <c r="K2" s="751"/>
      <c r="L2" s="751"/>
      <c r="M2" s="751"/>
      <c r="N2" s="752" t="s">
        <v>137</v>
      </c>
      <c r="O2" s="754"/>
      <c r="P2" s="66">
        <f>SUM(P9:P9999)</f>
        <v>474040.51999999996</v>
      </c>
      <c r="R2" s="65"/>
      <c r="S2" s="752" t="s">
        <v>45</v>
      </c>
      <c r="T2" s="753"/>
      <c r="U2" s="754"/>
      <c r="V2" s="67">
        <f>SUM(V9:V9999)</f>
        <v>0</v>
      </c>
    </row>
    <row r="3" spans="1:24" x14ac:dyDescent="0.25">
      <c r="A3" s="751"/>
      <c r="B3" s="751"/>
      <c r="C3" s="751"/>
      <c r="D3" s="751"/>
      <c r="E3" s="751"/>
      <c r="N3" s="65"/>
    </row>
    <row r="4" spans="1:24" ht="39.950000000000003" customHeight="1" x14ac:dyDescent="0.25">
      <c r="J4" s="755"/>
      <c r="K4" s="755"/>
      <c r="M4" s="755"/>
      <c r="N4" s="755"/>
      <c r="O4" s="755"/>
      <c r="P4" s="755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80" customFormat="1" ht="75" x14ac:dyDescent="0.25">
      <c r="A9" s="167">
        <v>1</v>
      </c>
      <c r="B9" s="174" t="s">
        <v>56</v>
      </c>
      <c r="C9" s="169" t="s">
        <v>147</v>
      </c>
      <c r="D9" s="169" t="s">
        <v>153</v>
      </c>
      <c r="E9" s="169">
        <v>10113</v>
      </c>
      <c r="F9" s="311">
        <v>45702</v>
      </c>
      <c r="G9" s="169" t="s">
        <v>230</v>
      </c>
      <c r="H9" s="172">
        <v>7000</v>
      </c>
      <c r="I9" s="168">
        <f>IF(X9 = 124, H9 + SUM(S9:S9) - SUM(T9:T9) - SUM(P9:P9) - V9,0)</f>
        <v>0</v>
      </c>
      <c r="J9" s="169" t="s">
        <v>231</v>
      </c>
      <c r="K9" s="169" t="s">
        <v>232</v>
      </c>
      <c r="L9" s="169" t="s">
        <v>147</v>
      </c>
      <c r="M9" s="169" t="s">
        <v>233</v>
      </c>
      <c r="N9" s="173">
        <v>45702</v>
      </c>
      <c r="O9" s="173" t="s">
        <v>234</v>
      </c>
      <c r="P9" s="190">
        <v>7000</v>
      </c>
      <c r="Q9" s="170">
        <v>45706</v>
      </c>
      <c r="R9" s="169"/>
      <c r="S9" s="172"/>
      <c r="T9" s="172"/>
      <c r="U9" s="172"/>
      <c r="V9" s="171"/>
      <c r="W9" s="166"/>
      <c r="X9" s="80">
        <v>124</v>
      </c>
    </row>
    <row r="10" spans="1:24" s="80" customFormat="1" ht="93.75" x14ac:dyDescent="0.25">
      <c r="A10" s="191">
        <v>2</v>
      </c>
      <c r="B10" s="174" t="s">
        <v>56</v>
      </c>
      <c r="C10" s="193" t="s">
        <v>147</v>
      </c>
      <c r="D10" s="169" t="s">
        <v>153</v>
      </c>
      <c r="E10" s="193" t="s">
        <v>244</v>
      </c>
      <c r="F10" s="312">
        <v>45692</v>
      </c>
      <c r="G10" s="193" t="s">
        <v>245</v>
      </c>
      <c r="H10" s="192">
        <v>2400</v>
      </c>
      <c r="I10" s="196">
        <f>IF(X10 = 125, H10 + SUM(S10:S10) - SUM(T10:T10) - SUM(P10:P10) - V10,0)</f>
        <v>0</v>
      </c>
      <c r="J10" s="193" t="s">
        <v>246</v>
      </c>
      <c r="K10" s="193" t="s">
        <v>247</v>
      </c>
      <c r="L10" s="193" t="s">
        <v>147</v>
      </c>
      <c r="M10" s="193" t="s">
        <v>248</v>
      </c>
      <c r="N10" s="207">
        <v>45692</v>
      </c>
      <c r="O10" s="173" t="s">
        <v>249</v>
      </c>
      <c r="P10" s="208">
        <v>2400</v>
      </c>
      <c r="Q10" s="195">
        <v>45700</v>
      </c>
      <c r="R10" s="193"/>
      <c r="S10" s="192"/>
      <c r="T10" s="192"/>
      <c r="U10" s="192"/>
      <c r="V10" s="206"/>
      <c r="W10" s="194"/>
      <c r="X10" s="80">
        <v>125</v>
      </c>
    </row>
    <row r="11" spans="1:24" s="80" customFormat="1" ht="56.25" x14ac:dyDescent="0.25">
      <c r="A11" s="197">
        <v>3</v>
      </c>
      <c r="B11" s="174" t="s">
        <v>56</v>
      </c>
      <c r="C11" s="199" t="s">
        <v>147</v>
      </c>
      <c r="D11" s="169" t="s">
        <v>153</v>
      </c>
      <c r="E11" s="199" t="s">
        <v>116</v>
      </c>
      <c r="F11" s="312">
        <v>45709</v>
      </c>
      <c r="G11" s="199" t="s">
        <v>250</v>
      </c>
      <c r="H11" s="198">
        <v>15490</v>
      </c>
      <c r="I11" s="203">
        <f>IF(X11 = 126, H11 + SUM(S11:S11) - SUM(T11:T11) - SUM(P11:P11) - V11,0)</f>
        <v>0</v>
      </c>
      <c r="J11" s="199" t="s">
        <v>251</v>
      </c>
      <c r="K11" s="199" t="s">
        <v>252</v>
      </c>
      <c r="L11" s="199" t="s">
        <v>147</v>
      </c>
      <c r="M11" s="199" t="s">
        <v>254</v>
      </c>
      <c r="N11" s="209">
        <v>45709</v>
      </c>
      <c r="O11" s="209" t="s">
        <v>275</v>
      </c>
      <c r="P11" s="208">
        <v>15490</v>
      </c>
      <c r="Q11" s="202">
        <v>45714</v>
      </c>
      <c r="R11" s="199"/>
      <c r="S11" s="198"/>
      <c r="T11" s="198"/>
      <c r="U11" s="198"/>
      <c r="V11" s="206"/>
      <c r="W11" s="201"/>
      <c r="X11" s="80">
        <v>126</v>
      </c>
    </row>
    <row r="12" spans="1:24" s="80" customFormat="1" ht="75" x14ac:dyDescent="0.25">
      <c r="A12" s="218">
        <v>4</v>
      </c>
      <c r="B12" s="174" t="s">
        <v>56</v>
      </c>
      <c r="C12" s="219" t="s">
        <v>147</v>
      </c>
      <c r="D12" s="169" t="s">
        <v>153</v>
      </c>
      <c r="E12" s="219" t="s">
        <v>270</v>
      </c>
      <c r="F12" s="313">
        <v>45748</v>
      </c>
      <c r="G12" s="219" t="s">
        <v>271</v>
      </c>
      <c r="H12" s="220">
        <v>4000</v>
      </c>
      <c r="I12" s="221">
        <f>IF(X12 = 127, H12 + SUM(S12:S12) - SUM(T12:T12) - SUM(P12:P12) - V12,0)</f>
        <v>0</v>
      </c>
      <c r="J12" s="219" t="s">
        <v>272</v>
      </c>
      <c r="K12" s="219" t="s">
        <v>273</v>
      </c>
      <c r="L12" s="219" t="s">
        <v>147</v>
      </c>
      <c r="M12" s="219" t="s">
        <v>274</v>
      </c>
      <c r="N12" s="224">
        <v>45748</v>
      </c>
      <c r="O12" s="216" t="s">
        <v>253</v>
      </c>
      <c r="P12" s="303">
        <v>4000</v>
      </c>
      <c r="Q12" s="222">
        <v>45749</v>
      </c>
      <c r="R12" s="219"/>
      <c r="S12" s="220"/>
      <c r="T12" s="220"/>
      <c r="U12" s="220"/>
      <c r="V12" s="223"/>
      <c r="W12" s="217"/>
      <c r="X12" s="80">
        <v>127</v>
      </c>
    </row>
    <row r="13" spans="1:24" s="80" customFormat="1" ht="75" x14ac:dyDescent="0.25">
      <c r="A13" s="286">
        <v>5</v>
      </c>
      <c r="B13" s="174" t="s">
        <v>56</v>
      </c>
      <c r="C13" s="287" t="s">
        <v>147</v>
      </c>
      <c r="D13" s="169" t="s">
        <v>153</v>
      </c>
      <c r="E13" s="287" t="s">
        <v>129</v>
      </c>
      <c r="F13" s="314">
        <v>45755</v>
      </c>
      <c r="G13" s="287" t="s">
        <v>287</v>
      </c>
      <c r="H13" s="289">
        <v>1104</v>
      </c>
      <c r="I13" s="290">
        <f>IF(X13 = 128, H13 + SUM(S13:S13) - SUM(T13:T13) - SUM(P13:P13) - V13,0)</f>
        <v>0</v>
      </c>
      <c r="J13" s="287" t="s">
        <v>288</v>
      </c>
      <c r="K13" s="287" t="s">
        <v>289</v>
      </c>
      <c r="L13" s="287" t="s">
        <v>147</v>
      </c>
      <c r="M13" s="287" t="s">
        <v>290</v>
      </c>
      <c r="N13" s="293">
        <v>45770</v>
      </c>
      <c r="O13" s="216" t="s">
        <v>291</v>
      </c>
      <c r="P13" s="306">
        <v>1104</v>
      </c>
      <c r="Q13" s="288">
        <v>45772</v>
      </c>
      <c r="R13" s="287"/>
      <c r="S13" s="289"/>
      <c r="T13" s="289"/>
      <c r="U13" s="289"/>
      <c r="V13" s="292"/>
      <c r="W13" s="291"/>
      <c r="X13" s="80">
        <v>128</v>
      </c>
    </row>
    <row r="14" spans="1:24" s="80" customFormat="1" ht="56.25" x14ac:dyDescent="0.25">
      <c r="A14" s="315">
        <v>6</v>
      </c>
      <c r="B14" s="174" t="s">
        <v>56</v>
      </c>
      <c r="C14" s="310" t="s">
        <v>147</v>
      </c>
      <c r="D14" s="169" t="s">
        <v>153</v>
      </c>
      <c r="E14" s="310" t="s">
        <v>298</v>
      </c>
      <c r="F14" s="321">
        <v>45754</v>
      </c>
      <c r="G14" s="310" t="s">
        <v>299</v>
      </c>
      <c r="H14" s="316">
        <v>5460</v>
      </c>
      <c r="I14" s="317">
        <f>IF(X14 = 129, H14 + SUM(S14:S14) - SUM(T14:T14) - SUM(P14:P14) - V14,0)</f>
        <v>0</v>
      </c>
      <c r="J14" s="310" t="s">
        <v>300</v>
      </c>
      <c r="K14" s="310" t="s">
        <v>167</v>
      </c>
      <c r="L14" s="310" t="s">
        <v>147</v>
      </c>
      <c r="M14" s="309" t="s">
        <v>301</v>
      </c>
      <c r="N14" s="321">
        <v>45756</v>
      </c>
      <c r="O14" s="216" t="s">
        <v>275</v>
      </c>
      <c r="P14" s="333">
        <v>5460</v>
      </c>
      <c r="Q14" s="318">
        <v>45756</v>
      </c>
      <c r="R14" s="310"/>
      <c r="S14" s="316"/>
      <c r="T14" s="316"/>
      <c r="U14" s="316"/>
      <c r="V14" s="319"/>
      <c r="W14" s="320"/>
      <c r="X14" s="80">
        <v>129</v>
      </c>
    </row>
    <row r="15" spans="1:24" s="80" customFormat="1" ht="75" x14ac:dyDescent="0.25">
      <c r="A15" s="315">
        <v>7</v>
      </c>
      <c r="B15" s="174" t="s">
        <v>56</v>
      </c>
      <c r="C15" s="323" t="s">
        <v>147</v>
      </c>
      <c r="D15" s="169" t="s">
        <v>153</v>
      </c>
      <c r="E15" s="323" t="s">
        <v>302</v>
      </c>
      <c r="F15" s="332">
        <v>45762</v>
      </c>
      <c r="G15" s="323" t="s">
        <v>373</v>
      </c>
      <c r="H15" s="316">
        <v>3200</v>
      </c>
      <c r="I15" s="317">
        <f>IF(X15 = 131, H15 + SUM(S15:S15) - SUM(T15:T15) - SUM(P15:P15) - V15,0)</f>
        <v>0</v>
      </c>
      <c r="J15" s="323" t="s">
        <v>303</v>
      </c>
      <c r="K15" s="323" t="s">
        <v>304</v>
      </c>
      <c r="L15" s="323" t="s">
        <v>147</v>
      </c>
      <c r="M15" s="322" t="s">
        <v>305</v>
      </c>
      <c r="N15" s="332">
        <v>45762</v>
      </c>
      <c r="O15" s="216" t="s">
        <v>306</v>
      </c>
      <c r="P15" s="333">
        <v>3200</v>
      </c>
      <c r="Q15" s="318">
        <v>45763</v>
      </c>
      <c r="R15" s="323"/>
      <c r="S15" s="316"/>
      <c r="T15" s="316"/>
      <c r="U15" s="316"/>
      <c r="V15" s="319"/>
      <c r="W15" s="320"/>
      <c r="X15" s="80">
        <v>131</v>
      </c>
    </row>
    <row r="16" spans="1:24" s="80" customFormat="1" ht="93.75" x14ac:dyDescent="0.25">
      <c r="A16" s="315">
        <v>8</v>
      </c>
      <c r="B16" s="174" t="s">
        <v>56</v>
      </c>
      <c r="C16" s="331" t="s">
        <v>147</v>
      </c>
      <c r="D16" s="169" t="s">
        <v>153</v>
      </c>
      <c r="E16" s="331" t="s">
        <v>307</v>
      </c>
      <c r="F16" s="335">
        <v>45783</v>
      </c>
      <c r="G16" s="331" t="s">
        <v>314</v>
      </c>
      <c r="H16" s="316">
        <v>8000</v>
      </c>
      <c r="I16" s="317">
        <f>IF(X16 = 132, H16 + SUM(S16:S16) - SUM(T16:T16) - SUM(P16:P16) - V16,0)</f>
        <v>0</v>
      </c>
      <c r="J16" s="331" t="s">
        <v>309</v>
      </c>
      <c r="K16" s="331" t="s">
        <v>308</v>
      </c>
      <c r="L16" s="331" t="s">
        <v>147</v>
      </c>
      <c r="M16" s="331" t="s">
        <v>310</v>
      </c>
      <c r="N16" s="335">
        <v>45783</v>
      </c>
      <c r="O16" s="216" t="s">
        <v>311</v>
      </c>
      <c r="P16" s="333">
        <v>8000</v>
      </c>
      <c r="Q16" s="318">
        <v>45789</v>
      </c>
      <c r="R16" s="331"/>
      <c r="S16" s="316"/>
      <c r="T16" s="316"/>
      <c r="U16" s="316"/>
      <c r="V16" s="319"/>
      <c r="W16" s="320"/>
      <c r="X16" s="80">
        <v>132</v>
      </c>
    </row>
    <row r="17" spans="1:24" s="80" customFormat="1" ht="93.75" x14ac:dyDescent="0.25">
      <c r="A17" s="390">
        <v>9</v>
      </c>
      <c r="B17" s="174" t="s">
        <v>56</v>
      </c>
      <c r="C17" s="334" t="s">
        <v>147</v>
      </c>
      <c r="D17" s="169" t="s">
        <v>153</v>
      </c>
      <c r="E17" s="391" t="s">
        <v>312</v>
      </c>
      <c r="F17" s="404">
        <v>45789</v>
      </c>
      <c r="G17" s="391" t="s">
        <v>315</v>
      </c>
      <c r="H17" s="393">
        <v>8000</v>
      </c>
      <c r="I17" s="394">
        <f>IF(X17 = 134, H17 + SUM(S17:S17) - SUM(T17:T17) - SUM(P17:P17) - V17,0)</f>
        <v>0</v>
      </c>
      <c r="J17" s="391" t="s">
        <v>313</v>
      </c>
      <c r="K17" s="391" t="s">
        <v>190</v>
      </c>
      <c r="L17" s="334" t="s">
        <v>147</v>
      </c>
      <c r="M17" s="391" t="s">
        <v>316</v>
      </c>
      <c r="N17" s="404">
        <v>45800</v>
      </c>
      <c r="O17" s="404" t="s">
        <v>311</v>
      </c>
      <c r="P17" s="402">
        <v>8000</v>
      </c>
      <c r="Q17" s="392">
        <v>45814</v>
      </c>
      <c r="R17" s="391"/>
      <c r="S17" s="393"/>
      <c r="T17" s="393"/>
      <c r="U17" s="393"/>
      <c r="V17" s="403"/>
      <c r="W17" s="395"/>
      <c r="X17" s="80">
        <v>134</v>
      </c>
    </row>
    <row r="18" spans="1:24" s="80" customFormat="1" ht="93.75" x14ac:dyDescent="0.25">
      <c r="A18" s="390">
        <v>10</v>
      </c>
      <c r="B18" s="174" t="s">
        <v>56</v>
      </c>
      <c r="C18" s="334" t="s">
        <v>147</v>
      </c>
      <c r="D18" s="169" t="s">
        <v>153</v>
      </c>
      <c r="E18" s="391" t="s">
        <v>320</v>
      </c>
      <c r="F18" s="404">
        <v>45789</v>
      </c>
      <c r="G18" s="391" t="s">
        <v>323</v>
      </c>
      <c r="H18" s="393">
        <v>8000</v>
      </c>
      <c r="I18" s="394">
        <f>IF(X18 = 135, H18 + SUM(S18:S18) - SUM(T18:T18) - SUM(P18:P18) - V18,0)</f>
        <v>0</v>
      </c>
      <c r="J18" s="391" t="s">
        <v>322</v>
      </c>
      <c r="K18" s="391" t="s">
        <v>321</v>
      </c>
      <c r="L18" s="391" t="s">
        <v>147</v>
      </c>
      <c r="M18" s="391" t="s">
        <v>324</v>
      </c>
      <c r="N18" s="404">
        <v>45800</v>
      </c>
      <c r="O18" s="404" t="s">
        <v>311</v>
      </c>
      <c r="P18" s="402">
        <v>8000</v>
      </c>
      <c r="Q18" s="392">
        <v>45800</v>
      </c>
      <c r="R18" s="391"/>
      <c r="S18" s="393"/>
      <c r="T18" s="393"/>
      <c r="U18" s="393"/>
      <c r="V18" s="403"/>
      <c r="W18" s="395"/>
      <c r="X18" s="80">
        <v>135</v>
      </c>
    </row>
    <row r="19" spans="1:24" s="80" customFormat="1" ht="93.75" x14ac:dyDescent="0.25">
      <c r="A19" s="396">
        <v>11</v>
      </c>
      <c r="B19" s="174" t="s">
        <v>56</v>
      </c>
      <c r="C19" s="334" t="s">
        <v>147</v>
      </c>
      <c r="D19" s="169" t="s">
        <v>153</v>
      </c>
      <c r="E19" s="398" t="s">
        <v>129</v>
      </c>
      <c r="F19" s="411">
        <v>45790</v>
      </c>
      <c r="G19" s="398" t="s">
        <v>325</v>
      </c>
      <c r="H19" s="397">
        <v>12000</v>
      </c>
      <c r="I19" s="401">
        <f>IF(X19 = 136, H19 + SUM(S19:S19) - SUM(T19:T19) - SUM(P19:P19) - V19,0)</f>
        <v>0</v>
      </c>
      <c r="J19" s="398" t="s">
        <v>326</v>
      </c>
      <c r="K19" s="398" t="s">
        <v>327</v>
      </c>
      <c r="L19" s="398" t="s">
        <v>147</v>
      </c>
      <c r="M19" s="398" t="s">
        <v>328</v>
      </c>
      <c r="N19" s="411">
        <v>45793</v>
      </c>
      <c r="O19" s="404" t="s">
        <v>311</v>
      </c>
      <c r="P19" s="402">
        <v>12000</v>
      </c>
      <c r="Q19" s="400">
        <v>45798</v>
      </c>
      <c r="R19" s="398"/>
      <c r="S19" s="397"/>
      <c r="T19" s="397"/>
      <c r="U19" s="397"/>
      <c r="V19" s="403"/>
      <c r="W19" s="399"/>
      <c r="X19" s="80">
        <v>136</v>
      </c>
    </row>
    <row r="20" spans="1:24" s="80" customFormat="1" ht="93.75" x14ac:dyDescent="0.25">
      <c r="A20" s="405">
        <v>12</v>
      </c>
      <c r="B20" s="174" t="s">
        <v>56</v>
      </c>
      <c r="C20" s="334" t="s">
        <v>147</v>
      </c>
      <c r="D20" s="169" t="s">
        <v>153</v>
      </c>
      <c r="E20" s="407" t="s">
        <v>329</v>
      </c>
      <c r="F20" s="412">
        <v>45803</v>
      </c>
      <c r="G20" s="407" t="s">
        <v>330</v>
      </c>
      <c r="H20" s="406">
        <v>800</v>
      </c>
      <c r="I20" s="410">
        <f>IF(X20 = 137, H20 + SUM(S20:S20) - SUM(T20:T20) - SUM(P20:P20) - V20,0)</f>
        <v>0</v>
      </c>
      <c r="J20" s="407" t="s">
        <v>331</v>
      </c>
      <c r="K20" s="407" t="s">
        <v>332</v>
      </c>
      <c r="L20" s="407" t="s">
        <v>147</v>
      </c>
      <c r="M20" s="407" t="s">
        <v>333</v>
      </c>
      <c r="N20" s="412">
        <v>45810</v>
      </c>
      <c r="O20" s="411" t="s">
        <v>311</v>
      </c>
      <c r="P20" s="402">
        <v>800</v>
      </c>
      <c r="Q20" s="409">
        <v>45810</v>
      </c>
      <c r="R20" s="407"/>
      <c r="S20" s="406"/>
      <c r="T20" s="406"/>
      <c r="U20" s="406"/>
      <c r="V20" s="403"/>
      <c r="W20" s="408"/>
      <c r="X20" s="80">
        <v>137</v>
      </c>
    </row>
    <row r="21" spans="1:24" s="80" customFormat="1" ht="93.75" x14ac:dyDescent="0.25">
      <c r="A21" s="405">
        <v>13</v>
      </c>
      <c r="B21" s="174" t="s">
        <v>56</v>
      </c>
      <c r="C21" s="407" t="s">
        <v>147</v>
      </c>
      <c r="D21" s="169" t="s">
        <v>153</v>
      </c>
      <c r="E21" s="407" t="s">
        <v>341</v>
      </c>
      <c r="F21" s="412">
        <v>45839</v>
      </c>
      <c r="G21" s="407" t="s">
        <v>188</v>
      </c>
      <c r="H21" s="406">
        <v>88250.76</v>
      </c>
      <c r="I21" s="410">
        <f>IF(X21 = 138, H21 + SUM(S21:S21) - SUM(T21:T21) - SUM(P21:P21) - V21,0)</f>
        <v>88250.76</v>
      </c>
      <c r="J21" s="407" t="s">
        <v>342</v>
      </c>
      <c r="K21" s="407" t="s">
        <v>173</v>
      </c>
      <c r="L21" s="407" t="s">
        <v>147</v>
      </c>
      <c r="M21" s="407" t="s">
        <v>343</v>
      </c>
      <c r="N21" s="412"/>
      <c r="O21" s="427" t="s">
        <v>394</v>
      </c>
      <c r="P21" s="406"/>
      <c r="Q21" s="409"/>
      <c r="R21" s="407"/>
      <c r="S21" s="406"/>
      <c r="T21" s="406"/>
      <c r="U21" s="406"/>
      <c r="V21" s="403"/>
      <c r="W21" s="408"/>
      <c r="X21" s="80">
        <v>138</v>
      </c>
    </row>
    <row r="22" spans="1:24" s="80" customFormat="1" ht="93.75" x14ac:dyDescent="0.25">
      <c r="A22" s="434">
        <v>14</v>
      </c>
      <c r="B22" s="174" t="s">
        <v>56</v>
      </c>
      <c r="C22" s="429" t="s">
        <v>147</v>
      </c>
      <c r="D22" s="169" t="s">
        <v>153</v>
      </c>
      <c r="E22" s="429" t="s">
        <v>344</v>
      </c>
      <c r="F22" s="436">
        <v>45800</v>
      </c>
      <c r="G22" s="429" t="s">
        <v>345</v>
      </c>
      <c r="H22" s="431">
        <v>130080</v>
      </c>
      <c r="I22" s="432">
        <f>IF(X22 = 139, H22 + SUM(S22:S22) - SUM(T22:T22) - SUM(P22:P22) - V22,0)</f>
        <v>0</v>
      </c>
      <c r="J22" s="429" t="s">
        <v>157</v>
      </c>
      <c r="K22" s="429" t="s">
        <v>158</v>
      </c>
      <c r="L22" s="429" t="s">
        <v>147</v>
      </c>
      <c r="M22" s="429" t="s">
        <v>346</v>
      </c>
      <c r="N22" s="436">
        <v>45824</v>
      </c>
      <c r="O22" s="428" t="s">
        <v>311</v>
      </c>
      <c r="P22" s="477">
        <v>130080</v>
      </c>
      <c r="Q22" s="430">
        <v>45834</v>
      </c>
      <c r="R22" s="429"/>
      <c r="S22" s="431"/>
      <c r="T22" s="431"/>
      <c r="U22" s="431"/>
      <c r="V22" s="435"/>
      <c r="W22" s="433"/>
      <c r="X22" s="80">
        <v>139</v>
      </c>
    </row>
    <row r="23" spans="1:24" s="80" customFormat="1" ht="93.75" x14ac:dyDescent="0.25">
      <c r="A23" s="498">
        <v>15</v>
      </c>
      <c r="B23" s="174" t="s">
        <v>56</v>
      </c>
      <c r="C23" s="488" t="s">
        <v>147</v>
      </c>
      <c r="D23" s="169" t="s">
        <v>153</v>
      </c>
      <c r="E23" s="489" t="s">
        <v>354</v>
      </c>
      <c r="F23" s="502">
        <v>45810</v>
      </c>
      <c r="G23" s="489" t="s">
        <v>355</v>
      </c>
      <c r="H23" s="490">
        <v>2454</v>
      </c>
      <c r="I23" s="491">
        <f>IF(X23 = 140, H23 + SUM(S23:S23) - SUM(T23:T23) - SUM(P23:P23) - V23,0)</f>
        <v>0</v>
      </c>
      <c r="J23" s="489" t="s">
        <v>356</v>
      </c>
      <c r="K23" s="489" t="s">
        <v>357</v>
      </c>
      <c r="L23" s="489" t="s">
        <v>147</v>
      </c>
      <c r="M23" s="489" t="s">
        <v>358</v>
      </c>
      <c r="N23" s="502">
        <v>45818</v>
      </c>
      <c r="O23" s="487" t="s">
        <v>359</v>
      </c>
      <c r="P23" s="499">
        <v>2454</v>
      </c>
      <c r="Q23" s="500">
        <v>45818</v>
      </c>
      <c r="R23" s="489"/>
      <c r="S23" s="490"/>
      <c r="T23" s="490"/>
      <c r="U23" s="490"/>
      <c r="V23" s="501"/>
      <c r="W23" s="492"/>
      <c r="X23" s="80">
        <v>140</v>
      </c>
    </row>
    <row r="24" spans="1:24" s="80" customFormat="1" ht="93.75" x14ac:dyDescent="0.25">
      <c r="A24" s="498">
        <v>16</v>
      </c>
      <c r="B24" s="174" t="s">
        <v>56</v>
      </c>
      <c r="C24" s="493" t="s">
        <v>147</v>
      </c>
      <c r="D24" s="169" t="s">
        <v>153</v>
      </c>
      <c r="E24" s="495" t="s">
        <v>360</v>
      </c>
      <c r="F24" s="508">
        <v>45792</v>
      </c>
      <c r="G24" s="495" t="s">
        <v>361</v>
      </c>
      <c r="H24" s="496">
        <v>18720</v>
      </c>
      <c r="I24" s="497">
        <f>IF(X24 = 141, H24 + SUM(S24:S24) - SUM(T24:T24) - SUM(P24:P24) - V24,0)</f>
        <v>0</v>
      </c>
      <c r="J24" s="495" t="s">
        <v>356</v>
      </c>
      <c r="K24" s="495" t="s">
        <v>357</v>
      </c>
      <c r="L24" s="495" t="s">
        <v>147</v>
      </c>
      <c r="M24" s="495" t="s">
        <v>415</v>
      </c>
      <c r="N24" s="508">
        <v>368</v>
      </c>
      <c r="O24" s="508" t="s">
        <v>311</v>
      </c>
      <c r="P24" s="496">
        <v>18720</v>
      </c>
      <c r="Q24" s="500"/>
      <c r="R24" s="495"/>
      <c r="S24" s="496"/>
      <c r="T24" s="496"/>
      <c r="U24" s="496"/>
      <c r="V24" s="501"/>
      <c r="W24" s="494"/>
      <c r="X24" s="80">
        <v>141</v>
      </c>
    </row>
    <row r="25" spans="1:24" s="80" customFormat="1" ht="93.75" x14ac:dyDescent="0.25">
      <c r="A25" s="498">
        <v>17</v>
      </c>
      <c r="B25" s="174" t="s">
        <v>56</v>
      </c>
      <c r="C25" s="503" t="s">
        <v>147</v>
      </c>
      <c r="D25" s="169" t="s">
        <v>153</v>
      </c>
      <c r="E25" s="504" t="s">
        <v>362</v>
      </c>
      <c r="F25" s="509">
        <v>45824</v>
      </c>
      <c r="G25" s="504" t="s">
        <v>361</v>
      </c>
      <c r="H25" s="505">
        <v>73590</v>
      </c>
      <c r="I25" s="507">
        <f>IF(X25 = 142, H25 + SUM(S25:S25) - SUM(T25:T25) - SUM(P25:P25) - V25,0)</f>
        <v>0</v>
      </c>
      <c r="J25" s="504" t="s">
        <v>356</v>
      </c>
      <c r="K25" s="504" t="s">
        <v>357</v>
      </c>
      <c r="L25" s="504" t="s">
        <v>147</v>
      </c>
      <c r="M25" s="504" t="s">
        <v>364</v>
      </c>
      <c r="N25" s="509">
        <v>45861</v>
      </c>
      <c r="O25" s="509" t="s">
        <v>359</v>
      </c>
      <c r="P25" s="499">
        <v>73590</v>
      </c>
      <c r="Q25" s="500">
        <v>45867</v>
      </c>
      <c r="R25" s="504"/>
      <c r="S25" s="505"/>
      <c r="T25" s="505"/>
      <c r="U25" s="505"/>
      <c r="V25" s="501"/>
      <c r="W25" s="506"/>
      <c r="X25" s="80">
        <v>142</v>
      </c>
    </row>
    <row r="26" spans="1:24" s="80" customFormat="1" ht="93.75" x14ac:dyDescent="0.25">
      <c r="A26" s="498">
        <v>18</v>
      </c>
      <c r="B26" s="174" t="s">
        <v>56</v>
      </c>
      <c r="C26" s="503" t="s">
        <v>147</v>
      </c>
      <c r="D26" s="169" t="s">
        <v>153</v>
      </c>
      <c r="E26" s="504" t="s">
        <v>363</v>
      </c>
      <c r="F26" s="509">
        <v>45824</v>
      </c>
      <c r="G26" s="504" t="s">
        <v>361</v>
      </c>
      <c r="H26" s="505">
        <v>7342</v>
      </c>
      <c r="I26" s="507">
        <f>IF(X26 = 143, H26 + SUM(S26:S26) - SUM(T26:T26) - SUM(P26:P26) - V26,0)</f>
        <v>0</v>
      </c>
      <c r="J26" s="504" t="s">
        <v>356</v>
      </c>
      <c r="K26" s="504" t="s">
        <v>357</v>
      </c>
      <c r="L26" s="504" t="s">
        <v>147</v>
      </c>
      <c r="M26" s="504" t="s">
        <v>364</v>
      </c>
      <c r="N26" s="509">
        <v>45861</v>
      </c>
      <c r="O26" s="509" t="s">
        <v>359</v>
      </c>
      <c r="P26" s="499">
        <v>7342</v>
      </c>
      <c r="Q26" s="500">
        <v>45867</v>
      </c>
      <c r="R26" s="504"/>
      <c r="S26" s="505"/>
      <c r="T26" s="505"/>
      <c r="U26" s="505"/>
      <c r="V26" s="501"/>
      <c r="W26" s="506"/>
      <c r="X26" s="80">
        <v>143</v>
      </c>
    </row>
    <row r="27" spans="1:24" s="80" customFormat="1" ht="93.75" x14ac:dyDescent="0.25">
      <c r="A27" s="512">
        <v>19</v>
      </c>
      <c r="B27" s="174" t="s">
        <v>56</v>
      </c>
      <c r="C27" s="510" t="s">
        <v>147</v>
      </c>
      <c r="D27" s="169" t="s">
        <v>153</v>
      </c>
      <c r="E27" s="513" t="s">
        <v>365</v>
      </c>
      <c r="F27" s="519">
        <v>45813</v>
      </c>
      <c r="G27" s="513" t="s">
        <v>366</v>
      </c>
      <c r="H27" s="515">
        <v>13600</v>
      </c>
      <c r="I27" s="516">
        <f>IF(X27 = 144, H27 + SUM(S27:S27) - SUM(T27:T27) - SUM(P27:P27) - V27,0)</f>
        <v>0</v>
      </c>
      <c r="J27" s="513" t="s">
        <v>367</v>
      </c>
      <c r="K27" s="513" t="s">
        <v>368</v>
      </c>
      <c r="L27" s="513" t="s">
        <v>147</v>
      </c>
      <c r="M27" s="513" t="s">
        <v>369</v>
      </c>
      <c r="N27" s="519">
        <v>45838</v>
      </c>
      <c r="O27" s="511" t="s">
        <v>370</v>
      </c>
      <c r="P27" s="558">
        <v>13600</v>
      </c>
      <c r="Q27" s="514">
        <v>45841</v>
      </c>
      <c r="R27" s="513"/>
      <c r="S27" s="515"/>
      <c r="T27" s="515"/>
      <c r="U27" s="515"/>
      <c r="V27" s="518"/>
      <c r="W27" s="517"/>
      <c r="X27" s="80">
        <v>144</v>
      </c>
    </row>
    <row r="28" spans="1:24" s="80" customFormat="1" ht="93.75" x14ac:dyDescent="0.25">
      <c r="A28" s="548">
        <v>20</v>
      </c>
      <c r="B28" s="174" t="s">
        <v>56</v>
      </c>
      <c r="C28" s="510" t="s">
        <v>147</v>
      </c>
      <c r="D28" s="169" t="s">
        <v>153</v>
      </c>
      <c r="E28" s="550" t="s">
        <v>375</v>
      </c>
      <c r="F28" s="563">
        <v>45839</v>
      </c>
      <c r="G28" s="550" t="s">
        <v>376</v>
      </c>
      <c r="H28" s="549">
        <v>21804</v>
      </c>
      <c r="I28" s="553">
        <f>IF(X28 = 145, H28 + SUM(S28:S28) - SUM(T28:T28) - SUM(P28:P28) - V28,0)</f>
        <v>0</v>
      </c>
      <c r="J28" s="550" t="s">
        <v>377</v>
      </c>
      <c r="K28" s="550" t="s">
        <v>378</v>
      </c>
      <c r="L28" s="550" t="s">
        <v>147</v>
      </c>
      <c r="M28" s="560" t="s">
        <v>384</v>
      </c>
      <c r="N28" s="563">
        <v>45845</v>
      </c>
      <c r="O28" s="554" t="s">
        <v>379</v>
      </c>
      <c r="P28" s="561">
        <v>21804</v>
      </c>
      <c r="Q28" s="552">
        <v>45846</v>
      </c>
      <c r="R28" s="550"/>
      <c r="S28" s="549"/>
      <c r="T28" s="549"/>
      <c r="U28" s="549"/>
      <c r="V28" s="562"/>
      <c r="W28" s="551"/>
      <c r="X28" s="80">
        <v>145</v>
      </c>
    </row>
    <row r="29" spans="1:24" s="80" customFormat="1" ht="93.75" x14ac:dyDescent="0.25">
      <c r="A29" s="548">
        <v>21</v>
      </c>
      <c r="B29" s="174" t="s">
        <v>56</v>
      </c>
      <c r="C29" s="510" t="s">
        <v>147</v>
      </c>
      <c r="D29" s="169" t="s">
        <v>153</v>
      </c>
      <c r="E29" s="550" t="s">
        <v>380</v>
      </c>
      <c r="F29" s="563">
        <v>45846</v>
      </c>
      <c r="G29" s="550" t="s">
        <v>381</v>
      </c>
      <c r="H29" s="549">
        <v>36249</v>
      </c>
      <c r="I29" s="553">
        <f>IF(X29 = 146, H29 + SUM(S29:S29) - SUM(T29:T29) - SUM(P29:P29) - V29,0)</f>
        <v>0</v>
      </c>
      <c r="J29" s="550" t="s">
        <v>382</v>
      </c>
      <c r="K29" s="550" t="s">
        <v>383</v>
      </c>
      <c r="L29" s="550" t="s">
        <v>147</v>
      </c>
      <c r="M29" s="550" t="s">
        <v>310</v>
      </c>
      <c r="N29" s="563">
        <v>45846</v>
      </c>
      <c r="O29" s="554" t="s">
        <v>379</v>
      </c>
      <c r="P29" s="561">
        <v>36249</v>
      </c>
      <c r="Q29" s="552">
        <v>45853</v>
      </c>
      <c r="R29" s="550"/>
      <c r="S29" s="549"/>
      <c r="T29" s="549"/>
      <c r="U29" s="549"/>
      <c r="V29" s="562"/>
      <c r="W29" s="551"/>
      <c r="X29" s="80">
        <v>146</v>
      </c>
    </row>
    <row r="30" spans="1:24" s="80" customFormat="1" ht="93.75" x14ac:dyDescent="0.25">
      <c r="A30" s="548">
        <v>22</v>
      </c>
      <c r="B30" s="174" t="s">
        <v>56</v>
      </c>
      <c r="C30" s="510" t="s">
        <v>147</v>
      </c>
      <c r="D30" s="169" t="s">
        <v>153</v>
      </c>
      <c r="E30" s="550" t="s">
        <v>385</v>
      </c>
      <c r="F30" s="563">
        <v>45852</v>
      </c>
      <c r="G30" s="550" t="s">
        <v>395</v>
      </c>
      <c r="H30" s="549">
        <v>8457.4699999999993</v>
      </c>
      <c r="I30" s="553">
        <f>IF(X30 = 147, H30 + SUM(S30:S30) - SUM(T30:T30) - SUM(P30:P30) - V30,0)</f>
        <v>0</v>
      </c>
      <c r="J30" s="550" t="s">
        <v>386</v>
      </c>
      <c r="K30" s="550" t="s">
        <v>387</v>
      </c>
      <c r="L30" s="550" t="s">
        <v>147</v>
      </c>
      <c r="M30" s="550" t="s">
        <v>388</v>
      </c>
      <c r="N30" s="563">
        <v>45852</v>
      </c>
      <c r="O30" s="554" t="s">
        <v>379</v>
      </c>
      <c r="P30" s="561">
        <v>8457.4699999999993</v>
      </c>
      <c r="Q30" s="552">
        <v>45859</v>
      </c>
      <c r="R30" s="550"/>
      <c r="S30" s="549"/>
      <c r="T30" s="549"/>
      <c r="U30" s="549"/>
      <c r="V30" s="562"/>
      <c r="W30" s="551"/>
      <c r="X30" s="80">
        <v>147</v>
      </c>
    </row>
    <row r="31" spans="1:24" s="80" customFormat="1" ht="93.75" x14ac:dyDescent="0.25">
      <c r="A31" s="594">
        <v>23</v>
      </c>
      <c r="B31" s="174" t="s">
        <v>56</v>
      </c>
      <c r="C31" s="510" t="s">
        <v>147</v>
      </c>
      <c r="D31" s="169" t="s">
        <v>153</v>
      </c>
      <c r="E31" s="585" t="s">
        <v>175</v>
      </c>
      <c r="F31" s="598">
        <v>45861</v>
      </c>
      <c r="G31" s="585" t="s">
        <v>390</v>
      </c>
      <c r="H31" s="586">
        <v>40301</v>
      </c>
      <c r="I31" s="587">
        <f>IF(X31 = 148, H31 + SUM(S31:S31) - SUM(T31:T31) - SUM(P31:P31) - V31,0)</f>
        <v>0</v>
      </c>
      <c r="J31" s="585" t="s">
        <v>391</v>
      </c>
      <c r="K31" s="585" t="s">
        <v>392</v>
      </c>
      <c r="L31" s="585" t="s">
        <v>147</v>
      </c>
      <c r="M31" s="585" t="s">
        <v>393</v>
      </c>
      <c r="N31" s="598">
        <v>45861</v>
      </c>
      <c r="O31" s="598" t="s">
        <v>394</v>
      </c>
      <c r="P31" s="595">
        <v>40301</v>
      </c>
      <c r="Q31" s="596">
        <v>45866</v>
      </c>
      <c r="R31" s="585"/>
      <c r="S31" s="586"/>
      <c r="T31" s="586"/>
      <c r="U31" s="586"/>
      <c r="V31" s="597"/>
      <c r="W31" s="590"/>
      <c r="X31" s="80">
        <v>148</v>
      </c>
    </row>
    <row r="32" spans="1:24" s="80" customFormat="1" ht="75" x14ac:dyDescent="0.25">
      <c r="A32" s="594">
        <v>24</v>
      </c>
      <c r="B32" s="174" t="s">
        <v>56</v>
      </c>
      <c r="C32" s="510" t="s">
        <v>147</v>
      </c>
      <c r="D32" s="169" t="s">
        <v>153</v>
      </c>
      <c r="E32" s="602" t="s">
        <v>396</v>
      </c>
      <c r="F32" s="610">
        <v>45859</v>
      </c>
      <c r="G32" s="602" t="s">
        <v>397</v>
      </c>
      <c r="H32" s="603">
        <v>1000</v>
      </c>
      <c r="I32" s="604">
        <f>IF(X32 = 149, H32 + SUM(S32:S32) - SUM(T32:T32) - SUM(P32:P32) - V32,0)</f>
        <v>0</v>
      </c>
      <c r="J32" s="602" t="s">
        <v>398</v>
      </c>
      <c r="K32" s="602" t="s">
        <v>399</v>
      </c>
      <c r="L32" s="602" t="s">
        <v>147</v>
      </c>
      <c r="M32" s="602" t="s">
        <v>400</v>
      </c>
      <c r="N32" s="610">
        <v>45859</v>
      </c>
      <c r="O32" s="605" t="s">
        <v>401</v>
      </c>
      <c r="P32" s="595">
        <v>1000</v>
      </c>
      <c r="Q32" s="596">
        <v>45867</v>
      </c>
      <c r="R32" s="602"/>
      <c r="S32" s="603"/>
      <c r="T32" s="603"/>
      <c r="U32" s="603"/>
      <c r="V32" s="597"/>
      <c r="W32" s="601"/>
      <c r="X32" s="80">
        <v>149</v>
      </c>
    </row>
    <row r="33" spans="1:24" s="80" customFormat="1" ht="75" x14ac:dyDescent="0.25">
      <c r="A33" s="594">
        <v>25</v>
      </c>
      <c r="B33" s="174" t="s">
        <v>56</v>
      </c>
      <c r="C33" s="510" t="s">
        <v>147</v>
      </c>
      <c r="D33" s="169" t="s">
        <v>153</v>
      </c>
      <c r="E33" s="606" t="s">
        <v>402</v>
      </c>
      <c r="F33" s="611">
        <v>45860</v>
      </c>
      <c r="G33" s="606" t="s">
        <v>271</v>
      </c>
      <c r="H33" s="607">
        <v>4950</v>
      </c>
      <c r="I33" s="609">
        <f>IF(X33 = 150, H33 + SUM(S33:S33) - SUM(T33:T33) - SUM(P33:P33) - V33,0)</f>
        <v>0</v>
      </c>
      <c r="J33" s="606" t="s">
        <v>403</v>
      </c>
      <c r="K33" s="606" t="s">
        <v>404</v>
      </c>
      <c r="L33" s="606" t="s">
        <v>147</v>
      </c>
      <c r="M33" s="606" t="s">
        <v>405</v>
      </c>
      <c r="N33" s="611">
        <v>45860</v>
      </c>
      <c r="O33" s="610" t="s">
        <v>401</v>
      </c>
      <c r="P33" s="595">
        <v>4950</v>
      </c>
      <c r="Q33" s="596">
        <v>45867</v>
      </c>
      <c r="R33" s="606"/>
      <c r="S33" s="607"/>
      <c r="T33" s="607"/>
      <c r="U33" s="607"/>
      <c r="V33" s="597"/>
      <c r="W33" s="608"/>
      <c r="X33" s="80">
        <v>150</v>
      </c>
    </row>
    <row r="34" spans="1:24" s="80" customFormat="1" ht="75" x14ac:dyDescent="0.25">
      <c r="A34" s="621">
        <v>26</v>
      </c>
      <c r="B34" s="174" t="s">
        <v>56</v>
      </c>
      <c r="C34" s="622" t="s">
        <v>147</v>
      </c>
      <c r="D34" s="169" t="s">
        <v>153</v>
      </c>
      <c r="E34" s="622" t="s">
        <v>406</v>
      </c>
      <c r="F34" s="634">
        <v>45873</v>
      </c>
      <c r="G34" s="622" t="s">
        <v>407</v>
      </c>
      <c r="H34" s="624">
        <v>7039.05</v>
      </c>
      <c r="I34" s="625">
        <f>IF(X34 = 151, H34 + SUM(S34:S34) - SUM(T34:T34) - SUM(P34:P34) - V34,0)</f>
        <v>0</v>
      </c>
      <c r="J34" s="622" t="s">
        <v>408</v>
      </c>
      <c r="K34" s="622" t="s">
        <v>409</v>
      </c>
      <c r="L34" s="622" t="s">
        <v>147</v>
      </c>
      <c r="M34" s="622" t="s">
        <v>410</v>
      </c>
      <c r="N34" s="634">
        <v>45873</v>
      </c>
      <c r="O34" s="612" t="s">
        <v>401</v>
      </c>
      <c r="P34" s="696">
        <v>7039.05</v>
      </c>
      <c r="Q34" s="623">
        <v>45880</v>
      </c>
      <c r="R34" s="622"/>
      <c r="S34" s="624"/>
      <c r="T34" s="624"/>
      <c r="U34" s="624"/>
      <c r="V34" s="633"/>
      <c r="W34" s="629"/>
      <c r="X34" s="80">
        <v>151</v>
      </c>
    </row>
    <row r="35" spans="1:24" s="80" customFormat="1" ht="187.5" x14ac:dyDescent="0.25">
      <c r="A35" s="640">
        <v>27</v>
      </c>
      <c r="B35" s="174" t="s">
        <v>56</v>
      </c>
      <c r="C35" s="639" t="s">
        <v>147</v>
      </c>
      <c r="D35" s="169" t="s">
        <v>153</v>
      </c>
      <c r="E35" s="639" t="s">
        <v>36</v>
      </c>
      <c r="F35" s="642">
        <v>45874</v>
      </c>
      <c r="G35" s="639" t="s">
        <v>413</v>
      </c>
      <c r="H35" s="635">
        <v>33000</v>
      </c>
      <c r="I35" s="638">
        <f>IF(X35 = 152, H35 + SUM(S35:S35) - SUM(T35:T35) - SUM(P35:P35) - V35,0)</f>
        <v>0</v>
      </c>
      <c r="J35" s="639" t="s">
        <v>412</v>
      </c>
      <c r="K35" s="639" t="s">
        <v>411</v>
      </c>
      <c r="L35" s="639" t="s">
        <v>147</v>
      </c>
      <c r="M35" s="639" t="s">
        <v>414</v>
      </c>
      <c r="N35" s="642">
        <v>45874</v>
      </c>
      <c r="O35" s="641" t="s">
        <v>401</v>
      </c>
      <c r="P35" s="696">
        <v>33000</v>
      </c>
      <c r="Q35" s="637">
        <v>45883</v>
      </c>
      <c r="R35" s="639"/>
      <c r="S35" s="635"/>
      <c r="T35" s="635"/>
      <c r="U35" s="635"/>
      <c r="V35" s="633"/>
      <c r="W35" s="636"/>
      <c r="X35" s="80">
        <v>152</v>
      </c>
    </row>
    <row r="36" spans="1:24" ht="31.5" customHeight="1" x14ac:dyDescent="0.25">
      <c r="A36" s="101"/>
      <c r="B36" s="174"/>
      <c r="C36" s="334"/>
      <c r="D36" s="169"/>
      <c r="E36" s="128"/>
      <c r="F36" s="106"/>
      <c r="G36" s="102"/>
      <c r="H36" s="107"/>
      <c r="I36" s="108">
        <f>IF(X36 = 72, H36 + SUM(S36:S36) - SUM(T36:T36) - SUM(P36:P36) - V36,0)</f>
        <v>0</v>
      </c>
      <c r="J36" s="102"/>
      <c r="K36" s="102"/>
      <c r="L36" s="102"/>
      <c r="M36" s="127"/>
      <c r="N36" s="106"/>
      <c r="O36" s="216"/>
      <c r="P36" s="107"/>
      <c r="Q36" s="103"/>
      <c r="R36" s="105"/>
      <c r="S36" s="107"/>
      <c r="T36" s="107"/>
      <c r="U36" s="107"/>
      <c r="V36" s="104"/>
      <c r="W36" s="105"/>
      <c r="X36" s="2">
        <v>153</v>
      </c>
    </row>
  </sheetData>
  <sheetProtection algorithmName="SHA-512" hashValue="UAtzc8h21BuwU9IcwM8uaqihRC1wdLdCW1yKz+3pAqFhZSGk+4khqFTCePG/eepZGI7r18ApoOrudVE8k2mnYg==" saltValue="vbnwDXvnomOyFvQO2snm3Q==" spinCount="100000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26"/>
  <sheetViews>
    <sheetView showGridLines="0" topLeftCell="G1" zoomScale="50" zoomScaleNormal="50" workbookViewId="0">
      <pane ySplit="8" topLeftCell="A120" activePane="bottomLeft" state="frozen"/>
      <selection pane="bottomLeft" activeCell="O78" sqref="O78:O84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42578125" style="3" customWidth="1"/>
    <col min="6" max="6" width="32.42578125" style="3" customWidth="1"/>
    <col min="7" max="7" width="40.42578125" style="11" customWidth="1"/>
    <col min="8" max="8" width="27.5703125" style="3" customWidth="1"/>
    <col min="9" max="9" width="33" style="3" customWidth="1"/>
    <col min="10" max="11" width="27.425781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42578125" style="3" customWidth="1"/>
    <col min="16" max="16" width="24.5703125" style="26" customWidth="1"/>
    <col min="17" max="17" width="24.42578125" style="11" customWidth="1"/>
    <col min="18" max="18" width="23.42578125" style="3" customWidth="1"/>
    <col min="19" max="19" width="25.5703125" style="3" customWidth="1"/>
    <col min="20" max="20" width="26" style="3" customWidth="1"/>
    <col min="21" max="21" width="23.570312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1060" t="s">
        <v>24</v>
      </c>
      <c r="G2" s="1061"/>
      <c r="H2" s="75">
        <f>SUM(H9:H9999)</f>
        <v>1752252.72</v>
      </c>
      <c r="I2" s="65"/>
      <c r="N2" s="752" t="s">
        <v>137</v>
      </c>
      <c r="O2" s="754"/>
      <c r="P2" s="66">
        <f>SUM(P9:P9999)</f>
        <v>1160299.77</v>
      </c>
      <c r="R2" s="65"/>
      <c r="S2" s="752" t="s">
        <v>45</v>
      </c>
      <c r="T2" s="753"/>
      <c r="U2" s="754"/>
      <c r="V2" s="67">
        <f>SUM(V9:V9999)</f>
        <v>327959.12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35000000000002" customHeight="1" x14ac:dyDescent="0.25">
      <c r="A9" s="1101">
        <v>1</v>
      </c>
      <c r="B9" s="1011" t="s">
        <v>56</v>
      </c>
      <c r="C9" s="1011" t="s">
        <v>147</v>
      </c>
      <c r="D9" s="1011" t="s">
        <v>155</v>
      </c>
      <c r="E9" s="1011" t="s">
        <v>195</v>
      </c>
      <c r="F9" s="1023">
        <v>45566</v>
      </c>
      <c r="G9" s="1026" t="s">
        <v>148</v>
      </c>
      <c r="H9" s="1029">
        <v>230728.3</v>
      </c>
      <c r="I9" s="1032">
        <f>IF(X9 = 1, H9 + SUM(S9:S16) - SUM(T9:T16) - SUM(P9:P16) - V9,0)</f>
        <v>99688.589999999982</v>
      </c>
      <c r="J9" s="1035">
        <v>2308070396</v>
      </c>
      <c r="K9" s="1038" t="s">
        <v>149</v>
      </c>
      <c r="L9" s="1011" t="s">
        <v>147</v>
      </c>
      <c r="M9" s="1011" t="s">
        <v>194</v>
      </c>
      <c r="N9" s="348">
        <v>45666</v>
      </c>
      <c r="O9" s="1104" t="s">
        <v>154</v>
      </c>
      <c r="P9" s="336">
        <v>23514.78</v>
      </c>
      <c r="Q9" s="337">
        <v>45685</v>
      </c>
      <c r="R9" s="338"/>
      <c r="S9" s="339"/>
      <c r="T9" s="340"/>
      <c r="U9" s="1029"/>
      <c r="V9" s="1008"/>
      <c r="W9" s="1020"/>
      <c r="X9" s="80">
        <v>1</v>
      </c>
    </row>
    <row r="10" spans="1:24" s="110" customFormat="1" x14ac:dyDescent="0.25">
      <c r="A10" s="1102"/>
      <c r="B10" s="1012"/>
      <c r="C10" s="1012"/>
      <c r="D10" s="1012"/>
      <c r="E10" s="1012"/>
      <c r="F10" s="1024"/>
      <c r="G10" s="1027"/>
      <c r="H10" s="1030"/>
      <c r="I10" s="1033"/>
      <c r="J10" s="1036"/>
      <c r="K10" s="1039"/>
      <c r="L10" s="1012"/>
      <c r="M10" s="1012"/>
      <c r="N10" s="349">
        <v>45688</v>
      </c>
      <c r="O10" s="1105"/>
      <c r="P10" s="341">
        <v>16627.64</v>
      </c>
      <c r="Q10" s="342">
        <v>45700</v>
      </c>
      <c r="R10" s="343"/>
      <c r="S10" s="344"/>
      <c r="T10" s="344"/>
      <c r="U10" s="1030"/>
      <c r="V10" s="1009"/>
      <c r="W10" s="1021"/>
      <c r="X10" s="110">
        <v>1</v>
      </c>
    </row>
    <row r="11" spans="1:24" s="110" customFormat="1" x14ac:dyDescent="0.25">
      <c r="A11" s="1102"/>
      <c r="B11" s="1012"/>
      <c r="C11" s="1012"/>
      <c r="D11" s="1012"/>
      <c r="E11" s="1012"/>
      <c r="F11" s="1024"/>
      <c r="G11" s="1027"/>
      <c r="H11" s="1030"/>
      <c r="I11" s="1033"/>
      <c r="J11" s="1036"/>
      <c r="K11" s="1039"/>
      <c r="L11" s="1012"/>
      <c r="M11" s="1012"/>
      <c r="N11" s="349">
        <v>45689</v>
      </c>
      <c r="O11" s="1105"/>
      <c r="P11" s="341">
        <v>18955.86</v>
      </c>
      <c r="Q11" s="342">
        <v>45695</v>
      </c>
      <c r="R11" s="343"/>
      <c r="S11" s="344"/>
      <c r="T11" s="344"/>
      <c r="U11" s="1030"/>
      <c r="V11" s="1009"/>
      <c r="W11" s="1021"/>
      <c r="X11" s="110">
        <v>1</v>
      </c>
    </row>
    <row r="12" spans="1:24" s="110" customFormat="1" x14ac:dyDescent="0.25">
      <c r="A12" s="1102"/>
      <c r="B12" s="1012"/>
      <c r="C12" s="1012"/>
      <c r="D12" s="1012"/>
      <c r="E12" s="1012"/>
      <c r="F12" s="1024"/>
      <c r="G12" s="1027"/>
      <c r="H12" s="1030"/>
      <c r="I12" s="1033"/>
      <c r="J12" s="1036"/>
      <c r="K12" s="1039"/>
      <c r="L12" s="1012"/>
      <c r="M12" s="1012"/>
      <c r="N12" s="349">
        <v>45716</v>
      </c>
      <c r="O12" s="1105"/>
      <c r="P12" s="341">
        <v>5334.45</v>
      </c>
      <c r="Q12" s="342">
        <v>45729</v>
      </c>
      <c r="R12" s="343"/>
      <c r="S12" s="344"/>
      <c r="T12" s="344"/>
      <c r="U12" s="1030"/>
      <c r="V12" s="1009"/>
      <c r="W12" s="1021"/>
      <c r="X12" s="110">
        <v>1</v>
      </c>
    </row>
    <row r="13" spans="1:24" s="110" customFormat="1" x14ac:dyDescent="0.25">
      <c r="A13" s="1102"/>
      <c r="B13" s="1012"/>
      <c r="C13" s="1012"/>
      <c r="D13" s="1012"/>
      <c r="E13" s="1012"/>
      <c r="F13" s="1024"/>
      <c r="G13" s="1027"/>
      <c r="H13" s="1030"/>
      <c r="I13" s="1033"/>
      <c r="J13" s="1036"/>
      <c r="K13" s="1039"/>
      <c r="L13" s="1012"/>
      <c r="M13" s="1012"/>
      <c r="N13" s="349">
        <v>45717</v>
      </c>
      <c r="O13" s="1105"/>
      <c r="P13" s="341">
        <v>11909.66</v>
      </c>
      <c r="Q13" s="342">
        <v>45720</v>
      </c>
      <c r="R13" s="343"/>
      <c r="S13" s="344"/>
      <c r="T13" s="344"/>
      <c r="U13" s="1030"/>
      <c r="V13" s="1009"/>
      <c r="W13" s="1021"/>
      <c r="X13" s="110">
        <v>1</v>
      </c>
    </row>
    <row r="14" spans="1:24" s="110" customFormat="1" x14ac:dyDescent="0.25">
      <c r="A14" s="1102"/>
      <c r="B14" s="1012"/>
      <c r="C14" s="1012"/>
      <c r="D14" s="1012"/>
      <c r="E14" s="1012"/>
      <c r="F14" s="1024"/>
      <c r="G14" s="1027"/>
      <c r="H14" s="1030"/>
      <c r="I14" s="1033"/>
      <c r="J14" s="1036"/>
      <c r="K14" s="1039"/>
      <c r="L14" s="1012"/>
      <c r="M14" s="1012"/>
      <c r="N14" s="349">
        <v>45747</v>
      </c>
      <c r="O14" s="1105"/>
      <c r="P14" s="341">
        <v>12342.24</v>
      </c>
      <c r="Q14" s="342">
        <v>45763</v>
      </c>
      <c r="R14" s="343"/>
      <c r="S14" s="344"/>
      <c r="T14" s="344"/>
      <c r="U14" s="1030"/>
      <c r="V14" s="1009"/>
      <c r="W14" s="1021"/>
      <c r="X14" s="110">
        <v>1</v>
      </c>
    </row>
    <row r="15" spans="1:24" s="110" customFormat="1" x14ac:dyDescent="0.25">
      <c r="A15" s="1102"/>
      <c r="B15" s="1012"/>
      <c r="C15" s="1012"/>
      <c r="D15" s="1012"/>
      <c r="E15" s="1012"/>
      <c r="F15" s="1024"/>
      <c r="G15" s="1027"/>
      <c r="H15" s="1030"/>
      <c r="I15" s="1033"/>
      <c r="J15" s="1036"/>
      <c r="K15" s="1039"/>
      <c r="L15" s="1012"/>
      <c r="M15" s="1012"/>
      <c r="N15" s="349">
        <v>45777</v>
      </c>
      <c r="O15" s="1105"/>
      <c r="P15" s="341">
        <v>36352.660000000003</v>
      </c>
      <c r="Q15" s="342">
        <v>45791</v>
      </c>
      <c r="R15" s="343"/>
      <c r="S15" s="344"/>
      <c r="T15" s="344"/>
      <c r="U15" s="1030"/>
      <c r="V15" s="1009"/>
      <c r="W15" s="1021"/>
      <c r="X15" s="110">
        <v>1</v>
      </c>
    </row>
    <row r="16" spans="1:24" s="110" customFormat="1" x14ac:dyDescent="0.25">
      <c r="A16" s="1103"/>
      <c r="B16" s="1013"/>
      <c r="C16" s="1013"/>
      <c r="D16" s="1013"/>
      <c r="E16" s="1013"/>
      <c r="F16" s="1025"/>
      <c r="G16" s="1028"/>
      <c r="H16" s="1031"/>
      <c r="I16" s="1034"/>
      <c r="J16" s="1037"/>
      <c r="K16" s="1040"/>
      <c r="L16" s="1013"/>
      <c r="M16" s="1013"/>
      <c r="N16" s="350">
        <v>45778</v>
      </c>
      <c r="O16" s="1106"/>
      <c r="P16" s="387">
        <v>6002.42</v>
      </c>
      <c r="Q16" s="346">
        <v>45789</v>
      </c>
      <c r="R16" s="347"/>
      <c r="S16" s="345"/>
      <c r="T16" s="345"/>
      <c r="U16" s="1031"/>
      <c r="V16" s="1010"/>
      <c r="W16" s="1022"/>
      <c r="X16" s="110">
        <v>1</v>
      </c>
    </row>
    <row r="17" spans="1:24" s="80" customFormat="1" ht="63.6" customHeight="1" x14ac:dyDescent="0.25">
      <c r="A17" s="1107">
        <v>2</v>
      </c>
      <c r="B17" s="1044" t="s">
        <v>56</v>
      </c>
      <c r="C17" s="1044" t="s">
        <v>147</v>
      </c>
      <c r="D17" s="1044" t="s">
        <v>153</v>
      </c>
      <c r="E17" s="1044" t="s">
        <v>161</v>
      </c>
      <c r="F17" s="1110">
        <v>45653</v>
      </c>
      <c r="G17" s="1113" t="s">
        <v>162</v>
      </c>
      <c r="H17" s="1065">
        <v>24254.1</v>
      </c>
      <c r="I17" s="1116">
        <f>IF(X17 = 33, H17 + SUM(S17:S22) - SUM(T17:T22) - SUM(P17:P22) - V17,0)</f>
        <v>0</v>
      </c>
      <c r="J17" s="1119">
        <v>2308131994</v>
      </c>
      <c r="K17" s="1122" t="s">
        <v>163</v>
      </c>
      <c r="L17" s="1044" t="s">
        <v>147</v>
      </c>
      <c r="M17" s="1044" t="s">
        <v>223</v>
      </c>
      <c r="N17" s="472">
        <v>45688</v>
      </c>
      <c r="O17" s="1062" t="s">
        <v>164</v>
      </c>
      <c r="P17" s="461">
        <v>4042.35</v>
      </c>
      <c r="Q17" s="462">
        <v>45702</v>
      </c>
      <c r="R17" s="463"/>
      <c r="S17" s="464"/>
      <c r="T17" s="464"/>
      <c r="U17" s="1065"/>
      <c r="V17" s="1017"/>
      <c r="W17" s="1041"/>
      <c r="X17" s="80">
        <v>33</v>
      </c>
    </row>
    <row r="18" spans="1:24" s="110" customFormat="1" x14ac:dyDescent="0.25">
      <c r="A18" s="1108"/>
      <c r="B18" s="1045"/>
      <c r="C18" s="1045"/>
      <c r="D18" s="1045"/>
      <c r="E18" s="1045"/>
      <c r="F18" s="1111"/>
      <c r="G18" s="1114"/>
      <c r="H18" s="1066"/>
      <c r="I18" s="1117"/>
      <c r="J18" s="1120"/>
      <c r="K18" s="1123"/>
      <c r="L18" s="1045"/>
      <c r="M18" s="1045"/>
      <c r="N18" s="473">
        <v>45716</v>
      </c>
      <c r="O18" s="1063"/>
      <c r="P18" s="465">
        <v>4042.35</v>
      </c>
      <c r="Q18" s="466">
        <v>45720</v>
      </c>
      <c r="R18" s="467"/>
      <c r="S18" s="468"/>
      <c r="T18" s="468"/>
      <c r="U18" s="1066"/>
      <c r="V18" s="1018"/>
      <c r="W18" s="1042"/>
      <c r="X18" s="110">
        <v>33</v>
      </c>
    </row>
    <row r="19" spans="1:24" s="110" customFormat="1" x14ac:dyDescent="0.25">
      <c r="A19" s="1108"/>
      <c r="B19" s="1045"/>
      <c r="C19" s="1045"/>
      <c r="D19" s="1045"/>
      <c r="E19" s="1045"/>
      <c r="F19" s="1111"/>
      <c r="G19" s="1114"/>
      <c r="H19" s="1066"/>
      <c r="I19" s="1117"/>
      <c r="J19" s="1120"/>
      <c r="K19" s="1123"/>
      <c r="L19" s="1045"/>
      <c r="M19" s="1045"/>
      <c r="N19" s="473">
        <v>45747</v>
      </c>
      <c r="O19" s="1063"/>
      <c r="P19" s="465">
        <v>4042.35</v>
      </c>
      <c r="Q19" s="466">
        <v>45754</v>
      </c>
      <c r="R19" s="467"/>
      <c r="S19" s="468"/>
      <c r="T19" s="468"/>
      <c r="U19" s="1066"/>
      <c r="V19" s="1018"/>
      <c r="W19" s="1042"/>
      <c r="X19" s="110">
        <v>33</v>
      </c>
    </row>
    <row r="20" spans="1:24" s="110" customFormat="1" x14ac:dyDescent="0.25">
      <c r="A20" s="1108"/>
      <c r="B20" s="1045"/>
      <c r="C20" s="1045"/>
      <c r="D20" s="1045"/>
      <c r="E20" s="1045"/>
      <c r="F20" s="1111"/>
      <c r="G20" s="1114"/>
      <c r="H20" s="1066"/>
      <c r="I20" s="1117"/>
      <c r="J20" s="1120"/>
      <c r="K20" s="1123"/>
      <c r="L20" s="1045"/>
      <c r="M20" s="1045"/>
      <c r="N20" s="473">
        <v>45777</v>
      </c>
      <c r="O20" s="1063"/>
      <c r="P20" s="465">
        <v>4042.35</v>
      </c>
      <c r="Q20" s="466">
        <v>45789</v>
      </c>
      <c r="R20" s="467"/>
      <c r="S20" s="468"/>
      <c r="T20" s="468"/>
      <c r="U20" s="1066"/>
      <c r="V20" s="1018"/>
      <c r="W20" s="1042"/>
      <c r="X20" s="110">
        <v>33</v>
      </c>
    </row>
    <row r="21" spans="1:24" s="110" customFormat="1" x14ac:dyDescent="0.25">
      <c r="A21" s="1108"/>
      <c r="B21" s="1045"/>
      <c r="C21" s="1045"/>
      <c r="D21" s="1045"/>
      <c r="E21" s="1045"/>
      <c r="F21" s="1111"/>
      <c r="G21" s="1114"/>
      <c r="H21" s="1066"/>
      <c r="I21" s="1117"/>
      <c r="J21" s="1120"/>
      <c r="K21" s="1123"/>
      <c r="L21" s="1045"/>
      <c r="M21" s="1045"/>
      <c r="N21" s="473">
        <v>45808</v>
      </c>
      <c r="O21" s="1063"/>
      <c r="P21" s="465">
        <v>4042.35</v>
      </c>
      <c r="Q21" s="466">
        <v>45814</v>
      </c>
      <c r="R21" s="467"/>
      <c r="S21" s="468"/>
      <c r="T21" s="468"/>
      <c r="U21" s="1066"/>
      <c r="V21" s="1018"/>
      <c r="W21" s="1042"/>
      <c r="X21" s="110">
        <v>33</v>
      </c>
    </row>
    <row r="22" spans="1:24" s="110" customFormat="1" x14ac:dyDescent="0.25">
      <c r="A22" s="1109"/>
      <c r="B22" s="1046"/>
      <c r="C22" s="1046"/>
      <c r="D22" s="1046"/>
      <c r="E22" s="1046"/>
      <c r="F22" s="1112"/>
      <c r="G22" s="1115"/>
      <c r="H22" s="1067"/>
      <c r="I22" s="1118"/>
      <c r="J22" s="1121"/>
      <c r="K22" s="1124"/>
      <c r="L22" s="1046"/>
      <c r="M22" s="1046"/>
      <c r="N22" s="474">
        <v>45838</v>
      </c>
      <c r="O22" s="1064"/>
      <c r="P22" s="557">
        <v>4042.35</v>
      </c>
      <c r="Q22" s="470">
        <v>45840</v>
      </c>
      <c r="R22" s="471"/>
      <c r="S22" s="469"/>
      <c r="T22" s="469"/>
      <c r="U22" s="1067"/>
      <c r="V22" s="1019"/>
      <c r="W22" s="1043"/>
      <c r="X22" s="110">
        <v>33</v>
      </c>
    </row>
    <row r="23" spans="1:24" s="80" customFormat="1" ht="54" customHeight="1" x14ac:dyDescent="0.25">
      <c r="A23" s="774">
        <v>3</v>
      </c>
      <c r="B23" s="783" t="s">
        <v>56</v>
      </c>
      <c r="C23" s="783" t="s">
        <v>147</v>
      </c>
      <c r="D23" s="783" t="s">
        <v>153</v>
      </c>
      <c r="E23" s="783" t="s">
        <v>165</v>
      </c>
      <c r="F23" s="1254">
        <v>45657</v>
      </c>
      <c r="G23" s="1257" t="s">
        <v>166</v>
      </c>
      <c r="H23" s="780">
        <v>24000</v>
      </c>
      <c r="I23" s="1260">
        <f>IF(X23 = 34, H23 + SUM(S23:S30) - SUM(T23:T30) - SUM(P23:P30) - V23,0)</f>
        <v>8000</v>
      </c>
      <c r="J23" s="1221">
        <v>2353002302</v>
      </c>
      <c r="K23" s="1224" t="s">
        <v>167</v>
      </c>
      <c r="L23" s="783" t="s">
        <v>147</v>
      </c>
      <c r="M23" s="783" t="s">
        <v>194</v>
      </c>
      <c r="N23" s="679">
        <v>45688</v>
      </c>
      <c r="O23" s="777" t="s">
        <v>196</v>
      </c>
      <c r="P23" s="668">
        <v>2000</v>
      </c>
      <c r="Q23" s="669">
        <v>45695</v>
      </c>
      <c r="R23" s="670"/>
      <c r="S23" s="671"/>
      <c r="T23" s="671"/>
      <c r="U23" s="780"/>
      <c r="V23" s="786"/>
      <c r="W23" s="789"/>
      <c r="X23" s="80">
        <v>34</v>
      </c>
    </row>
    <row r="24" spans="1:24" s="110" customFormat="1" x14ac:dyDescent="0.25">
      <c r="A24" s="775"/>
      <c r="B24" s="784"/>
      <c r="C24" s="784"/>
      <c r="D24" s="784"/>
      <c r="E24" s="784"/>
      <c r="F24" s="1255"/>
      <c r="G24" s="1258"/>
      <c r="H24" s="781"/>
      <c r="I24" s="1261"/>
      <c r="J24" s="1222"/>
      <c r="K24" s="1225"/>
      <c r="L24" s="784"/>
      <c r="M24" s="784"/>
      <c r="N24" s="680">
        <v>45716</v>
      </c>
      <c r="O24" s="778"/>
      <c r="P24" s="672">
        <v>2000</v>
      </c>
      <c r="Q24" s="673">
        <v>45720</v>
      </c>
      <c r="R24" s="674"/>
      <c r="S24" s="675"/>
      <c r="T24" s="675"/>
      <c r="U24" s="781"/>
      <c r="V24" s="787"/>
      <c r="W24" s="790"/>
      <c r="X24" s="110">
        <v>34</v>
      </c>
    </row>
    <row r="25" spans="1:24" s="110" customFormat="1" x14ac:dyDescent="0.25">
      <c r="A25" s="775"/>
      <c r="B25" s="784"/>
      <c r="C25" s="784"/>
      <c r="D25" s="784"/>
      <c r="E25" s="784"/>
      <c r="F25" s="1255"/>
      <c r="G25" s="1258"/>
      <c r="H25" s="781"/>
      <c r="I25" s="1261"/>
      <c r="J25" s="1222"/>
      <c r="K25" s="1225"/>
      <c r="L25" s="784"/>
      <c r="M25" s="784"/>
      <c r="N25" s="680">
        <v>45747</v>
      </c>
      <c r="O25" s="778"/>
      <c r="P25" s="672">
        <v>2000</v>
      </c>
      <c r="Q25" s="673">
        <v>45749</v>
      </c>
      <c r="R25" s="674"/>
      <c r="S25" s="675"/>
      <c r="T25" s="675"/>
      <c r="U25" s="781"/>
      <c r="V25" s="787"/>
      <c r="W25" s="790"/>
      <c r="X25" s="110">
        <v>34</v>
      </c>
    </row>
    <row r="26" spans="1:24" s="110" customFormat="1" x14ac:dyDescent="0.25">
      <c r="A26" s="775"/>
      <c r="B26" s="784"/>
      <c r="C26" s="784"/>
      <c r="D26" s="784"/>
      <c r="E26" s="784"/>
      <c r="F26" s="1255"/>
      <c r="G26" s="1258"/>
      <c r="H26" s="781"/>
      <c r="I26" s="1261"/>
      <c r="J26" s="1222"/>
      <c r="K26" s="1225"/>
      <c r="L26" s="784"/>
      <c r="M26" s="784"/>
      <c r="N26" s="680">
        <v>45777</v>
      </c>
      <c r="O26" s="778"/>
      <c r="P26" s="672">
        <v>2000</v>
      </c>
      <c r="Q26" s="673">
        <v>45777</v>
      </c>
      <c r="R26" s="674"/>
      <c r="S26" s="675"/>
      <c r="T26" s="675"/>
      <c r="U26" s="781"/>
      <c r="V26" s="787"/>
      <c r="W26" s="790"/>
      <c r="X26" s="110">
        <v>34</v>
      </c>
    </row>
    <row r="27" spans="1:24" s="110" customFormat="1" x14ac:dyDescent="0.25">
      <c r="A27" s="775"/>
      <c r="B27" s="784"/>
      <c r="C27" s="784"/>
      <c r="D27" s="784"/>
      <c r="E27" s="784"/>
      <c r="F27" s="1255"/>
      <c r="G27" s="1258"/>
      <c r="H27" s="781"/>
      <c r="I27" s="1261"/>
      <c r="J27" s="1222"/>
      <c r="K27" s="1225"/>
      <c r="L27" s="784"/>
      <c r="M27" s="784"/>
      <c r="N27" s="680">
        <v>45808</v>
      </c>
      <c r="O27" s="778"/>
      <c r="P27" s="672">
        <v>2000</v>
      </c>
      <c r="Q27" s="673">
        <v>45810</v>
      </c>
      <c r="R27" s="674"/>
      <c r="S27" s="675"/>
      <c r="T27" s="675"/>
      <c r="U27" s="781"/>
      <c r="V27" s="787"/>
      <c r="W27" s="790"/>
      <c r="X27" s="110">
        <v>34</v>
      </c>
    </row>
    <row r="28" spans="1:24" s="110" customFormat="1" x14ac:dyDescent="0.25">
      <c r="A28" s="775"/>
      <c r="B28" s="784"/>
      <c r="C28" s="784"/>
      <c r="D28" s="784"/>
      <c r="E28" s="784"/>
      <c r="F28" s="1255"/>
      <c r="G28" s="1258"/>
      <c r="H28" s="781"/>
      <c r="I28" s="1261"/>
      <c r="J28" s="1222"/>
      <c r="K28" s="1225"/>
      <c r="L28" s="784"/>
      <c r="M28" s="784"/>
      <c r="N28" s="680">
        <v>45838</v>
      </c>
      <c r="O28" s="778"/>
      <c r="P28" s="672">
        <v>2000</v>
      </c>
      <c r="Q28" s="673">
        <v>45839</v>
      </c>
      <c r="R28" s="674"/>
      <c r="S28" s="675"/>
      <c r="T28" s="675"/>
      <c r="U28" s="781"/>
      <c r="V28" s="787"/>
      <c r="W28" s="790"/>
      <c r="X28" s="110">
        <v>34</v>
      </c>
    </row>
    <row r="29" spans="1:24" s="110" customFormat="1" x14ac:dyDescent="0.25">
      <c r="A29" s="775"/>
      <c r="B29" s="784"/>
      <c r="C29" s="784"/>
      <c r="D29" s="784"/>
      <c r="E29" s="784"/>
      <c r="F29" s="1255"/>
      <c r="G29" s="1258"/>
      <c r="H29" s="781"/>
      <c r="I29" s="1261"/>
      <c r="J29" s="1222"/>
      <c r="K29" s="1225"/>
      <c r="L29" s="784"/>
      <c r="M29" s="784"/>
      <c r="N29" s="680">
        <v>45869</v>
      </c>
      <c r="O29" s="778"/>
      <c r="P29" s="672">
        <v>2000</v>
      </c>
      <c r="Q29" s="673">
        <v>45873</v>
      </c>
      <c r="R29" s="674"/>
      <c r="S29" s="675"/>
      <c r="T29" s="675"/>
      <c r="U29" s="781"/>
      <c r="V29" s="787"/>
      <c r="W29" s="790"/>
      <c r="X29" s="110">
        <v>34</v>
      </c>
    </row>
    <row r="30" spans="1:24" s="110" customFormat="1" x14ac:dyDescent="0.25">
      <c r="A30" s="776"/>
      <c r="B30" s="785"/>
      <c r="C30" s="785"/>
      <c r="D30" s="785"/>
      <c r="E30" s="785"/>
      <c r="F30" s="1256"/>
      <c r="G30" s="1259"/>
      <c r="H30" s="782"/>
      <c r="I30" s="1262"/>
      <c r="J30" s="1223"/>
      <c r="K30" s="1226"/>
      <c r="L30" s="785"/>
      <c r="M30" s="785"/>
      <c r="N30" s="681">
        <v>45900</v>
      </c>
      <c r="O30" s="779"/>
      <c r="P30" s="676">
        <v>2000</v>
      </c>
      <c r="Q30" s="677"/>
      <c r="R30" s="678"/>
      <c r="S30" s="676"/>
      <c r="T30" s="676"/>
      <c r="U30" s="782"/>
      <c r="V30" s="788"/>
      <c r="W30" s="791"/>
      <c r="X30" s="110">
        <v>34</v>
      </c>
    </row>
    <row r="31" spans="1:24" s="80" customFormat="1" ht="72" customHeight="1" x14ac:dyDescent="0.25">
      <c r="A31" s="774">
        <v>4</v>
      </c>
      <c r="B31" s="783" t="s">
        <v>56</v>
      </c>
      <c r="C31" s="783" t="s">
        <v>147</v>
      </c>
      <c r="D31" s="783" t="s">
        <v>153</v>
      </c>
      <c r="E31" s="783" t="s">
        <v>168</v>
      </c>
      <c r="F31" s="1254">
        <v>45657</v>
      </c>
      <c r="G31" s="1257" t="s">
        <v>169</v>
      </c>
      <c r="H31" s="780">
        <v>36000</v>
      </c>
      <c r="I31" s="1260">
        <f>IF(X31 = 35, H31 + SUM(S31:S38) - SUM(T31:T38) - SUM(P31:P38) - V31,0)</f>
        <v>12000</v>
      </c>
      <c r="J31" s="1221">
        <v>2353002302</v>
      </c>
      <c r="K31" s="1224" t="s">
        <v>167</v>
      </c>
      <c r="L31" s="783" t="s">
        <v>147</v>
      </c>
      <c r="M31" s="783" t="s">
        <v>194</v>
      </c>
      <c r="N31" s="679">
        <v>45688</v>
      </c>
      <c r="O31" s="777" t="s">
        <v>180</v>
      </c>
      <c r="P31" s="668">
        <v>3000</v>
      </c>
      <c r="Q31" s="669">
        <v>45695</v>
      </c>
      <c r="R31" s="670"/>
      <c r="S31" s="671"/>
      <c r="T31" s="671"/>
      <c r="U31" s="780"/>
      <c r="V31" s="786"/>
      <c r="W31" s="789"/>
      <c r="X31" s="80">
        <v>35</v>
      </c>
    </row>
    <row r="32" spans="1:24" s="110" customFormat="1" x14ac:dyDescent="0.25">
      <c r="A32" s="775"/>
      <c r="B32" s="784"/>
      <c r="C32" s="784"/>
      <c r="D32" s="784"/>
      <c r="E32" s="784"/>
      <c r="F32" s="1255"/>
      <c r="G32" s="1258"/>
      <c r="H32" s="781"/>
      <c r="I32" s="1261"/>
      <c r="J32" s="1222"/>
      <c r="K32" s="1225"/>
      <c r="L32" s="784"/>
      <c r="M32" s="784"/>
      <c r="N32" s="680">
        <v>45716</v>
      </c>
      <c r="O32" s="778"/>
      <c r="P32" s="672">
        <v>3000</v>
      </c>
      <c r="Q32" s="673">
        <v>45720</v>
      </c>
      <c r="R32" s="674"/>
      <c r="S32" s="675"/>
      <c r="T32" s="675"/>
      <c r="U32" s="781"/>
      <c r="V32" s="787"/>
      <c r="W32" s="790"/>
      <c r="X32" s="110">
        <v>35</v>
      </c>
    </row>
    <row r="33" spans="1:24" s="110" customFormat="1" x14ac:dyDescent="0.25">
      <c r="A33" s="775"/>
      <c r="B33" s="784"/>
      <c r="C33" s="784"/>
      <c r="D33" s="784"/>
      <c r="E33" s="784"/>
      <c r="F33" s="1255"/>
      <c r="G33" s="1258"/>
      <c r="H33" s="781"/>
      <c r="I33" s="1261"/>
      <c r="J33" s="1222"/>
      <c r="K33" s="1225"/>
      <c r="L33" s="784"/>
      <c r="M33" s="784"/>
      <c r="N33" s="680">
        <v>45747</v>
      </c>
      <c r="O33" s="778"/>
      <c r="P33" s="672">
        <v>3000</v>
      </c>
      <c r="Q33" s="673">
        <v>45749</v>
      </c>
      <c r="R33" s="674"/>
      <c r="S33" s="675"/>
      <c r="T33" s="675"/>
      <c r="U33" s="781"/>
      <c r="V33" s="787"/>
      <c r="W33" s="790"/>
      <c r="X33" s="110">
        <v>35</v>
      </c>
    </row>
    <row r="34" spans="1:24" s="110" customFormat="1" x14ac:dyDescent="0.25">
      <c r="A34" s="775"/>
      <c r="B34" s="784"/>
      <c r="C34" s="784"/>
      <c r="D34" s="784"/>
      <c r="E34" s="784"/>
      <c r="F34" s="1255"/>
      <c r="G34" s="1258"/>
      <c r="H34" s="781"/>
      <c r="I34" s="1261"/>
      <c r="J34" s="1222"/>
      <c r="K34" s="1225"/>
      <c r="L34" s="784"/>
      <c r="M34" s="784"/>
      <c r="N34" s="680">
        <v>45777</v>
      </c>
      <c r="O34" s="778"/>
      <c r="P34" s="672">
        <v>3000</v>
      </c>
      <c r="Q34" s="673">
        <v>45777</v>
      </c>
      <c r="R34" s="674"/>
      <c r="S34" s="675"/>
      <c r="T34" s="675"/>
      <c r="U34" s="781"/>
      <c r="V34" s="787"/>
      <c r="W34" s="790"/>
      <c r="X34" s="110">
        <v>35</v>
      </c>
    </row>
    <row r="35" spans="1:24" s="110" customFormat="1" x14ac:dyDescent="0.25">
      <c r="A35" s="775"/>
      <c r="B35" s="784"/>
      <c r="C35" s="784"/>
      <c r="D35" s="784"/>
      <c r="E35" s="784"/>
      <c r="F35" s="1255"/>
      <c r="G35" s="1258"/>
      <c r="H35" s="781"/>
      <c r="I35" s="1261"/>
      <c r="J35" s="1222"/>
      <c r="K35" s="1225"/>
      <c r="L35" s="784"/>
      <c r="M35" s="784"/>
      <c r="N35" s="680">
        <v>45808</v>
      </c>
      <c r="O35" s="778"/>
      <c r="P35" s="672">
        <v>3000</v>
      </c>
      <c r="Q35" s="673">
        <v>45810</v>
      </c>
      <c r="R35" s="674"/>
      <c r="S35" s="675"/>
      <c r="T35" s="675"/>
      <c r="U35" s="781"/>
      <c r="V35" s="787"/>
      <c r="W35" s="790"/>
      <c r="X35" s="110">
        <v>35</v>
      </c>
    </row>
    <row r="36" spans="1:24" s="110" customFormat="1" x14ac:dyDescent="0.25">
      <c r="A36" s="775"/>
      <c r="B36" s="784"/>
      <c r="C36" s="784"/>
      <c r="D36" s="784"/>
      <c r="E36" s="784"/>
      <c r="F36" s="1255"/>
      <c r="G36" s="1258"/>
      <c r="H36" s="781"/>
      <c r="I36" s="1261"/>
      <c r="J36" s="1222"/>
      <c r="K36" s="1225"/>
      <c r="L36" s="784"/>
      <c r="M36" s="784"/>
      <c r="N36" s="680">
        <v>45838</v>
      </c>
      <c r="O36" s="778"/>
      <c r="P36" s="672">
        <v>3000</v>
      </c>
      <c r="Q36" s="673">
        <v>45839</v>
      </c>
      <c r="R36" s="674"/>
      <c r="S36" s="675"/>
      <c r="T36" s="675"/>
      <c r="U36" s="781"/>
      <c r="V36" s="787"/>
      <c r="W36" s="790"/>
      <c r="X36" s="110">
        <v>35</v>
      </c>
    </row>
    <row r="37" spans="1:24" s="110" customFormat="1" x14ac:dyDescent="0.25">
      <c r="A37" s="775"/>
      <c r="B37" s="784"/>
      <c r="C37" s="784"/>
      <c r="D37" s="784"/>
      <c r="E37" s="784"/>
      <c r="F37" s="1255"/>
      <c r="G37" s="1258"/>
      <c r="H37" s="781"/>
      <c r="I37" s="1261"/>
      <c r="J37" s="1222"/>
      <c r="K37" s="1225"/>
      <c r="L37" s="784"/>
      <c r="M37" s="784"/>
      <c r="N37" s="680">
        <v>45869</v>
      </c>
      <c r="O37" s="778"/>
      <c r="P37" s="672">
        <v>3000</v>
      </c>
      <c r="Q37" s="673">
        <v>45873</v>
      </c>
      <c r="R37" s="674"/>
      <c r="S37" s="675"/>
      <c r="T37" s="675"/>
      <c r="U37" s="781"/>
      <c r="V37" s="787"/>
      <c r="W37" s="790"/>
      <c r="X37" s="110">
        <v>35</v>
      </c>
    </row>
    <row r="38" spans="1:24" s="110" customFormat="1" x14ac:dyDescent="0.25">
      <c r="A38" s="776"/>
      <c r="B38" s="785"/>
      <c r="C38" s="785"/>
      <c r="D38" s="785"/>
      <c r="E38" s="785"/>
      <c r="F38" s="1256"/>
      <c r="G38" s="1259"/>
      <c r="H38" s="782"/>
      <c r="I38" s="1262"/>
      <c r="J38" s="1223"/>
      <c r="K38" s="1226"/>
      <c r="L38" s="785"/>
      <c r="M38" s="785"/>
      <c r="N38" s="681">
        <v>45900</v>
      </c>
      <c r="O38" s="779"/>
      <c r="P38" s="676">
        <v>3000</v>
      </c>
      <c r="Q38" s="677"/>
      <c r="R38" s="678"/>
      <c r="S38" s="676"/>
      <c r="T38" s="676"/>
      <c r="U38" s="782"/>
      <c r="V38" s="788"/>
      <c r="W38" s="791"/>
      <c r="X38" s="110">
        <v>35</v>
      </c>
    </row>
    <row r="39" spans="1:24" s="80" customFormat="1" ht="90" customHeight="1" x14ac:dyDescent="0.25">
      <c r="A39" s="819">
        <v>5</v>
      </c>
      <c r="B39" s="795" t="s">
        <v>56</v>
      </c>
      <c r="C39" s="795" t="s">
        <v>147</v>
      </c>
      <c r="D39" s="795" t="s">
        <v>153</v>
      </c>
      <c r="E39" s="795" t="s">
        <v>197</v>
      </c>
      <c r="F39" s="801">
        <v>45653</v>
      </c>
      <c r="G39" s="804" t="s">
        <v>170</v>
      </c>
      <c r="H39" s="807">
        <v>27331.200000000001</v>
      </c>
      <c r="I39" s="810">
        <f>IF(X39 = 36, H39 + SUM(S39:S45) - SUM(T39:T45) - SUM(P39:P45) - V39,0)</f>
        <v>11388</v>
      </c>
      <c r="J39" s="813">
        <v>2310163739</v>
      </c>
      <c r="K39" s="816" t="s">
        <v>171</v>
      </c>
      <c r="L39" s="795" t="s">
        <v>147</v>
      </c>
      <c r="M39" s="795" t="s">
        <v>194</v>
      </c>
      <c r="N39" s="576">
        <v>45688</v>
      </c>
      <c r="O39" s="822" t="s">
        <v>172</v>
      </c>
      <c r="P39" s="564">
        <v>2277.6</v>
      </c>
      <c r="Q39" s="565">
        <v>45709</v>
      </c>
      <c r="R39" s="566"/>
      <c r="S39" s="567"/>
      <c r="T39" s="567"/>
      <c r="U39" s="807"/>
      <c r="V39" s="792"/>
      <c r="W39" s="798"/>
      <c r="X39" s="80">
        <v>36</v>
      </c>
    </row>
    <row r="40" spans="1:24" s="110" customFormat="1" x14ac:dyDescent="0.25">
      <c r="A40" s="820"/>
      <c r="B40" s="796"/>
      <c r="C40" s="796"/>
      <c r="D40" s="796"/>
      <c r="E40" s="796"/>
      <c r="F40" s="802"/>
      <c r="G40" s="805"/>
      <c r="H40" s="808"/>
      <c r="I40" s="811"/>
      <c r="J40" s="814"/>
      <c r="K40" s="817"/>
      <c r="L40" s="796"/>
      <c r="M40" s="796"/>
      <c r="N40" s="577">
        <v>45716</v>
      </c>
      <c r="O40" s="823"/>
      <c r="P40" s="568">
        <v>2277.6</v>
      </c>
      <c r="Q40" s="569">
        <v>45716</v>
      </c>
      <c r="R40" s="570"/>
      <c r="S40" s="571"/>
      <c r="T40" s="571"/>
      <c r="U40" s="808"/>
      <c r="V40" s="793"/>
      <c r="W40" s="799"/>
      <c r="X40" s="110">
        <v>36</v>
      </c>
    </row>
    <row r="41" spans="1:24" s="110" customFormat="1" x14ac:dyDescent="0.25">
      <c r="A41" s="820"/>
      <c r="B41" s="796"/>
      <c r="C41" s="796"/>
      <c r="D41" s="796"/>
      <c r="E41" s="796"/>
      <c r="F41" s="802"/>
      <c r="G41" s="805"/>
      <c r="H41" s="808"/>
      <c r="I41" s="811"/>
      <c r="J41" s="814"/>
      <c r="K41" s="817"/>
      <c r="L41" s="796"/>
      <c r="M41" s="796"/>
      <c r="N41" s="577">
        <v>45747</v>
      </c>
      <c r="O41" s="823"/>
      <c r="P41" s="568">
        <v>2277.6</v>
      </c>
      <c r="Q41" s="569">
        <v>45749</v>
      </c>
      <c r="R41" s="570"/>
      <c r="S41" s="571"/>
      <c r="T41" s="571"/>
      <c r="U41" s="808"/>
      <c r="V41" s="793"/>
      <c r="W41" s="799"/>
      <c r="X41" s="110">
        <v>36</v>
      </c>
    </row>
    <row r="42" spans="1:24" s="110" customFormat="1" x14ac:dyDescent="0.25">
      <c r="A42" s="820"/>
      <c r="B42" s="796"/>
      <c r="C42" s="796"/>
      <c r="D42" s="796"/>
      <c r="E42" s="796"/>
      <c r="F42" s="802"/>
      <c r="G42" s="805"/>
      <c r="H42" s="808"/>
      <c r="I42" s="811"/>
      <c r="J42" s="814"/>
      <c r="K42" s="817"/>
      <c r="L42" s="796"/>
      <c r="M42" s="796"/>
      <c r="N42" s="577">
        <v>45777</v>
      </c>
      <c r="O42" s="823"/>
      <c r="P42" s="568">
        <v>2277.6</v>
      </c>
      <c r="Q42" s="569">
        <v>45777</v>
      </c>
      <c r="R42" s="570"/>
      <c r="S42" s="571"/>
      <c r="T42" s="571"/>
      <c r="U42" s="808"/>
      <c r="V42" s="793"/>
      <c r="W42" s="799"/>
      <c r="X42" s="110">
        <v>36</v>
      </c>
    </row>
    <row r="43" spans="1:24" s="110" customFormat="1" x14ac:dyDescent="0.25">
      <c r="A43" s="820"/>
      <c r="B43" s="796"/>
      <c r="C43" s="796"/>
      <c r="D43" s="796"/>
      <c r="E43" s="796"/>
      <c r="F43" s="802"/>
      <c r="G43" s="805"/>
      <c r="H43" s="808"/>
      <c r="I43" s="811"/>
      <c r="J43" s="814"/>
      <c r="K43" s="817"/>
      <c r="L43" s="796"/>
      <c r="M43" s="796"/>
      <c r="N43" s="577">
        <v>45807</v>
      </c>
      <c r="O43" s="823"/>
      <c r="P43" s="568">
        <v>2277.6</v>
      </c>
      <c r="Q43" s="569">
        <v>45814</v>
      </c>
      <c r="R43" s="570"/>
      <c r="S43" s="571"/>
      <c r="T43" s="571"/>
      <c r="U43" s="808"/>
      <c r="V43" s="793"/>
      <c r="W43" s="799"/>
      <c r="X43" s="110">
        <v>36</v>
      </c>
    </row>
    <row r="44" spans="1:24" s="110" customFormat="1" x14ac:dyDescent="0.25">
      <c r="A44" s="820"/>
      <c r="B44" s="796"/>
      <c r="C44" s="796"/>
      <c r="D44" s="796"/>
      <c r="E44" s="796"/>
      <c r="F44" s="802"/>
      <c r="G44" s="805"/>
      <c r="H44" s="808"/>
      <c r="I44" s="811"/>
      <c r="J44" s="814"/>
      <c r="K44" s="817"/>
      <c r="L44" s="796"/>
      <c r="M44" s="796"/>
      <c r="N44" s="577">
        <v>45838</v>
      </c>
      <c r="O44" s="823"/>
      <c r="P44" s="568">
        <v>2277.6</v>
      </c>
      <c r="Q44" s="569">
        <v>45839</v>
      </c>
      <c r="R44" s="570"/>
      <c r="S44" s="571"/>
      <c r="T44" s="571"/>
      <c r="U44" s="808"/>
      <c r="V44" s="793"/>
      <c r="W44" s="799"/>
      <c r="X44" s="110">
        <v>36</v>
      </c>
    </row>
    <row r="45" spans="1:24" s="110" customFormat="1" x14ac:dyDescent="0.25">
      <c r="A45" s="821"/>
      <c r="B45" s="797"/>
      <c r="C45" s="797"/>
      <c r="D45" s="797"/>
      <c r="E45" s="797"/>
      <c r="F45" s="803"/>
      <c r="G45" s="806"/>
      <c r="H45" s="809"/>
      <c r="I45" s="812"/>
      <c r="J45" s="815"/>
      <c r="K45" s="818"/>
      <c r="L45" s="797"/>
      <c r="M45" s="797"/>
      <c r="N45" s="578">
        <v>45869</v>
      </c>
      <c r="O45" s="824"/>
      <c r="P45" s="682">
        <v>2277.6</v>
      </c>
      <c r="Q45" s="574">
        <v>45873</v>
      </c>
      <c r="R45" s="575"/>
      <c r="S45" s="573"/>
      <c r="T45" s="573"/>
      <c r="U45" s="809"/>
      <c r="V45" s="794"/>
      <c r="W45" s="800"/>
      <c r="X45" s="110">
        <v>36</v>
      </c>
    </row>
    <row r="46" spans="1:24" s="80" customFormat="1" ht="36" customHeight="1" x14ac:dyDescent="0.25">
      <c r="A46" s="1248">
        <v>6</v>
      </c>
      <c r="B46" s="1145" t="s">
        <v>56</v>
      </c>
      <c r="C46" s="1145" t="s">
        <v>147</v>
      </c>
      <c r="D46" s="1145" t="s">
        <v>153</v>
      </c>
      <c r="E46" s="1145" t="s">
        <v>175</v>
      </c>
      <c r="F46" s="1149">
        <v>45653</v>
      </c>
      <c r="G46" s="1151" t="s">
        <v>176</v>
      </c>
      <c r="H46" s="1153">
        <v>36000</v>
      </c>
      <c r="I46" s="1155">
        <f>IF(X46 = 39, H46 + SUM(S46:S47) - SUM(T46:T47) - SUM(P46:P47) - V46,0)</f>
        <v>18000</v>
      </c>
      <c r="J46" s="1157">
        <v>235306577600</v>
      </c>
      <c r="K46" s="1159" t="s">
        <v>178</v>
      </c>
      <c r="L46" s="1145" t="s">
        <v>147</v>
      </c>
      <c r="M46" s="1145" t="s">
        <v>194</v>
      </c>
      <c r="N46" s="485">
        <v>45747</v>
      </c>
      <c r="O46" s="1250" t="s">
        <v>207</v>
      </c>
      <c r="P46" s="478">
        <v>9000</v>
      </c>
      <c r="Q46" s="479">
        <v>45749</v>
      </c>
      <c r="R46" s="480"/>
      <c r="S46" s="481"/>
      <c r="T46" s="481"/>
      <c r="U46" s="1153"/>
      <c r="V46" s="1143"/>
      <c r="W46" s="1147"/>
      <c r="X46" s="80">
        <v>39</v>
      </c>
    </row>
    <row r="47" spans="1:24" s="110" customFormat="1" x14ac:dyDescent="0.25">
      <c r="A47" s="1249"/>
      <c r="B47" s="1146"/>
      <c r="C47" s="1146"/>
      <c r="D47" s="1146"/>
      <c r="E47" s="1146"/>
      <c r="F47" s="1150"/>
      <c r="G47" s="1152"/>
      <c r="H47" s="1154"/>
      <c r="I47" s="1156"/>
      <c r="J47" s="1158"/>
      <c r="K47" s="1160"/>
      <c r="L47" s="1146"/>
      <c r="M47" s="1146"/>
      <c r="N47" s="486">
        <v>45838</v>
      </c>
      <c r="O47" s="1251"/>
      <c r="P47" s="555">
        <v>9000</v>
      </c>
      <c r="Q47" s="483">
        <v>45839</v>
      </c>
      <c r="R47" s="484"/>
      <c r="S47" s="482"/>
      <c r="T47" s="482"/>
      <c r="U47" s="1154"/>
      <c r="V47" s="1144"/>
      <c r="W47" s="1148"/>
      <c r="X47" s="110">
        <v>39</v>
      </c>
    </row>
    <row r="48" spans="1:24" s="80" customFormat="1" ht="36" customHeight="1" x14ac:dyDescent="0.25">
      <c r="A48" s="819">
        <v>7</v>
      </c>
      <c r="B48" s="795" t="s">
        <v>56</v>
      </c>
      <c r="C48" s="795" t="s">
        <v>147</v>
      </c>
      <c r="D48" s="795" t="s">
        <v>153</v>
      </c>
      <c r="E48" s="795" t="s">
        <v>118</v>
      </c>
      <c r="F48" s="801">
        <v>45653</v>
      </c>
      <c r="G48" s="804" t="s">
        <v>177</v>
      </c>
      <c r="H48" s="807">
        <v>47175.360000000001</v>
      </c>
      <c r="I48" s="810">
        <f>IF(X48 = 40, H48 + SUM(S48:S54) - SUM(T48:T54) - SUM(P48:P54) - V48,0)</f>
        <v>39286.01</v>
      </c>
      <c r="J48" s="813">
        <v>2353023951</v>
      </c>
      <c r="K48" s="816" t="s">
        <v>179</v>
      </c>
      <c r="L48" s="795" t="s">
        <v>147</v>
      </c>
      <c r="M48" s="795" t="s">
        <v>194</v>
      </c>
      <c r="N48" s="576">
        <v>45685</v>
      </c>
      <c r="O48" s="822" t="s">
        <v>180</v>
      </c>
      <c r="P48" s="564">
        <v>1332</v>
      </c>
      <c r="Q48" s="565">
        <v>45688</v>
      </c>
      <c r="R48" s="566"/>
      <c r="S48" s="567"/>
      <c r="T48" s="567"/>
      <c r="U48" s="807"/>
      <c r="V48" s="792"/>
      <c r="W48" s="798"/>
      <c r="X48" s="80">
        <v>40</v>
      </c>
    </row>
    <row r="49" spans="1:24" s="110" customFormat="1" x14ac:dyDescent="0.25">
      <c r="A49" s="820"/>
      <c r="B49" s="796"/>
      <c r="C49" s="796"/>
      <c r="D49" s="796"/>
      <c r="E49" s="796"/>
      <c r="F49" s="802"/>
      <c r="G49" s="805"/>
      <c r="H49" s="808"/>
      <c r="I49" s="811"/>
      <c r="J49" s="814"/>
      <c r="K49" s="817"/>
      <c r="L49" s="796"/>
      <c r="M49" s="796"/>
      <c r="N49" s="577">
        <v>45714</v>
      </c>
      <c r="O49" s="823"/>
      <c r="P49" s="568">
        <v>1258</v>
      </c>
      <c r="Q49" s="569">
        <v>45716</v>
      </c>
      <c r="R49" s="570"/>
      <c r="S49" s="571"/>
      <c r="T49" s="571"/>
      <c r="U49" s="808"/>
      <c r="V49" s="793"/>
      <c r="W49" s="799"/>
      <c r="X49" s="110">
        <v>40</v>
      </c>
    </row>
    <row r="50" spans="1:24" s="110" customFormat="1" x14ac:dyDescent="0.25">
      <c r="A50" s="820"/>
      <c r="B50" s="796"/>
      <c r="C50" s="796"/>
      <c r="D50" s="796"/>
      <c r="E50" s="796"/>
      <c r="F50" s="802"/>
      <c r="G50" s="805"/>
      <c r="H50" s="808"/>
      <c r="I50" s="811"/>
      <c r="J50" s="814"/>
      <c r="K50" s="817"/>
      <c r="L50" s="796"/>
      <c r="M50" s="796"/>
      <c r="N50" s="577">
        <v>45743</v>
      </c>
      <c r="O50" s="823"/>
      <c r="P50" s="568">
        <v>1036</v>
      </c>
      <c r="Q50" s="569">
        <v>45749</v>
      </c>
      <c r="R50" s="570"/>
      <c r="S50" s="571"/>
      <c r="T50" s="571"/>
      <c r="U50" s="808"/>
      <c r="V50" s="793"/>
      <c r="W50" s="799"/>
      <c r="X50" s="110">
        <v>40</v>
      </c>
    </row>
    <row r="51" spans="1:24" s="110" customFormat="1" x14ac:dyDescent="0.25">
      <c r="A51" s="820"/>
      <c r="B51" s="796"/>
      <c r="C51" s="796"/>
      <c r="D51" s="796"/>
      <c r="E51" s="796"/>
      <c r="F51" s="802"/>
      <c r="G51" s="805"/>
      <c r="H51" s="808"/>
      <c r="I51" s="811"/>
      <c r="J51" s="814"/>
      <c r="K51" s="817"/>
      <c r="L51" s="796"/>
      <c r="M51" s="796"/>
      <c r="N51" s="577">
        <v>45777</v>
      </c>
      <c r="O51" s="823"/>
      <c r="P51" s="568">
        <v>777</v>
      </c>
      <c r="Q51" s="569">
        <v>45789</v>
      </c>
      <c r="R51" s="570"/>
      <c r="S51" s="571"/>
      <c r="T51" s="571"/>
      <c r="U51" s="808"/>
      <c r="V51" s="793"/>
      <c r="W51" s="799"/>
      <c r="X51" s="110">
        <v>40</v>
      </c>
    </row>
    <row r="52" spans="1:24" s="110" customFormat="1" x14ac:dyDescent="0.25">
      <c r="A52" s="820"/>
      <c r="B52" s="796"/>
      <c r="C52" s="796"/>
      <c r="D52" s="796"/>
      <c r="E52" s="796"/>
      <c r="F52" s="802"/>
      <c r="G52" s="805"/>
      <c r="H52" s="808"/>
      <c r="I52" s="811"/>
      <c r="J52" s="814"/>
      <c r="K52" s="817"/>
      <c r="L52" s="796"/>
      <c r="M52" s="796"/>
      <c r="N52" s="577">
        <v>45807</v>
      </c>
      <c r="O52" s="823"/>
      <c r="P52" s="568">
        <v>1295</v>
      </c>
      <c r="Q52" s="569">
        <v>45814</v>
      </c>
      <c r="R52" s="570"/>
      <c r="S52" s="571"/>
      <c r="T52" s="571"/>
      <c r="U52" s="808"/>
      <c r="V52" s="793"/>
      <c r="W52" s="799"/>
      <c r="X52" s="110">
        <v>40</v>
      </c>
    </row>
    <row r="53" spans="1:24" s="110" customFormat="1" x14ac:dyDescent="0.25">
      <c r="A53" s="820"/>
      <c r="B53" s="796"/>
      <c r="C53" s="796"/>
      <c r="D53" s="796"/>
      <c r="E53" s="796"/>
      <c r="F53" s="802"/>
      <c r="G53" s="805"/>
      <c r="H53" s="808"/>
      <c r="I53" s="811"/>
      <c r="J53" s="814"/>
      <c r="K53" s="817"/>
      <c r="L53" s="796"/>
      <c r="M53" s="796"/>
      <c r="N53" s="577">
        <v>45838</v>
      </c>
      <c r="O53" s="823"/>
      <c r="P53" s="568">
        <v>1110</v>
      </c>
      <c r="Q53" s="569">
        <v>45840</v>
      </c>
      <c r="R53" s="570"/>
      <c r="S53" s="571"/>
      <c r="T53" s="571"/>
      <c r="U53" s="808"/>
      <c r="V53" s="793"/>
      <c r="W53" s="799"/>
      <c r="X53" s="110">
        <v>40</v>
      </c>
    </row>
    <row r="54" spans="1:24" s="110" customFormat="1" x14ac:dyDescent="0.25">
      <c r="A54" s="821"/>
      <c r="B54" s="797"/>
      <c r="C54" s="797"/>
      <c r="D54" s="797"/>
      <c r="E54" s="797"/>
      <c r="F54" s="803"/>
      <c r="G54" s="806"/>
      <c r="H54" s="809"/>
      <c r="I54" s="812"/>
      <c r="J54" s="815"/>
      <c r="K54" s="818"/>
      <c r="L54" s="797"/>
      <c r="M54" s="797"/>
      <c r="N54" s="578">
        <v>45866</v>
      </c>
      <c r="O54" s="824"/>
      <c r="P54" s="682">
        <v>1081.3499999999999</v>
      </c>
      <c r="Q54" s="574">
        <v>45873</v>
      </c>
      <c r="R54" s="575"/>
      <c r="S54" s="573"/>
      <c r="T54" s="573"/>
      <c r="U54" s="809"/>
      <c r="V54" s="794"/>
      <c r="W54" s="800"/>
      <c r="X54" s="110">
        <v>40</v>
      </c>
    </row>
    <row r="55" spans="1:24" s="80" customFormat="1" ht="108" customHeight="1" x14ac:dyDescent="0.25">
      <c r="A55" s="135">
        <v>8</v>
      </c>
      <c r="B55" s="134" t="s">
        <v>56</v>
      </c>
      <c r="C55" s="134" t="s">
        <v>147</v>
      </c>
      <c r="D55" s="134" t="s">
        <v>153</v>
      </c>
      <c r="E55" s="134" t="s">
        <v>198</v>
      </c>
      <c r="F55" s="324">
        <v>45653</v>
      </c>
      <c r="G55" s="140" t="s">
        <v>281</v>
      </c>
      <c r="H55" s="136">
        <v>54000</v>
      </c>
      <c r="I55" s="141">
        <f>IF(X55 = 41, H55 + SUM(S55:S55) - SUM(T55:T55) - SUM(P55:P55) - V55,0)</f>
        <v>0</v>
      </c>
      <c r="J55" s="142">
        <v>2353017179</v>
      </c>
      <c r="K55" s="133" t="s">
        <v>181</v>
      </c>
      <c r="L55" s="134" t="s">
        <v>147</v>
      </c>
      <c r="M55" s="134" t="s">
        <v>194</v>
      </c>
      <c r="N55" s="132">
        <v>45688</v>
      </c>
      <c r="O55" s="139" t="s">
        <v>180</v>
      </c>
      <c r="P55" s="185">
        <v>6600</v>
      </c>
      <c r="Q55" s="129">
        <v>45695</v>
      </c>
      <c r="R55" s="130"/>
      <c r="S55" s="131"/>
      <c r="T55" s="131"/>
      <c r="U55" s="136" t="s">
        <v>241</v>
      </c>
      <c r="V55" s="137">
        <v>47400</v>
      </c>
      <c r="W55" s="138"/>
      <c r="X55" s="80">
        <v>41</v>
      </c>
    </row>
    <row r="56" spans="1:24" s="80" customFormat="1" ht="54" customHeight="1" x14ac:dyDescent="0.25">
      <c r="A56" s="1252">
        <v>9</v>
      </c>
      <c r="B56" s="926" t="s">
        <v>56</v>
      </c>
      <c r="C56" s="926" t="s">
        <v>147</v>
      </c>
      <c r="D56" s="926" t="s">
        <v>153</v>
      </c>
      <c r="E56" s="926" t="s">
        <v>199</v>
      </c>
      <c r="F56" s="1161">
        <v>45656</v>
      </c>
      <c r="G56" s="1163" t="s">
        <v>182</v>
      </c>
      <c r="H56" s="902">
        <v>3600</v>
      </c>
      <c r="I56" s="1165">
        <f>IF(X56 = 42, H56 + SUM(S56:S57) - SUM(T56:T57) - SUM(P56:P57) - V56,0)</f>
        <v>1200</v>
      </c>
      <c r="J56" s="1167">
        <v>2369000660</v>
      </c>
      <c r="K56" s="1169" t="s">
        <v>183</v>
      </c>
      <c r="L56" s="926" t="s">
        <v>147</v>
      </c>
      <c r="M56" s="926" t="s">
        <v>194</v>
      </c>
      <c r="N56" s="459">
        <v>45747</v>
      </c>
      <c r="O56" s="900" t="s">
        <v>180</v>
      </c>
      <c r="P56" s="452">
        <v>1200</v>
      </c>
      <c r="Q56" s="453">
        <v>45749</v>
      </c>
      <c r="R56" s="454"/>
      <c r="S56" s="455"/>
      <c r="T56" s="455"/>
      <c r="U56" s="902"/>
      <c r="V56" s="922"/>
      <c r="W56" s="924"/>
      <c r="X56" s="80">
        <v>42</v>
      </c>
    </row>
    <row r="57" spans="1:24" s="110" customFormat="1" x14ac:dyDescent="0.25">
      <c r="A57" s="1253"/>
      <c r="B57" s="927"/>
      <c r="C57" s="927"/>
      <c r="D57" s="927"/>
      <c r="E57" s="927"/>
      <c r="F57" s="1162"/>
      <c r="G57" s="1164"/>
      <c r="H57" s="903"/>
      <c r="I57" s="1166"/>
      <c r="J57" s="1168"/>
      <c r="K57" s="1170"/>
      <c r="L57" s="927"/>
      <c r="M57" s="927"/>
      <c r="N57" s="460">
        <v>45838</v>
      </c>
      <c r="O57" s="901"/>
      <c r="P57" s="556">
        <v>1200</v>
      </c>
      <c r="Q57" s="457">
        <v>45839</v>
      </c>
      <c r="R57" s="458"/>
      <c r="S57" s="456"/>
      <c r="T57" s="456"/>
      <c r="U57" s="903"/>
      <c r="V57" s="923"/>
      <c r="W57" s="925"/>
      <c r="X57" s="110">
        <v>42</v>
      </c>
    </row>
    <row r="58" spans="1:24" s="80" customFormat="1" ht="36" customHeight="1" x14ac:dyDescent="0.25">
      <c r="A58" s="1189">
        <v>10</v>
      </c>
      <c r="B58" s="919" t="s">
        <v>56</v>
      </c>
      <c r="C58" s="919" t="s">
        <v>147</v>
      </c>
      <c r="D58" s="919" t="s">
        <v>153</v>
      </c>
      <c r="E58" s="919" t="s">
        <v>187</v>
      </c>
      <c r="F58" s="1200">
        <v>45653</v>
      </c>
      <c r="G58" s="1236" t="s">
        <v>184</v>
      </c>
      <c r="H58" s="1054">
        <v>4550</v>
      </c>
      <c r="I58" s="1239">
        <f>IF(X58 = 43, H58 + SUM(S58:S64) - SUM(T58:T64) - SUM(P58:P64) - V58,0)</f>
        <v>1754.67</v>
      </c>
      <c r="J58" s="1242">
        <v>7707049388</v>
      </c>
      <c r="K58" s="1245" t="s">
        <v>185</v>
      </c>
      <c r="L58" s="919" t="s">
        <v>186</v>
      </c>
      <c r="M58" s="919" t="s">
        <v>194</v>
      </c>
      <c r="N58" s="545">
        <v>45688</v>
      </c>
      <c r="O58" s="1051" t="s">
        <v>180</v>
      </c>
      <c r="P58" s="534">
        <v>396.05</v>
      </c>
      <c r="Q58" s="535">
        <v>45695</v>
      </c>
      <c r="R58" s="536"/>
      <c r="S58" s="537"/>
      <c r="T58" s="537"/>
      <c r="U58" s="1054"/>
      <c r="V58" s="1057"/>
      <c r="W58" s="916"/>
      <c r="X58" s="80">
        <v>43</v>
      </c>
    </row>
    <row r="59" spans="1:24" s="110" customFormat="1" x14ac:dyDescent="0.25">
      <c r="A59" s="1190"/>
      <c r="B59" s="920"/>
      <c r="C59" s="920"/>
      <c r="D59" s="920"/>
      <c r="E59" s="920"/>
      <c r="F59" s="1201"/>
      <c r="G59" s="1237"/>
      <c r="H59" s="1055"/>
      <c r="I59" s="1240"/>
      <c r="J59" s="1243"/>
      <c r="K59" s="1246"/>
      <c r="L59" s="920"/>
      <c r="M59" s="920"/>
      <c r="N59" s="546">
        <v>45716</v>
      </c>
      <c r="O59" s="1052"/>
      <c r="P59" s="538">
        <v>390</v>
      </c>
      <c r="Q59" s="539">
        <v>45727</v>
      </c>
      <c r="R59" s="540"/>
      <c r="S59" s="541"/>
      <c r="T59" s="541"/>
      <c r="U59" s="1055"/>
      <c r="V59" s="1058"/>
      <c r="W59" s="917"/>
      <c r="X59" s="110">
        <v>43</v>
      </c>
    </row>
    <row r="60" spans="1:24" s="110" customFormat="1" x14ac:dyDescent="0.25">
      <c r="A60" s="1190"/>
      <c r="B60" s="920"/>
      <c r="C60" s="920"/>
      <c r="D60" s="920"/>
      <c r="E60" s="920"/>
      <c r="F60" s="1201"/>
      <c r="G60" s="1237"/>
      <c r="H60" s="1055"/>
      <c r="I60" s="1240"/>
      <c r="J60" s="1243"/>
      <c r="K60" s="1246"/>
      <c r="L60" s="920"/>
      <c r="M60" s="920"/>
      <c r="N60" s="546">
        <v>45747</v>
      </c>
      <c r="O60" s="1052"/>
      <c r="P60" s="538">
        <v>396.48</v>
      </c>
      <c r="Q60" s="539">
        <v>45756</v>
      </c>
      <c r="R60" s="540"/>
      <c r="S60" s="541"/>
      <c r="T60" s="541"/>
      <c r="U60" s="1055"/>
      <c r="V60" s="1058"/>
      <c r="W60" s="917"/>
      <c r="X60" s="110">
        <v>43</v>
      </c>
    </row>
    <row r="61" spans="1:24" s="110" customFormat="1" x14ac:dyDescent="0.25">
      <c r="A61" s="1190"/>
      <c r="B61" s="920"/>
      <c r="C61" s="920"/>
      <c r="D61" s="920"/>
      <c r="E61" s="920"/>
      <c r="F61" s="1201"/>
      <c r="G61" s="1237"/>
      <c r="H61" s="1055"/>
      <c r="I61" s="1240"/>
      <c r="J61" s="1243"/>
      <c r="K61" s="1246"/>
      <c r="L61" s="920"/>
      <c r="M61" s="920"/>
      <c r="N61" s="546">
        <v>45777</v>
      </c>
      <c r="O61" s="1052"/>
      <c r="P61" s="538">
        <v>403.2</v>
      </c>
      <c r="Q61" s="539">
        <v>45789</v>
      </c>
      <c r="R61" s="540"/>
      <c r="S61" s="541"/>
      <c r="T61" s="541"/>
      <c r="U61" s="1055"/>
      <c r="V61" s="1058"/>
      <c r="W61" s="917"/>
      <c r="X61" s="110">
        <v>43</v>
      </c>
    </row>
    <row r="62" spans="1:24" s="110" customFormat="1" x14ac:dyDescent="0.25">
      <c r="A62" s="1190"/>
      <c r="B62" s="920"/>
      <c r="C62" s="920"/>
      <c r="D62" s="920"/>
      <c r="E62" s="920"/>
      <c r="F62" s="1201"/>
      <c r="G62" s="1237"/>
      <c r="H62" s="1055"/>
      <c r="I62" s="1240"/>
      <c r="J62" s="1243"/>
      <c r="K62" s="1246"/>
      <c r="L62" s="920"/>
      <c r="M62" s="920"/>
      <c r="N62" s="546">
        <v>45808</v>
      </c>
      <c r="O62" s="1052"/>
      <c r="P62" s="538">
        <v>403.2</v>
      </c>
      <c r="Q62" s="539">
        <v>45814</v>
      </c>
      <c r="R62" s="540"/>
      <c r="S62" s="541"/>
      <c r="T62" s="541"/>
      <c r="U62" s="1055"/>
      <c r="V62" s="1058"/>
      <c r="W62" s="917"/>
      <c r="X62" s="110">
        <v>43</v>
      </c>
    </row>
    <row r="63" spans="1:24" s="110" customFormat="1" x14ac:dyDescent="0.25">
      <c r="A63" s="1190"/>
      <c r="B63" s="920"/>
      <c r="C63" s="920"/>
      <c r="D63" s="920"/>
      <c r="E63" s="920"/>
      <c r="F63" s="1201"/>
      <c r="G63" s="1237"/>
      <c r="H63" s="1055"/>
      <c r="I63" s="1240"/>
      <c r="J63" s="1243"/>
      <c r="K63" s="1246"/>
      <c r="L63" s="920"/>
      <c r="M63" s="920"/>
      <c r="N63" s="546">
        <v>45838</v>
      </c>
      <c r="O63" s="1052"/>
      <c r="P63" s="538">
        <v>403.2</v>
      </c>
      <c r="Q63" s="539">
        <v>45847</v>
      </c>
      <c r="R63" s="540"/>
      <c r="S63" s="541"/>
      <c r="T63" s="541"/>
      <c r="U63" s="1055"/>
      <c r="V63" s="1058"/>
      <c r="W63" s="917"/>
      <c r="X63" s="110">
        <v>43</v>
      </c>
    </row>
    <row r="64" spans="1:24" s="110" customFormat="1" x14ac:dyDescent="0.25">
      <c r="A64" s="1191"/>
      <c r="B64" s="921"/>
      <c r="C64" s="921"/>
      <c r="D64" s="921"/>
      <c r="E64" s="921"/>
      <c r="F64" s="1202"/>
      <c r="G64" s="1238"/>
      <c r="H64" s="1056"/>
      <c r="I64" s="1241"/>
      <c r="J64" s="1244"/>
      <c r="K64" s="1247"/>
      <c r="L64" s="921"/>
      <c r="M64" s="921"/>
      <c r="N64" s="547">
        <v>45869</v>
      </c>
      <c r="O64" s="1053"/>
      <c r="P64" s="561">
        <v>403.2</v>
      </c>
      <c r="Q64" s="543">
        <v>45877</v>
      </c>
      <c r="R64" s="544"/>
      <c r="S64" s="542"/>
      <c r="T64" s="542"/>
      <c r="U64" s="1056"/>
      <c r="V64" s="1059"/>
      <c r="W64" s="918"/>
      <c r="X64" s="110">
        <v>43</v>
      </c>
    </row>
    <row r="65" spans="1:24" s="80" customFormat="1" ht="42" customHeight="1" x14ac:dyDescent="0.25">
      <c r="A65" s="1192">
        <v>11</v>
      </c>
      <c r="B65" s="1125" t="s">
        <v>56</v>
      </c>
      <c r="C65" s="1125" t="s">
        <v>147</v>
      </c>
      <c r="D65" s="1125" t="s">
        <v>153</v>
      </c>
      <c r="E65" s="1125" t="s">
        <v>222</v>
      </c>
      <c r="F65" s="1131">
        <v>45653</v>
      </c>
      <c r="G65" s="1133" t="s">
        <v>189</v>
      </c>
      <c r="H65" s="1135">
        <v>13372.8</v>
      </c>
      <c r="I65" s="1137">
        <f>IF(X65 = 46, H65 + SUM(S65:S66) - SUM(T65:T66) - SUM(P65:P66) - V65,0)</f>
        <v>6686.4</v>
      </c>
      <c r="J65" s="1139">
        <v>2353018870</v>
      </c>
      <c r="K65" s="1141" t="s">
        <v>190</v>
      </c>
      <c r="L65" s="1125" t="s">
        <v>147</v>
      </c>
      <c r="M65" s="1125" t="s">
        <v>194</v>
      </c>
      <c r="N65" s="445">
        <v>45743</v>
      </c>
      <c r="O65" s="1047" t="s">
        <v>180</v>
      </c>
      <c r="P65" s="437">
        <v>3343.2</v>
      </c>
      <c r="Q65" s="438">
        <v>45749</v>
      </c>
      <c r="R65" s="439"/>
      <c r="S65" s="440"/>
      <c r="T65" s="440"/>
      <c r="U65" s="1049"/>
      <c r="V65" s="1127"/>
      <c r="W65" s="1129"/>
      <c r="X65" s="80">
        <v>46</v>
      </c>
    </row>
    <row r="66" spans="1:24" s="110" customFormat="1" x14ac:dyDescent="0.25">
      <c r="A66" s="1193"/>
      <c r="B66" s="1126"/>
      <c r="C66" s="1126"/>
      <c r="D66" s="1126"/>
      <c r="E66" s="1126"/>
      <c r="F66" s="1132"/>
      <c r="G66" s="1134"/>
      <c r="H66" s="1136"/>
      <c r="I66" s="1138"/>
      <c r="J66" s="1140"/>
      <c r="K66" s="1142"/>
      <c r="L66" s="1126"/>
      <c r="M66" s="1126"/>
      <c r="N66" s="446">
        <v>45835</v>
      </c>
      <c r="O66" s="1048"/>
      <c r="P66" s="600">
        <v>3343.2</v>
      </c>
      <c r="Q66" s="442">
        <v>45835</v>
      </c>
      <c r="R66" s="443"/>
      <c r="S66" s="441"/>
      <c r="T66" s="441"/>
      <c r="U66" s="1050"/>
      <c r="V66" s="1128"/>
      <c r="W66" s="1130"/>
      <c r="X66" s="110">
        <v>46</v>
      </c>
    </row>
    <row r="67" spans="1:24" s="80" customFormat="1" ht="56.25" x14ac:dyDescent="0.25">
      <c r="A67" s="112">
        <v>12</v>
      </c>
      <c r="B67" s="109" t="s">
        <v>56</v>
      </c>
      <c r="C67" s="113" t="s">
        <v>147</v>
      </c>
      <c r="D67" s="109" t="s">
        <v>153</v>
      </c>
      <c r="E67" s="113" t="s">
        <v>36</v>
      </c>
      <c r="F67" s="325">
        <v>45656</v>
      </c>
      <c r="G67" s="114" t="s">
        <v>192</v>
      </c>
      <c r="H67" s="115">
        <v>15000</v>
      </c>
      <c r="I67" s="116">
        <f>IF(X67 = 47, H67 + SUM(S67:S67) - SUM(T67:T67) - SUM(P67:P67) - V67,0)</f>
        <v>12200</v>
      </c>
      <c r="J67" s="117">
        <v>2369007754</v>
      </c>
      <c r="K67" s="118" t="s">
        <v>191</v>
      </c>
      <c r="L67" s="113" t="s">
        <v>147</v>
      </c>
      <c r="M67" s="113" t="s">
        <v>194</v>
      </c>
      <c r="N67" s="121">
        <v>45833</v>
      </c>
      <c r="O67" s="111" t="s">
        <v>180</v>
      </c>
      <c r="P67" s="599">
        <v>2800</v>
      </c>
      <c r="Q67" s="114">
        <v>45839</v>
      </c>
      <c r="R67" s="113"/>
      <c r="S67" s="115"/>
      <c r="T67" s="115"/>
      <c r="U67" s="115"/>
      <c r="V67" s="119"/>
      <c r="W67" s="120"/>
      <c r="X67" s="80">
        <v>47</v>
      </c>
    </row>
    <row r="68" spans="1:24" s="80" customFormat="1" ht="54" customHeight="1" x14ac:dyDescent="0.25">
      <c r="A68" s="870">
        <v>13</v>
      </c>
      <c r="B68" s="894" t="s">
        <v>56</v>
      </c>
      <c r="C68" s="894" t="s">
        <v>147</v>
      </c>
      <c r="D68" s="894" t="s">
        <v>153</v>
      </c>
      <c r="E68" s="894" t="s">
        <v>200</v>
      </c>
      <c r="F68" s="1080">
        <v>45656</v>
      </c>
      <c r="G68" s="1083" t="s">
        <v>188</v>
      </c>
      <c r="H68" s="1086">
        <v>190094.52</v>
      </c>
      <c r="I68" s="1089">
        <f>IF(X68 = 80, H68 + SUM(S68:S70) - SUM(T68:T70) - SUM(P68:P70) - V68,0)</f>
        <v>-1.4551915228366852E-11</v>
      </c>
      <c r="J68" s="1092">
        <v>7743529527</v>
      </c>
      <c r="K68" s="1095" t="s">
        <v>173</v>
      </c>
      <c r="L68" s="894" t="s">
        <v>147</v>
      </c>
      <c r="M68" s="894" t="s">
        <v>203</v>
      </c>
      <c r="N68" s="236">
        <v>45688</v>
      </c>
      <c r="O68" s="913" t="s">
        <v>208</v>
      </c>
      <c r="P68" s="225">
        <v>32205</v>
      </c>
      <c r="Q68" s="226">
        <v>45701</v>
      </c>
      <c r="R68" s="227"/>
      <c r="S68" s="228"/>
      <c r="T68" s="228"/>
      <c r="U68" s="873" t="s">
        <v>280</v>
      </c>
      <c r="V68" s="1014">
        <v>76839.520000000004</v>
      </c>
      <c r="W68" s="1098"/>
      <c r="X68" s="80">
        <v>80</v>
      </c>
    </row>
    <row r="69" spans="1:24" s="110" customFormat="1" x14ac:dyDescent="0.25">
      <c r="A69" s="871"/>
      <c r="B69" s="895"/>
      <c r="C69" s="895"/>
      <c r="D69" s="895"/>
      <c r="E69" s="895"/>
      <c r="F69" s="1081"/>
      <c r="G69" s="1084"/>
      <c r="H69" s="1087"/>
      <c r="I69" s="1090"/>
      <c r="J69" s="1093"/>
      <c r="K69" s="1096"/>
      <c r="L69" s="895"/>
      <c r="M69" s="895"/>
      <c r="N69" s="237">
        <v>45716</v>
      </c>
      <c r="O69" s="914"/>
      <c r="P69" s="229">
        <v>47216</v>
      </c>
      <c r="Q69" s="230">
        <v>45723</v>
      </c>
      <c r="R69" s="231"/>
      <c r="S69" s="232"/>
      <c r="T69" s="232"/>
      <c r="U69" s="874"/>
      <c r="V69" s="1015"/>
      <c r="W69" s="1099"/>
      <c r="X69" s="110">
        <v>80</v>
      </c>
    </row>
    <row r="70" spans="1:24" s="110" customFormat="1" x14ac:dyDescent="0.25">
      <c r="A70" s="872"/>
      <c r="B70" s="896"/>
      <c r="C70" s="896"/>
      <c r="D70" s="896"/>
      <c r="E70" s="896"/>
      <c r="F70" s="1082"/>
      <c r="G70" s="1085"/>
      <c r="H70" s="1088"/>
      <c r="I70" s="1091"/>
      <c r="J70" s="1094"/>
      <c r="K70" s="1097"/>
      <c r="L70" s="896"/>
      <c r="M70" s="896"/>
      <c r="N70" s="238">
        <v>45747</v>
      </c>
      <c r="O70" s="915"/>
      <c r="P70" s="304">
        <v>33834</v>
      </c>
      <c r="Q70" s="234">
        <v>45756</v>
      </c>
      <c r="R70" s="235"/>
      <c r="S70" s="233"/>
      <c r="T70" s="233"/>
      <c r="U70" s="875"/>
      <c r="V70" s="1016"/>
      <c r="W70" s="1100"/>
      <c r="X70" s="110">
        <v>80</v>
      </c>
    </row>
    <row r="71" spans="1:24" s="80" customFormat="1" ht="54" customHeight="1" x14ac:dyDescent="0.25">
      <c r="A71" s="819">
        <v>14</v>
      </c>
      <c r="B71" s="795" t="s">
        <v>56</v>
      </c>
      <c r="C71" s="795" t="s">
        <v>147</v>
      </c>
      <c r="D71" s="795" t="s">
        <v>153</v>
      </c>
      <c r="E71" s="795" t="s">
        <v>129</v>
      </c>
      <c r="F71" s="801">
        <v>45672</v>
      </c>
      <c r="G71" s="804" t="s">
        <v>201</v>
      </c>
      <c r="H71" s="807">
        <v>18000</v>
      </c>
      <c r="I71" s="810">
        <f>IF(X71 = 81, H71 + SUM(S71:S77) - SUM(T71:T77) - SUM(P71:P77) - V71,0)</f>
        <v>7500</v>
      </c>
      <c r="J71" s="813">
        <v>231107998282</v>
      </c>
      <c r="K71" s="816" t="s">
        <v>202</v>
      </c>
      <c r="L71" s="795" t="s">
        <v>147</v>
      </c>
      <c r="M71" s="795" t="s">
        <v>194</v>
      </c>
      <c r="N71" s="576">
        <v>45688</v>
      </c>
      <c r="O71" s="822" t="s">
        <v>180</v>
      </c>
      <c r="P71" s="564">
        <v>1500</v>
      </c>
      <c r="Q71" s="565">
        <v>45695</v>
      </c>
      <c r="R71" s="566"/>
      <c r="S71" s="567"/>
      <c r="T71" s="567"/>
      <c r="U71" s="807"/>
      <c r="V71" s="792"/>
      <c r="W71" s="798"/>
      <c r="X71" s="80">
        <v>81</v>
      </c>
    </row>
    <row r="72" spans="1:24" s="110" customFormat="1" x14ac:dyDescent="0.25">
      <c r="A72" s="820"/>
      <c r="B72" s="796"/>
      <c r="C72" s="796"/>
      <c r="D72" s="796"/>
      <c r="E72" s="796"/>
      <c r="F72" s="802"/>
      <c r="G72" s="805"/>
      <c r="H72" s="808"/>
      <c r="I72" s="811"/>
      <c r="J72" s="814"/>
      <c r="K72" s="817"/>
      <c r="L72" s="796"/>
      <c r="M72" s="796"/>
      <c r="N72" s="577">
        <v>45733</v>
      </c>
      <c r="O72" s="823"/>
      <c r="P72" s="568">
        <v>1500</v>
      </c>
      <c r="Q72" s="569">
        <v>45741</v>
      </c>
      <c r="R72" s="570"/>
      <c r="S72" s="571"/>
      <c r="T72" s="571"/>
      <c r="U72" s="808"/>
      <c r="V72" s="793"/>
      <c r="W72" s="799"/>
      <c r="X72" s="110">
        <v>81</v>
      </c>
    </row>
    <row r="73" spans="1:24" s="110" customFormat="1" x14ac:dyDescent="0.25">
      <c r="A73" s="820"/>
      <c r="B73" s="796"/>
      <c r="C73" s="796"/>
      <c r="D73" s="796"/>
      <c r="E73" s="796"/>
      <c r="F73" s="802"/>
      <c r="G73" s="805"/>
      <c r="H73" s="808"/>
      <c r="I73" s="811"/>
      <c r="J73" s="814"/>
      <c r="K73" s="817"/>
      <c r="L73" s="796"/>
      <c r="M73" s="796"/>
      <c r="N73" s="577">
        <v>45747</v>
      </c>
      <c r="O73" s="823"/>
      <c r="P73" s="568">
        <v>1500</v>
      </c>
      <c r="Q73" s="569">
        <v>45749</v>
      </c>
      <c r="R73" s="570"/>
      <c r="S73" s="571"/>
      <c r="T73" s="571"/>
      <c r="U73" s="808"/>
      <c r="V73" s="793"/>
      <c r="W73" s="799"/>
      <c r="X73" s="110">
        <v>81</v>
      </c>
    </row>
    <row r="74" spans="1:24" s="110" customFormat="1" x14ac:dyDescent="0.25">
      <c r="A74" s="820"/>
      <c r="B74" s="796"/>
      <c r="C74" s="796"/>
      <c r="D74" s="796"/>
      <c r="E74" s="796"/>
      <c r="F74" s="802"/>
      <c r="G74" s="805"/>
      <c r="H74" s="808"/>
      <c r="I74" s="811"/>
      <c r="J74" s="814"/>
      <c r="K74" s="817"/>
      <c r="L74" s="796"/>
      <c r="M74" s="796"/>
      <c r="N74" s="577">
        <v>45777</v>
      </c>
      <c r="O74" s="823"/>
      <c r="P74" s="572">
        <v>1500</v>
      </c>
      <c r="Q74" s="569">
        <v>45777</v>
      </c>
      <c r="R74" s="570"/>
      <c r="S74" s="571"/>
      <c r="T74" s="571"/>
      <c r="U74" s="808"/>
      <c r="V74" s="793"/>
      <c r="W74" s="799"/>
      <c r="X74" s="110">
        <v>81</v>
      </c>
    </row>
    <row r="75" spans="1:24" s="110" customFormat="1" x14ac:dyDescent="0.25">
      <c r="A75" s="820"/>
      <c r="B75" s="796"/>
      <c r="C75" s="796"/>
      <c r="D75" s="796"/>
      <c r="E75" s="796"/>
      <c r="F75" s="802"/>
      <c r="G75" s="805"/>
      <c r="H75" s="808"/>
      <c r="I75" s="811"/>
      <c r="J75" s="814"/>
      <c r="K75" s="817"/>
      <c r="L75" s="796"/>
      <c r="M75" s="796"/>
      <c r="N75" s="577">
        <v>45806</v>
      </c>
      <c r="O75" s="823"/>
      <c r="P75" s="568">
        <v>1500</v>
      </c>
      <c r="Q75" s="569">
        <v>45807</v>
      </c>
      <c r="R75" s="570"/>
      <c r="S75" s="571"/>
      <c r="T75" s="571"/>
      <c r="U75" s="808"/>
      <c r="V75" s="793"/>
      <c r="W75" s="799"/>
      <c r="X75" s="110">
        <v>81</v>
      </c>
    </row>
    <row r="76" spans="1:24" s="110" customFormat="1" x14ac:dyDescent="0.25">
      <c r="A76" s="820"/>
      <c r="B76" s="796"/>
      <c r="C76" s="796"/>
      <c r="D76" s="796"/>
      <c r="E76" s="796"/>
      <c r="F76" s="802"/>
      <c r="G76" s="805"/>
      <c r="H76" s="808"/>
      <c r="I76" s="811"/>
      <c r="J76" s="814"/>
      <c r="K76" s="817"/>
      <c r="L76" s="796"/>
      <c r="M76" s="796"/>
      <c r="N76" s="577">
        <v>45838</v>
      </c>
      <c r="O76" s="823"/>
      <c r="P76" s="568">
        <v>1500</v>
      </c>
      <c r="Q76" s="569">
        <v>45839</v>
      </c>
      <c r="R76" s="570"/>
      <c r="S76" s="571"/>
      <c r="T76" s="571"/>
      <c r="U76" s="808"/>
      <c r="V76" s="793"/>
      <c r="W76" s="799"/>
      <c r="X76" s="110">
        <v>81</v>
      </c>
    </row>
    <row r="77" spans="1:24" s="110" customFormat="1" x14ac:dyDescent="0.25">
      <c r="A77" s="821"/>
      <c r="B77" s="797"/>
      <c r="C77" s="797"/>
      <c r="D77" s="797"/>
      <c r="E77" s="797"/>
      <c r="F77" s="803"/>
      <c r="G77" s="806"/>
      <c r="H77" s="809"/>
      <c r="I77" s="812"/>
      <c r="J77" s="815"/>
      <c r="K77" s="818"/>
      <c r="L77" s="797"/>
      <c r="M77" s="797"/>
      <c r="N77" s="578">
        <v>45869</v>
      </c>
      <c r="O77" s="824"/>
      <c r="P77" s="573">
        <v>1500</v>
      </c>
      <c r="Q77" s="574"/>
      <c r="R77" s="575"/>
      <c r="S77" s="573"/>
      <c r="T77" s="573"/>
      <c r="U77" s="809"/>
      <c r="V77" s="794"/>
      <c r="W77" s="800"/>
      <c r="X77" s="110">
        <v>81</v>
      </c>
    </row>
    <row r="78" spans="1:24" s="80" customFormat="1" ht="36" customHeight="1" x14ac:dyDescent="0.25">
      <c r="A78" s="1227">
        <v>15</v>
      </c>
      <c r="B78" s="931" t="s">
        <v>56</v>
      </c>
      <c r="C78" s="931" t="s">
        <v>147</v>
      </c>
      <c r="D78" s="931" t="s">
        <v>153</v>
      </c>
      <c r="E78" s="931" t="s">
        <v>204</v>
      </c>
      <c r="F78" s="1203">
        <v>45672</v>
      </c>
      <c r="G78" s="1206" t="s">
        <v>205</v>
      </c>
      <c r="H78" s="1209">
        <v>2340</v>
      </c>
      <c r="I78" s="1212">
        <f>IF(X78 = 82, H78 + SUM(S78:S84) - SUM(T78:T84) - SUM(P78:P84) - V78,0)</f>
        <v>1857</v>
      </c>
      <c r="J78" s="1215">
        <v>7703383783</v>
      </c>
      <c r="K78" s="1218" t="s">
        <v>206</v>
      </c>
      <c r="L78" s="931" t="s">
        <v>147</v>
      </c>
      <c r="M78" s="931" t="s">
        <v>194</v>
      </c>
      <c r="N78" s="654">
        <v>45688</v>
      </c>
      <c r="O78" s="1230" t="s">
        <v>209</v>
      </c>
      <c r="P78" s="643">
        <v>69</v>
      </c>
      <c r="Q78" s="644">
        <v>45706</v>
      </c>
      <c r="R78" s="645"/>
      <c r="S78" s="646"/>
      <c r="T78" s="646"/>
      <c r="U78" s="1209"/>
      <c r="V78" s="1233"/>
      <c r="W78" s="928"/>
      <c r="X78" s="80">
        <v>82</v>
      </c>
    </row>
    <row r="79" spans="1:24" s="110" customFormat="1" x14ac:dyDescent="0.25">
      <c r="A79" s="1228"/>
      <c r="B79" s="932"/>
      <c r="C79" s="932"/>
      <c r="D79" s="932"/>
      <c r="E79" s="932"/>
      <c r="F79" s="1204"/>
      <c r="G79" s="1207"/>
      <c r="H79" s="1210"/>
      <c r="I79" s="1213"/>
      <c r="J79" s="1216"/>
      <c r="K79" s="1219"/>
      <c r="L79" s="932"/>
      <c r="M79" s="932"/>
      <c r="N79" s="655">
        <v>45716</v>
      </c>
      <c r="O79" s="1231"/>
      <c r="P79" s="647">
        <v>69</v>
      </c>
      <c r="Q79" s="648">
        <v>45733</v>
      </c>
      <c r="R79" s="649"/>
      <c r="S79" s="650"/>
      <c r="T79" s="650"/>
      <c r="U79" s="1210"/>
      <c r="V79" s="1234"/>
      <c r="W79" s="929"/>
      <c r="X79" s="110">
        <v>82</v>
      </c>
    </row>
    <row r="80" spans="1:24" s="110" customFormat="1" x14ac:dyDescent="0.25">
      <c r="A80" s="1228"/>
      <c r="B80" s="932"/>
      <c r="C80" s="932"/>
      <c r="D80" s="932"/>
      <c r="E80" s="932"/>
      <c r="F80" s="1204"/>
      <c r="G80" s="1207"/>
      <c r="H80" s="1210"/>
      <c r="I80" s="1213"/>
      <c r="J80" s="1216"/>
      <c r="K80" s="1219"/>
      <c r="L80" s="932"/>
      <c r="M80" s="932"/>
      <c r="N80" s="655">
        <v>45747</v>
      </c>
      <c r="O80" s="1231"/>
      <c r="P80" s="647">
        <v>69</v>
      </c>
      <c r="Q80" s="648">
        <v>45763</v>
      </c>
      <c r="R80" s="649"/>
      <c r="S80" s="650"/>
      <c r="T80" s="650"/>
      <c r="U80" s="1210"/>
      <c r="V80" s="1234"/>
      <c r="W80" s="929"/>
      <c r="X80" s="110">
        <v>82</v>
      </c>
    </row>
    <row r="81" spans="1:24" s="110" customFormat="1" x14ac:dyDescent="0.25">
      <c r="A81" s="1228"/>
      <c r="B81" s="932"/>
      <c r="C81" s="932"/>
      <c r="D81" s="932"/>
      <c r="E81" s="932"/>
      <c r="F81" s="1204"/>
      <c r="G81" s="1207"/>
      <c r="H81" s="1210"/>
      <c r="I81" s="1213"/>
      <c r="J81" s="1216"/>
      <c r="K81" s="1219"/>
      <c r="L81" s="932"/>
      <c r="M81" s="932"/>
      <c r="N81" s="655">
        <v>45777</v>
      </c>
      <c r="O81" s="1231"/>
      <c r="P81" s="647">
        <v>69</v>
      </c>
      <c r="Q81" s="648">
        <v>45798</v>
      </c>
      <c r="R81" s="649"/>
      <c r="S81" s="650"/>
      <c r="T81" s="650"/>
      <c r="U81" s="1210"/>
      <c r="V81" s="1234"/>
      <c r="W81" s="929"/>
      <c r="X81" s="110">
        <v>82</v>
      </c>
    </row>
    <row r="82" spans="1:24" s="110" customFormat="1" x14ac:dyDescent="0.25">
      <c r="A82" s="1228"/>
      <c r="B82" s="932"/>
      <c r="C82" s="932"/>
      <c r="D82" s="932"/>
      <c r="E82" s="932"/>
      <c r="F82" s="1204"/>
      <c r="G82" s="1207"/>
      <c r="H82" s="1210"/>
      <c r="I82" s="1213"/>
      <c r="J82" s="1216"/>
      <c r="K82" s="1219"/>
      <c r="L82" s="932"/>
      <c r="M82" s="932"/>
      <c r="N82" s="655">
        <v>45808</v>
      </c>
      <c r="O82" s="1231"/>
      <c r="P82" s="647">
        <v>69</v>
      </c>
      <c r="Q82" s="648">
        <v>45824</v>
      </c>
      <c r="R82" s="649"/>
      <c r="S82" s="650"/>
      <c r="T82" s="650"/>
      <c r="U82" s="1210"/>
      <c r="V82" s="1234"/>
      <c r="W82" s="929"/>
      <c r="X82" s="110">
        <v>82</v>
      </c>
    </row>
    <row r="83" spans="1:24" s="110" customFormat="1" x14ac:dyDescent="0.25">
      <c r="A83" s="1228"/>
      <c r="B83" s="932"/>
      <c r="C83" s="932"/>
      <c r="D83" s="932"/>
      <c r="E83" s="932"/>
      <c r="F83" s="1204"/>
      <c r="G83" s="1207"/>
      <c r="H83" s="1210"/>
      <c r="I83" s="1213"/>
      <c r="J83" s="1216"/>
      <c r="K83" s="1219"/>
      <c r="L83" s="932"/>
      <c r="M83" s="932"/>
      <c r="N83" s="655">
        <v>45838</v>
      </c>
      <c r="O83" s="1231"/>
      <c r="P83" s="647">
        <v>69</v>
      </c>
      <c r="Q83" s="648">
        <v>45853</v>
      </c>
      <c r="R83" s="649"/>
      <c r="S83" s="650"/>
      <c r="T83" s="650"/>
      <c r="U83" s="1210"/>
      <c r="V83" s="1234"/>
      <c r="W83" s="929"/>
      <c r="X83" s="110">
        <v>82</v>
      </c>
    </row>
    <row r="84" spans="1:24" s="110" customFormat="1" x14ac:dyDescent="0.25">
      <c r="A84" s="1229"/>
      <c r="B84" s="933"/>
      <c r="C84" s="933"/>
      <c r="D84" s="933"/>
      <c r="E84" s="933"/>
      <c r="F84" s="1205"/>
      <c r="G84" s="1208"/>
      <c r="H84" s="1211"/>
      <c r="I84" s="1214"/>
      <c r="J84" s="1217"/>
      <c r="K84" s="1220"/>
      <c r="L84" s="933"/>
      <c r="M84" s="933"/>
      <c r="N84" s="656">
        <v>45869</v>
      </c>
      <c r="O84" s="1232"/>
      <c r="P84" s="697">
        <v>69</v>
      </c>
      <c r="Q84" s="652">
        <v>45889</v>
      </c>
      <c r="R84" s="653"/>
      <c r="S84" s="651"/>
      <c r="T84" s="651"/>
      <c r="U84" s="1211"/>
      <c r="V84" s="1235"/>
      <c r="W84" s="930"/>
      <c r="X84" s="110">
        <v>82</v>
      </c>
    </row>
    <row r="85" spans="1:24" s="80" customFormat="1" ht="36" customHeight="1" x14ac:dyDescent="0.25">
      <c r="A85" s="891">
        <v>16</v>
      </c>
      <c r="B85" s="885" t="s">
        <v>56</v>
      </c>
      <c r="C85" s="885" t="s">
        <v>147</v>
      </c>
      <c r="D85" s="885" t="s">
        <v>153</v>
      </c>
      <c r="E85" s="885" t="s">
        <v>224</v>
      </c>
      <c r="F85" s="1068">
        <v>45653</v>
      </c>
      <c r="G85" s="1071" t="s">
        <v>225</v>
      </c>
      <c r="H85" s="907">
        <v>31680</v>
      </c>
      <c r="I85" s="1074">
        <f>IF(X85 = 85, H85 + SUM(S85:S87) - SUM(T85:T87) - SUM(P85:P87) - V85,0)</f>
        <v>0</v>
      </c>
      <c r="J85" s="1194">
        <v>235300582900</v>
      </c>
      <c r="K85" s="1077" t="s">
        <v>158</v>
      </c>
      <c r="L85" s="885" t="s">
        <v>147</v>
      </c>
      <c r="M85" s="885" t="s">
        <v>228</v>
      </c>
      <c r="N85" s="250">
        <v>45688</v>
      </c>
      <c r="O85" s="904" t="s">
        <v>180</v>
      </c>
      <c r="P85" s="239">
        <v>5112</v>
      </c>
      <c r="Q85" s="240">
        <v>45702</v>
      </c>
      <c r="R85" s="241"/>
      <c r="S85" s="242"/>
      <c r="T85" s="242"/>
      <c r="U85" s="907" t="s">
        <v>280</v>
      </c>
      <c r="V85" s="897">
        <v>16434</v>
      </c>
      <c r="W85" s="910"/>
      <c r="X85" s="80">
        <v>85</v>
      </c>
    </row>
    <row r="86" spans="1:24" s="110" customFormat="1" x14ac:dyDescent="0.25">
      <c r="A86" s="892"/>
      <c r="B86" s="886"/>
      <c r="C86" s="886"/>
      <c r="D86" s="886"/>
      <c r="E86" s="886"/>
      <c r="F86" s="1069"/>
      <c r="G86" s="1072"/>
      <c r="H86" s="908"/>
      <c r="I86" s="1075"/>
      <c r="J86" s="1195"/>
      <c r="K86" s="1078"/>
      <c r="L86" s="886"/>
      <c r="M86" s="886"/>
      <c r="N86" s="252">
        <v>45728</v>
      </c>
      <c r="O86" s="905"/>
      <c r="P86" s="243">
        <v>5256</v>
      </c>
      <c r="Q86" s="244">
        <v>45733</v>
      </c>
      <c r="R86" s="245"/>
      <c r="S86" s="246"/>
      <c r="T86" s="246"/>
      <c r="U86" s="908"/>
      <c r="V86" s="898"/>
      <c r="W86" s="911"/>
      <c r="X86" s="110">
        <v>85</v>
      </c>
    </row>
    <row r="87" spans="1:24" s="110" customFormat="1" x14ac:dyDescent="0.25">
      <c r="A87" s="893"/>
      <c r="B87" s="887"/>
      <c r="C87" s="887"/>
      <c r="D87" s="887"/>
      <c r="E87" s="887"/>
      <c r="F87" s="1070"/>
      <c r="G87" s="1073"/>
      <c r="H87" s="909"/>
      <c r="I87" s="1076"/>
      <c r="J87" s="1196"/>
      <c r="K87" s="1079"/>
      <c r="L87" s="887"/>
      <c r="M87" s="887"/>
      <c r="N87" s="251">
        <v>45756</v>
      </c>
      <c r="O87" s="906"/>
      <c r="P87" s="308">
        <v>4878</v>
      </c>
      <c r="Q87" s="248">
        <v>45763</v>
      </c>
      <c r="R87" s="249"/>
      <c r="S87" s="247"/>
      <c r="T87" s="247"/>
      <c r="U87" s="909"/>
      <c r="V87" s="899"/>
      <c r="W87" s="912"/>
      <c r="X87" s="110">
        <v>85</v>
      </c>
    </row>
    <row r="88" spans="1:24" s="80" customFormat="1" ht="36" customHeight="1" x14ac:dyDescent="0.25">
      <c r="A88" s="888">
        <v>17</v>
      </c>
      <c r="B88" s="876" t="s">
        <v>56</v>
      </c>
      <c r="C88" s="876" t="s">
        <v>147</v>
      </c>
      <c r="D88" s="876" t="s">
        <v>153</v>
      </c>
      <c r="E88" s="876" t="s">
        <v>226</v>
      </c>
      <c r="F88" s="976">
        <v>45653</v>
      </c>
      <c r="G88" s="979" t="s">
        <v>225</v>
      </c>
      <c r="H88" s="882">
        <v>109854</v>
      </c>
      <c r="I88" s="982">
        <f>IF(X88 = 86, H88 + SUM(S88:S90) - SUM(T88:T90) - SUM(P88:P90) - V88,0)</f>
        <v>3.637978807091713E-12</v>
      </c>
      <c r="J88" s="985">
        <v>235300582900</v>
      </c>
      <c r="K88" s="937" t="s">
        <v>158</v>
      </c>
      <c r="L88" s="876" t="s">
        <v>147</v>
      </c>
      <c r="M88" s="876" t="s">
        <v>229</v>
      </c>
      <c r="N88" s="154">
        <v>45688</v>
      </c>
      <c r="O88" s="879" t="s">
        <v>180</v>
      </c>
      <c r="P88" s="186">
        <v>87010</v>
      </c>
      <c r="Q88" s="156">
        <v>45702</v>
      </c>
      <c r="R88" s="157"/>
      <c r="S88" s="155"/>
      <c r="T88" s="155"/>
      <c r="U88" s="882" t="s">
        <v>260</v>
      </c>
      <c r="V88" s="940">
        <v>14085.8</v>
      </c>
      <c r="W88" s="934"/>
      <c r="X88" s="80">
        <v>86</v>
      </c>
    </row>
    <row r="89" spans="1:24" s="110" customFormat="1" x14ac:dyDescent="0.25">
      <c r="A89" s="889"/>
      <c r="B89" s="877"/>
      <c r="C89" s="877"/>
      <c r="D89" s="877"/>
      <c r="E89" s="877"/>
      <c r="F89" s="977"/>
      <c r="G89" s="980"/>
      <c r="H89" s="883"/>
      <c r="I89" s="983"/>
      <c r="J89" s="986"/>
      <c r="K89" s="938"/>
      <c r="L89" s="877"/>
      <c r="M89" s="877"/>
      <c r="N89" s="162">
        <v>45688</v>
      </c>
      <c r="O89" s="880"/>
      <c r="P89" s="187">
        <v>3608.8</v>
      </c>
      <c r="Q89" s="164">
        <v>45695</v>
      </c>
      <c r="R89" s="165"/>
      <c r="S89" s="163"/>
      <c r="T89" s="163"/>
      <c r="U89" s="883"/>
      <c r="V89" s="941"/>
      <c r="W89" s="935"/>
      <c r="X89" s="110">
        <v>86</v>
      </c>
    </row>
    <row r="90" spans="1:24" s="110" customFormat="1" x14ac:dyDescent="0.25">
      <c r="A90" s="890"/>
      <c r="B90" s="878"/>
      <c r="C90" s="878"/>
      <c r="D90" s="878"/>
      <c r="E90" s="878"/>
      <c r="F90" s="978"/>
      <c r="G90" s="981"/>
      <c r="H90" s="884"/>
      <c r="I90" s="984"/>
      <c r="J90" s="987"/>
      <c r="K90" s="939"/>
      <c r="L90" s="878"/>
      <c r="M90" s="878"/>
      <c r="N90" s="158">
        <v>45688</v>
      </c>
      <c r="O90" s="881"/>
      <c r="P90" s="188">
        <v>5149.3999999999996</v>
      </c>
      <c r="Q90" s="160">
        <v>45706</v>
      </c>
      <c r="R90" s="161"/>
      <c r="S90" s="159"/>
      <c r="T90" s="159"/>
      <c r="U90" s="884"/>
      <c r="V90" s="942"/>
      <c r="W90" s="936"/>
      <c r="X90" s="110">
        <v>86</v>
      </c>
    </row>
    <row r="91" spans="1:24" s="80" customFormat="1" ht="56.25" x14ac:dyDescent="0.25">
      <c r="A91" s="145">
        <v>18</v>
      </c>
      <c r="B91" s="109" t="s">
        <v>56</v>
      </c>
      <c r="C91" s="143" t="s">
        <v>147</v>
      </c>
      <c r="D91" s="109" t="s">
        <v>153</v>
      </c>
      <c r="E91" s="146" t="s">
        <v>227</v>
      </c>
      <c r="F91" s="326">
        <v>45672</v>
      </c>
      <c r="G91" s="147" t="s">
        <v>225</v>
      </c>
      <c r="H91" s="148">
        <v>10472</v>
      </c>
      <c r="I91" s="149">
        <f>IF(X91 = 87, H91 + SUM(S91:S91) - SUM(T91:T91) - SUM(P91:P91) - V91,0)</f>
        <v>0</v>
      </c>
      <c r="J91" s="150">
        <v>235300582900</v>
      </c>
      <c r="K91" s="151" t="s">
        <v>158</v>
      </c>
      <c r="L91" s="143" t="s">
        <v>147</v>
      </c>
      <c r="M91" s="146" t="s">
        <v>229</v>
      </c>
      <c r="N91" s="153">
        <v>45688</v>
      </c>
      <c r="O91" s="111" t="s">
        <v>180</v>
      </c>
      <c r="P91" s="189">
        <v>9394</v>
      </c>
      <c r="Q91" s="147">
        <v>45706</v>
      </c>
      <c r="R91" s="146"/>
      <c r="S91" s="148"/>
      <c r="T91" s="148"/>
      <c r="U91" s="148" t="s">
        <v>260</v>
      </c>
      <c r="V91" s="152">
        <v>1078</v>
      </c>
      <c r="W91" s="144"/>
      <c r="X91" s="80">
        <v>87</v>
      </c>
    </row>
    <row r="92" spans="1:24" s="80" customFormat="1" ht="108" customHeight="1" x14ac:dyDescent="0.25">
      <c r="A92" s="1197">
        <v>19</v>
      </c>
      <c r="B92" s="1186" t="s">
        <v>56</v>
      </c>
      <c r="C92" s="1186" t="s">
        <v>147</v>
      </c>
      <c r="D92" s="1186" t="s">
        <v>153</v>
      </c>
      <c r="E92" s="1186" t="s">
        <v>242</v>
      </c>
      <c r="F92" s="1171">
        <v>45688</v>
      </c>
      <c r="G92" s="1174" t="s">
        <v>281</v>
      </c>
      <c r="H92" s="946">
        <v>62208</v>
      </c>
      <c r="I92" s="1177">
        <f>IF(X92 = 88, H92 + SUM(S92:S97) - SUM(T92:T97) - SUM(P92:P97) - V92,0)</f>
        <v>26892</v>
      </c>
      <c r="J92" s="1180">
        <v>2353017179</v>
      </c>
      <c r="K92" s="1183" t="s">
        <v>181</v>
      </c>
      <c r="L92" s="1186" t="s">
        <v>147</v>
      </c>
      <c r="M92" s="1186" t="s">
        <v>243</v>
      </c>
      <c r="N92" s="630">
        <v>45716</v>
      </c>
      <c r="O92" s="943" t="s">
        <v>180</v>
      </c>
      <c r="P92" s="613">
        <v>7776</v>
      </c>
      <c r="Q92" s="614">
        <v>45721</v>
      </c>
      <c r="R92" s="615"/>
      <c r="S92" s="616"/>
      <c r="T92" s="616"/>
      <c r="U92" s="946"/>
      <c r="V92" s="949"/>
      <c r="W92" s="952"/>
      <c r="X92" s="80">
        <v>88</v>
      </c>
    </row>
    <row r="93" spans="1:24" s="110" customFormat="1" x14ac:dyDescent="0.25">
      <c r="A93" s="1198"/>
      <c r="B93" s="1187"/>
      <c r="C93" s="1187"/>
      <c r="D93" s="1187"/>
      <c r="E93" s="1187"/>
      <c r="F93" s="1172"/>
      <c r="G93" s="1175"/>
      <c r="H93" s="947"/>
      <c r="I93" s="1178"/>
      <c r="J93" s="1181"/>
      <c r="K93" s="1184"/>
      <c r="L93" s="1187"/>
      <c r="M93" s="1187"/>
      <c r="N93" s="631">
        <v>45747</v>
      </c>
      <c r="O93" s="944"/>
      <c r="P93" s="617">
        <v>7128</v>
      </c>
      <c r="Q93" s="618">
        <v>45756</v>
      </c>
      <c r="R93" s="619"/>
      <c r="S93" s="620"/>
      <c r="T93" s="620"/>
      <c r="U93" s="947"/>
      <c r="V93" s="950"/>
      <c r="W93" s="953"/>
      <c r="X93" s="110">
        <v>88</v>
      </c>
    </row>
    <row r="94" spans="1:24" s="110" customFormat="1" x14ac:dyDescent="0.25">
      <c r="A94" s="1198"/>
      <c r="B94" s="1187"/>
      <c r="C94" s="1187"/>
      <c r="D94" s="1187"/>
      <c r="E94" s="1187"/>
      <c r="F94" s="1172"/>
      <c r="G94" s="1175"/>
      <c r="H94" s="947"/>
      <c r="I94" s="1178"/>
      <c r="J94" s="1181"/>
      <c r="K94" s="1184"/>
      <c r="L94" s="1187"/>
      <c r="M94" s="1187"/>
      <c r="N94" s="631">
        <v>45777</v>
      </c>
      <c r="O94" s="944"/>
      <c r="P94" s="617">
        <v>7776</v>
      </c>
      <c r="Q94" s="618">
        <v>45797</v>
      </c>
      <c r="R94" s="619"/>
      <c r="S94" s="620"/>
      <c r="T94" s="620"/>
      <c r="U94" s="947"/>
      <c r="V94" s="950"/>
      <c r="W94" s="953"/>
      <c r="X94" s="110">
        <v>88</v>
      </c>
    </row>
    <row r="95" spans="1:24" s="110" customFormat="1" x14ac:dyDescent="0.25">
      <c r="A95" s="1198"/>
      <c r="B95" s="1187"/>
      <c r="C95" s="1187"/>
      <c r="D95" s="1187"/>
      <c r="E95" s="1187"/>
      <c r="F95" s="1172"/>
      <c r="G95" s="1175"/>
      <c r="H95" s="947"/>
      <c r="I95" s="1178"/>
      <c r="J95" s="1181"/>
      <c r="K95" s="1184"/>
      <c r="L95" s="1187"/>
      <c r="M95" s="1187"/>
      <c r="N95" s="631">
        <v>45808</v>
      </c>
      <c r="O95" s="944"/>
      <c r="P95" s="617">
        <v>6156</v>
      </c>
      <c r="Q95" s="618">
        <v>45814</v>
      </c>
      <c r="R95" s="619"/>
      <c r="S95" s="620"/>
      <c r="T95" s="620"/>
      <c r="U95" s="947"/>
      <c r="V95" s="950"/>
      <c r="W95" s="953"/>
      <c r="X95" s="110">
        <v>88</v>
      </c>
    </row>
    <row r="96" spans="1:24" s="110" customFormat="1" x14ac:dyDescent="0.25">
      <c r="A96" s="1198"/>
      <c r="B96" s="1187"/>
      <c r="C96" s="1187"/>
      <c r="D96" s="1187"/>
      <c r="E96" s="1187"/>
      <c r="F96" s="1172"/>
      <c r="G96" s="1175"/>
      <c r="H96" s="947"/>
      <c r="I96" s="1178"/>
      <c r="J96" s="1181"/>
      <c r="K96" s="1184"/>
      <c r="L96" s="1187"/>
      <c r="M96" s="1187"/>
      <c r="N96" s="631">
        <v>45838</v>
      </c>
      <c r="O96" s="944"/>
      <c r="P96" s="617">
        <v>5184</v>
      </c>
      <c r="Q96" s="618">
        <v>45846</v>
      </c>
      <c r="R96" s="619"/>
      <c r="S96" s="620"/>
      <c r="T96" s="620"/>
      <c r="U96" s="947"/>
      <c r="V96" s="950"/>
      <c r="W96" s="953"/>
      <c r="X96" s="110">
        <v>88</v>
      </c>
    </row>
    <row r="97" spans="1:24" s="110" customFormat="1" x14ac:dyDescent="0.25">
      <c r="A97" s="1199"/>
      <c r="B97" s="1188"/>
      <c r="C97" s="1188"/>
      <c r="D97" s="1188"/>
      <c r="E97" s="1188"/>
      <c r="F97" s="1173"/>
      <c r="G97" s="1176"/>
      <c r="H97" s="948"/>
      <c r="I97" s="1179"/>
      <c r="J97" s="1182"/>
      <c r="K97" s="1185"/>
      <c r="L97" s="1188"/>
      <c r="M97" s="1188"/>
      <c r="N97" s="632">
        <v>45869</v>
      </c>
      <c r="O97" s="945"/>
      <c r="P97" s="696">
        <v>1296</v>
      </c>
      <c r="Q97" s="627">
        <v>45880</v>
      </c>
      <c r="R97" s="628"/>
      <c r="S97" s="626"/>
      <c r="T97" s="626"/>
      <c r="U97" s="948"/>
      <c r="V97" s="951"/>
      <c r="W97" s="954"/>
      <c r="X97" s="110">
        <v>88</v>
      </c>
    </row>
    <row r="98" spans="1:24" s="80" customFormat="1" ht="75" x14ac:dyDescent="0.25">
      <c r="A98" s="197">
        <v>20</v>
      </c>
      <c r="B98" s="109" t="s">
        <v>56</v>
      </c>
      <c r="C98" s="146" t="s">
        <v>147</v>
      </c>
      <c r="D98" s="109" t="s">
        <v>153</v>
      </c>
      <c r="E98" s="199" t="s">
        <v>255</v>
      </c>
      <c r="F98" s="327">
        <v>45713</v>
      </c>
      <c r="G98" s="202" t="s">
        <v>256</v>
      </c>
      <c r="H98" s="198">
        <v>31000</v>
      </c>
      <c r="I98" s="203">
        <f>IF(X98 = 89, H98 + SUM(S98:S98) - SUM(T98:T98) - SUM(P98:P98) - V98,0)</f>
        <v>0</v>
      </c>
      <c r="J98" s="204">
        <v>2311204586</v>
      </c>
      <c r="K98" s="205" t="s">
        <v>257</v>
      </c>
      <c r="L98" s="199" t="s">
        <v>147</v>
      </c>
      <c r="M98" s="199" t="s">
        <v>258</v>
      </c>
      <c r="N98" s="209">
        <v>45713</v>
      </c>
      <c r="O98" s="153" t="s">
        <v>259</v>
      </c>
      <c r="P98" s="208">
        <v>31000</v>
      </c>
      <c r="Q98" s="202">
        <v>45716</v>
      </c>
      <c r="R98" s="199"/>
      <c r="S98" s="198"/>
      <c r="T98" s="198"/>
      <c r="U98" s="198"/>
      <c r="V98" s="200"/>
      <c r="W98" s="201"/>
      <c r="X98" s="80">
        <v>89</v>
      </c>
    </row>
    <row r="99" spans="1:24" s="80" customFormat="1" ht="36" customHeight="1" x14ac:dyDescent="0.25">
      <c r="A99" s="858">
        <v>21</v>
      </c>
      <c r="B99" s="867" t="s">
        <v>56</v>
      </c>
      <c r="C99" s="867" t="s">
        <v>147</v>
      </c>
      <c r="D99" s="867" t="s">
        <v>153</v>
      </c>
      <c r="E99" s="867" t="s">
        <v>261</v>
      </c>
      <c r="F99" s="958">
        <v>45688</v>
      </c>
      <c r="G99" s="961" t="s">
        <v>225</v>
      </c>
      <c r="H99" s="864">
        <v>488382</v>
      </c>
      <c r="I99" s="964">
        <f>IF(X99 = 90, H99 + SUM(S99:S114) - SUM(T99:T114) - SUM(P99:P114) - V99,0)</f>
        <v>0</v>
      </c>
      <c r="J99" s="967">
        <v>235300582900</v>
      </c>
      <c r="K99" s="970" t="s">
        <v>158</v>
      </c>
      <c r="L99" s="867" t="s">
        <v>147</v>
      </c>
      <c r="M99" s="867" t="s">
        <v>262</v>
      </c>
      <c r="N99" s="370">
        <v>45728</v>
      </c>
      <c r="O99" s="861" t="s">
        <v>180</v>
      </c>
      <c r="P99" s="359">
        <v>9702</v>
      </c>
      <c r="Q99" s="360">
        <v>45733</v>
      </c>
      <c r="R99" s="361"/>
      <c r="S99" s="362"/>
      <c r="T99" s="362"/>
      <c r="U99" s="864" t="s">
        <v>353</v>
      </c>
      <c r="V99" s="973">
        <v>102743</v>
      </c>
      <c r="W99" s="955"/>
      <c r="X99" s="80">
        <v>90</v>
      </c>
    </row>
    <row r="100" spans="1:24" s="110" customFormat="1" x14ac:dyDescent="0.25">
      <c r="A100" s="859"/>
      <c r="B100" s="868"/>
      <c r="C100" s="868"/>
      <c r="D100" s="868"/>
      <c r="E100" s="868"/>
      <c r="F100" s="959"/>
      <c r="G100" s="962"/>
      <c r="H100" s="865"/>
      <c r="I100" s="965"/>
      <c r="J100" s="968"/>
      <c r="K100" s="971"/>
      <c r="L100" s="868"/>
      <c r="M100" s="868"/>
      <c r="N100" s="371">
        <v>45728</v>
      </c>
      <c r="O100" s="862"/>
      <c r="P100" s="363">
        <v>79464</v>
      </c>
      <c r="Q100" s="364">
        <v>45733</v>
      </c>
      <c r="R100" s="365"/>
      <c r="S100" s="366"/>
      <c r="T100" s="366"/>
      <c r="U100" s="865"/>
      <c r="V100" s="974"/>
      <c r="W100" s="956"/>
      <c r="X100" s="110">
        <v>90</v>
      </c>
    </row>
    <row r="101" spans="1:24" s="110" customFormat="1" x14ac:dyDescent="0.25">
      <c r="A101" s="859"/>
      <c r="B101" s="868"/>
      <c r="C101" s="868"/>
      <c r="D101" s="868"/>
      <c r="E101" s="868"/>
      <c r="F101" s="959"/>
      <c r="G101" s="962"/>
      <c r="H101" s="865"/>
      <c r="I101" s="965"/>
      <c r="J101" s="968"/>
      <c r="K101" s="971"/>
      <c r="L101" s="868"/>
      <c r="M101" s="868"/>
      <c r="N101" s="371">
        <v>45728</v>
      </c>
      <c r="O101" s="862"/>
      <c r="P101" s="363">
        <v>4869.3999999999996</v>
      </c>
      <c r="Q101" s="364">
        <v>45733</v>
      </c>
      <c r="R101" s="365"/>
      <c r="S101" s="366"/>
      <c r="T101" s="366"/>
      <c r="U101" s="865"/>
      <c r="V101" s="974"/>
      <c r="W101" s="956"/>
      <c r="X101" s="110">
        <v>90</v>
      </c>
    </row>
    <row r="102" spans="1:24" s="110" customFormat="1" x14ac:dyDescent="0.25">
      <c r="A102" s="859"/>
      <c r="B102" s="868"/>
      <c r="C102" s="868"/>
      <c r="D102" s="868"/>
      <c r="E102" s="868"/>
      <c r="F102" s="959"/>
      <c r="G102" s="962"/>
      <c r="H102" s="865"/>
      <c r="I102" s="965"/>
      <c r="J102" s="968"/>
      <c r="K102" s="971"/>
      <c r="L102" s="868"/>
      <c r="M102" s="868"/>
      <c r="N102" s="371">
        <v>45728</v>
      </c>
      <c r="O102" s="862"/>
      <c r="P102" s="363">
        <v>1943.2</v>
      </c>
      <c r="Q102" s="364">
        <v>45733</v>
      </c>
      <c r="R102" s="365"/>
      <c r="S102" s="366"/>
      <c r="T102" s="366"/>
      <c r="U102" s="865"/>
      <c r="V102" s="974"/>
      <c r="W102" s="956"/>
      <c r="X102" s="110">
        <v>90</v>
      </c>
    </row>
    <row r="103" spans="1:24" s="110" customFormat="1" x14ac:dyDescent="0.25">
      <c r="A103" s="859"/>
      <c r="B103" s="868"/>
      <c r="C103" s="868"/>
      <c r="D103" s="868"/>
      <c r="E103" s="868"/>
      <c r="F103" s="959"/>
      <c r="G103" s="962"/>
      <c r="H103" s="865"/>
      <c r="I103" s="965"/>
      <c r="J103" s="968"/>
      <c r="K103" s="971"/>
      <c r="L103" s="868"/>
      <c r="M103" s="868"/>
      <c r="N103" s="371">
        <v>45756</v>
      </c>
      <c r="O103" s="862"/>
      <c r="P103" s="363">
        <v>8162</v>
      </c>
      <c r="Q103" s="364">
        <v>45763</v>
      </c>
      <c r="R103" s="365"/>
      <c r="S103" s="366"/>
      <c r="T103" s="366"/>
      <c r="U103" s="865"/>
      <c r="V103" s="974"/>
      <c r="W103" s="956"/>
      <c r="X103" s="110">
        <v>90</v>
      </c>
    </row>
    <row r="104" spans="1:24" s="110" customFormat="1" x14ac:dyDescent="0.25">
      <c r="A104" s="859"/>
      <c r="B104" s="868"/>
      <c r="C104" s="868"/>
      <c r="D104" s="868"/>
      <c r="E104" s="868"/>
      <c r="F104" s="959"/>
      <c r="G104" s="962"/>
      <c r="H104" s="865"/>
      <c r="I104" s="965"/>
      <c r="J104" s="968"/>
      <c r="K104" s="971"/>
      <c r="L104" s="868"/>
      <c r="M104" s="868"/>
      <c r="N104" s="371">
        <v>45756</v>
      </c>
      <c r="O104" s="862"/>
      <c r="P104" s="363">
        <v>76538</v>
      </c>
      <c r="Q104" s="364">
        <v>45763</v>
      </c>
      <c r="R104" s="365"/>
      <c r="S104" s="366"/>
      <c r="T104" s="366"/>
      <c r="U104" s="865"/>
      <c r="V104" s="974"/>
      <c r="W104" s="956"/>
      <c r="X104" s="110">
        <v>90</v>
      </c>
    </row>
    <row r="105" spans="1:24" s="110" customFormat="1" x14ac:dyDescent="0.25">
      <c r="A105" s="859"/>
      <c r="B105" s="868"/>
      <c r="C105" s="868"/>
      <c r="D105" s="868"/>
      <c r="E105" s="868"/>
      <c r="F105" s="959"/>
      <c r="G105" s="962"/>
      <c r="H105" s="865"/>
      <c r="I105" s="965"/>
      <c r="J105" s="968"/>
      <c r="K105" s="971"/>
      <c r="L105" s="868"/>
      <c r="M105" s="868"/>
      <c r="N105" s="371">
        <v>45756</v>
      </c>
      <c r="O105" s="862"/>
      <c r="P105" s="363">
        <v>1943.2</v>
      </c>
      <c r="Q105" s="364">
        <v>45763</v>
      </c>
      <c r="R105" s="365"/>
      <c r="S105" s="366"/>
      <c r="T105" s="366"/>
      <c r="U105" s="865"/>
      <c r="V105" s="974"/>
      <c r="W105" s="956"/>
      <c r="X105" s="110">
        <v>90</v>
      </c>
    </row>
    <row r="106" spans="1:24" s="110" customFormat="1" x14ac:dyDescent="0.25">
      <c r="A106" s="859"/>
      <c r="B106" s="868"/>
      <c r="C106" s="868"/>
      <c r="D106" s="868"/>
      <c r="E106" s="868"/>
      <c r="F106" s="959"/>
      <c r="G106" s="962"/>
      <c r="H106" s="865"/>
      <c r="I106" s="965"/>
      <c r="J106" s="968"/>
      <c r="K106" s="971"/>
      <c r="L106" s="868"/>
      <c r="M106" s="868"/>
      <c r="N106" s="371">
        <v>45756</v>
      </c>
      <c r="O106" s="862"/>
      <c r="P106" s="363">
        <v>3903.2</v>
      </c>
      <c r="Q106" s="364">
        <v>45763</v>
      </c>
      <c r="R106" s="365"/>
      <c r="S106" s="366"/>
      <c r="T106" s="366"/>
      <c r="U106" s="865"/>
      <c r="V106" s="974"/>
      <c r="W106" s="956"/>
      <c r="X106" s="110">
        <v>90</v>
      </c>
    </row>
    <row r="107" spans="1:24" s="110" customFormat="1" x14ac:dyDescent="0.25">
      <c r="A107" s="859"/>
      <c r="B107" s="868"/>
      <c r="C107" s="868"/>
      <c r="D107" s="868"/>
      <c r="E107" s="868"/>
      <c r="F107" s="959"/>
      <c r="G107" s="962"/>
      <c r="H107" s="865"/>
      <c r="I107" s="965"/>
      <c r="J107" s="968"/>
      <c r="K107" s="971"/>
      <c r="L107" s="868"/>
      <c r="M107" s="868"/>
      <c r="N107" s="371">
        <v>45790</v>
      </c>
      <c r="O107" s="862"/>
      <c r="P107" s="363">
        <v>4879</v>
      </c>
      <c r="Q107" s="364">
        <v>45798</v>
      </c>
      <c r="R107" s="365"/>
      <c r="S107" s="366"/>
      <c r="T107" s="366"/>
      <c r="U107" s="865"/>
      <c r="V107" s="974"/>
      <c r="W107" s="956"/>
      <c r="X107" s="110">
        <v>90</v>
      </c>
    </row>
    <row r="108" spans="1:24" s="110" customFormat="1" x14ac:dyDescent="0.25">
      <c r="A108" s="859"/>
      <c r="B108" s="868"/>
      <c r="C108" s="868"/>
      <c r="D108" s="868"/>
      <c r="E108" s="868"/>
      <c r="F108" s="959"/>
      <c r="G108" s="962"/>
      <c r="H108" s="865"/>
      <c r="I108" s="965"/>
      <c r="J108" s="968"/>
      <c r="K108" s="971"/>
      <c r="L108" s="868"/>
      <c r="M108" s="868"/>
      <c r="N108" s="371">
        <v>45790</v>
      </c>
      <c r="O108" s="862"/>
      <c r="P108" s="363">
        <v>3053.6</v>
      </c>
      <c r="Q108" s="364">
        <v>45799</v>
      </c>
      <c r="R108" s="365"/>
      <c r="S108" s="366"/>
      <c r="T108" s="366"/>
      <c r="U108" s="865"/>
      <c r="V108" s="974"/>
      <c r="W108" s="956"/>
      <c r="X108" s="110">
        <v>90</v>
      </c>
    </row>
    <row r="109" spans="1:24" s="110" customFormat="1" x14ac:dyDescent="0.25">
      <c r="A109" s="859"/>
      <c r="B109" s="868"/>
      <c r="C109" s="868"/>
      <c r="D109" s="868"/>
      <c r="E109" s="868"/>
      <c r="F109" s="959"/>
      <c r="G109" s="962"/>
      <c r="H109" s="865"/>
      <c r="I109" s="965"/>
      <c r="J109" s="968"/>
      <c r="K109" s="971"/>
      <c r="L109" s="868"/>
      <c r="M109" s="868"/>
      <c r="N109" s="371">
        <v>45790</v>
      </c>
      <c r="O109" s="862"/>
      <c r="P109" s="363">
        <v>104104</v>
      </c>
      <c r="Q109" s="364">
        <v>45798</v>
      </c>
      <c r="R109" s="365"/>
      <c r="S109" s="366"/>
      <c r="T109" s="366"/>
      <c r="U109" s="865"/>
      <c r="V109" s="974"/>
      <c r="W109" s="956"/>
      <c r="X109" s="110">
        <v>90</v>
      </c>
    </row>
    <row r="110" spans="1:24" s="110" customFormat="1" x14ac:dyDescent="0.25">
      <c r="A110" s="859"/>
      <c r="B110" s="868"/>
      <c r="C110" s="868"/>
      <c r="D110" s="868"/>
      <c r="E110" s="868"/>
      <c r="F110" s="959"/>
      <c r="G110" s="962"/>
      <c r="H110" s="865"/>
      <c r="I110" s="965"/>
      <c r="J110" s="968"/>
      <c r="K110" s="971"/>
      <c r="L110" s="868"/>
      <c r="M110" s="868"/>
      <c r="N110" s="371">
        <v>45790</v>
      </c>
      <c r="O110" s="862"/>
      <c r="P110" s="363">
        <v>10626</v>
      </c>
      <c r="Q110" s="364">
        <v>45798</v>
      </c>
      <c r="R110" s="365"/>
      <c r="S110" s="366"/>
      <c r="T110" s="366"/>
      <c r="U110" s="865"/>
      <c r="V110" s="974"/>
      <c r="W110" s="956"/>
      <c r="X110" s="110">
        <v>90</v>
      </c>
    </row>
    <row r="111" spans="1:24" s="110" customFormat="1" x14ac:dyDescent="0.25">
      <c r="A111" s="859"/>
      <c r="B111" s="868"/>
      <c r="C111" s="868"/>
      <c r="D111" s="868"/>
      <c r="E111" s="868"/>
      <c r="F111" s="959"/>
      <c r="G111" s="962"/>
      <c r="H111" s="865"/>
      <c r="I111" s="965"/>
      <c r="J111" s="968"/>
      <c r="K111" s="971"/>
      <c r="L111" s="868"/>
      <c r="M111" s="868"/>
      <c r="N111" s="371">
        <v>45807</v>
      </c>
      <c r="O111" s="862"/>
      <c r="P111" s="363">
        <v>3206.2</v>
      </c>
      <c r="Q111" s="364">
        <v>45818</v>
      </c>
      <c r="R111" s="365"/>
      <c r="S111" s="366"/>
      <c r="T111" s="366"/>
      <c r="U111" s="865"/>
      <c r="V111" s="974"/>
      <c r="W111" s="956"/>
      <c r="X111" s="110">
        <v>90</v>
      </c>
    </row>
    <row r="112" spans="1:24" s="110" customFormat="1" x14ac:dyDescent="0.25">
      <c r="A112" s="859"/>
      <c r="B112" s="868"/>
      <c r="C112" s="868"/>
      <c r="D112" s="868"/>
      <c r="E112" s="868"/>
      <c r="F112" s="959"/>
      <c r="G112" s="962"/>
      <c r="H112" s="865"/>
      <c r="I112" s="965"/>
      <c r="J112" s="968"/>
      <c r="K112" s="971"/>
      <c r="L112" s="868"/>
      <c r="M112" s="868"/>
      <c r="N112" s="371">
        <v>45807</v>
      </c>
      <c r="O112" s="862"/>
      <c r="P112" s="363">
        <v>1943.2</v>
      </c>
      <c r="Q112" s="364">
        <v>45814</v>
      </c>
      <c r="R112" s="365"/>
      <c r="S112" s="366"/>
      <c r="T112" s="366"/>
      <c r="U112" s="865"/>
      <c r="V112" s="974"/>
      <c r="W112" s="956"/>
      <c r="X112" s="110">
        <v>90</v>
      </c>
    </row>
    <row r="113" spans="1:24" s="110" customFormat="1" x14ac:dyDescent="0.25">
      <c r="A113" s="859"/>
      <c r="B113" s="868"/>
      <c r="C113" s="868"/>
      <c r="D113" s="868"/>
      <c r="E113" s="868"/>
      <c r="F113" s="959"/>
      <c r="G113" s="962"/>
      <c r="H113" s="865"/>
      <c r="I113" s="965"/>
      <c r="J113" s="968"/>
      <c r="K113" s="971"/>
      <c r="L113" s="868"/>
      <c r="M113" s="868"/>
      <c r="N113" s="371">
        <v>45807</v>
      </c>
      <c r="O113" s="862"/>
      <c r="P113" s="363">
        <v>63294</v>
      </c>
      <c r="Q113" s="364">
        <v>45814</v>
      </c>
      <c r="R113" s="365"/>
      <c r="S113" s="366"/>
      <c r="T113" s="366"/>
      <c r="U113" s="865"/>
      <c r="V113" s="974"/>
      <c r="W113" s="956"/>
      <c r="X113" s="110">
        <v>90</v>
      </c>
    </row>
    <row r="114" spans="1:24" s="110" customFormat="1" x14ac:dyDescent="0.25">
      <c r="A114" s="860"/>
      <c r="B114" s="869"/>
      <c r="C114" s="869"/>
      <c r="D114" s="869"/>
      <c r="E114" s="869"/>
      <c r="F114" s="960"/>
      <c r="G114" s="963"/>
      <c r="H114" s="866"/>
      <c r="I114" s="966"/>
      <c r="J114" s="969"/>
      <c r="K114" s="972"/>
      <c r="L114" s="869"/>
      <c r="M114" s="869"/>
      <c r="N114" s="372">
        <v>45807</v>
      </c>
      <c r="O114" s="863"/>
      <c r="P114" s="476">
        <v>8008</v>
      </c>
      <c r="Q114" s="368">
        <v>45814</v>
      </c>
      <c r="R114" s="369"/>
      <c r="S114" s="367"/>
      <c r="T114" s="367"/>
      <c r="U114" s="866"/>
      <c r="V114" s="975"/>
      <c r="W114" s="957"/>
      <c r="X114" s="110">
        <v>90</v>
      </c>
    </row>
    <row r="115" spans="1:24" s="80" customFormat="1" ht="54" customHeight="1" x14ac:dyDescent="0.25">
      <c r="A115" s="852">
        <v>22</v>
      </c>
      <c r="B115" s="828" t="s">
        <v>56</v>
      </c>
      <c r="C115" s="828" t="s">
        <v>147</v>
      </c>
      <c r="D115" s="828" t="s">
        <v>153</v>
      </c>
      <c r="E115" s="828" t="s">
        <v>263</v>
      </c>
      <c r="F115" s="834">
        <v>45748</v>
      </c>
      <c r="G115" s="837" t="s">
        <v>188</v>
      </c>
      <c r="H115" s="840">
        <v>145276.79999999999</v>
      </c>
      <c r="I115" s="843">
        <f>IF(X115 = 91, H115 + SUM(S115:S117) - SUM(T115:T117) - SUM(P115:P117) - V115,0)</f>
        <v>-1.4551915228366852E-11</v>
      </c>
      <c r="J115" s="846">
        <v>7743529527</v>
      </c>
      <c r="K115" s="849" t="s">
        <v>173</v>
      </c>
      <c r="L115" s="828" t="s">
        <v>147</v>
      </c>
      <c r="M115" s="828" t="s">
        <v>264</v>
      </c>
      <c r="N115" s="531">
        <v>45777</v>
      </c>
      <c r="O115" s="855" t="s">
        <v>208</v>
      </c>
      <c r="P115" s="520">
        <v>36944</v>
      </c>
      <c r="Q115" s="521">
        <v>45789</v>
      </c>
      <c r="R115" s="522"/>
      <c r="S115" s="523"/>
      <c r="T115" s="523"/>
      <c r="U115" s="840" t="s">
        <v>389</v>
      </c>
      <c r="V115" s="825">
        <v>64814.8</v>
      </c>
      <c r="W115" s="831"/>
      <c r="X115" s="80">
        <v>91</v>
      </c>
    </row>
    <row r="116" spans="1:24" s="110" customFormat="1" x14ac:dyDescent="0.25">
      <c r="A116" s="853"/>
      <c r="B116" s="829"/>
      <c r="C116" s="829"/>
      <c r="D116" s="829"/>
      <c r="E116" s="829"/>
      <c r="F116" s="835"/>
      <c r="G116" s="838"/>
      <c r="H116" s="841"/>
      <c r="I116" s="844"/>
      <c r="J116" s="847"/>
      <c r="K116" s="850"/>
      <c r="L116" s="829"/>
      <c r="M116" s="829"/>
      <c r="N116" s="532">
        <v>45808</v>
      </c>
      <c r="O116" s="856"/>
      <c r="P116" s="524">
        <v>31884</v>
      </c>
      <c r="Q116" s="525">
        <v>45814</v>
      </c>
      <c r="R116" s="526"/>
      <c r="S116" s="527"/>
      <c r="T116" s="527"/>
      <c r="U116" s="841"/>
      <c r="V116" s="826"/>
      <c r="W116" s="832"/>
      <c r="X116" s="110">
        <v>91</v>
      </c>
    </row>
    <row r="117" spans="1:24" s="110" customFormat="1" x14ac:dyDescent="0.25">
      <c r="A117" s="854"/>
      <c r="B117" s="830"/>
      <c r="C117" s="830"/>
      <c r="D117" s="830"/>
      <c r="E117" s="830"/>
      <c r="F117" s="836"/>
      <c r="G117" s="839"/>
      <c r="H117" s="842"/>
      <c r="I117" s="845"/>
      <c r="J117" s="848"/>
      <c r="K117" s="851"/>
      <c r="L117" s="830"/>
      <c r="M117" s="830"/>
      <c r="N117" s="533">
        <v>45838</v>
      </c>
      <c r="O117" s="857"/>
      <c r="P117" s="559">
        <v>11634</v>
      </c>
      <c r="Q117" s="529">
        <v>45846</v>
      </c>
      <c r="R117" s="530"/>
      <c r="S117" s="528"/>
      <c r="T117" s="528"/>
      <c r="U117" s="842"/>
      <c r="V117" s="827"/>
      <c r="W117" s="833"/>
      <c r="X117" s="110">
        <v>91</v>
      </c>
    </row>
    <row r="118" spans="1:24" s="80" customFormat="1" ht="72" customHeight="1" x14ac:dyDescent="0.25">
      <c r="A118" s="258">
        <v>23</v>
      </c>
      <c r="B118" s="255" t="s">
        <v>56</v>
      </c>
      <c r="C118" s="255" t="s">
        <v>147</v>
      </c>
      <c r="D118" s="255" t="s">
        <v>153</v>
      </c>
      <c r="E118" s="255" t="s">
        <v>265</v>
      </c>
      <c r="F118" s="328">
        <v>45714</v>
      </c>
      <c r="G118" s="254" t="s">
        <v>266</v>
      </c>
      <c r="H118" s="256">
        <v>6698.9</v>
      </c>
      <c r="I118" s="259">
        <f>IF(X118 = 92, H118 + SUM(S118:S118) - SUM(T118:T118) - SUM(P118:P118) - V118,0)</f>
        <v>0</v>
      </c>
      <c r="J118" s="260">
        <v>7706526550</v>
      </c>
      <c r="K118" s="261" t="s">
        <v>267</v>
      </c>
      <c r="L118" s="255" t="s">
        <v>147</v>
      </c>
      <c r="M118" s="255" t="s">
        <v>268</v>
      </c>
      <c r="N118" s="257">
        <v>45730</v>
      </c>
      <c r="O118" s="257" t="s">
        <v>180</v>
      </c>
      <c r="P118" s="253">
        <v>6698.9</v>
      </c>
      <c r="Q118" s="254">
        <v>45741</v>
      </c>
      <c r="R118" s="255"/>
      <c r="S118" s="256"/>
      <c r="T118" s="256"/>
      <c r="U118" s="256"/>
      <c r="V118" s="262"/>
      <c r="W118" s="263"/>
      <c r="X118" s="80">
        <v>92</v>
      </c>
    </row>
    <row r="119" spans="1:24" s="80" customFormat="1" ht="75" x14ac:dyDescent="0.25">
      <c r="A119" s="264">
        <v>24</v>
      </c>
      <c r="B119" s="255" t="s">
        <v>56</v>
      </c>
      <c r="C119" s="255" t="s">
        <v>282</v>
      </c>
      <c r="D119" s="255" t="s">
        <v>153</v>
      </c>
      <c r="E119" s="265" t="s">
        <v>36</v>
      </c>
      <c r="F119" s="329">
        <v>45756</v>
      </c>
      <c r="G119" s="267" t="s">
        <v>276</v>
      </c>
      <c r="H119" s="268">
        <v>5100</v>
      </c>
      <c r="I119" s="269">
        <f>IF(X119 = 93, H119 + SUM(S119:S119) - SUM(T119:T119) - SUM(P119:P119) - V119,0)</f>
        <v>0</v>
      </c>
      <c r="J119" s="270">
        <v>2309084120</v>
      </c>
      <c r="K119" s="271" t="s">
        <v>277</v>
      </c>
      <c r="L119" s="265" t="s">
        <v>147</v>
      </c>
      <c r="M119" s="265" t="s">
        <v>278</v>
      </c>
      <c r="N119" s="266">
        <v>45758</v>
      </c>
      <c r="O119" s="257" t="s">
        <v>279</v>
      </c>
      <c r="P119" s="305">
        <v>5100</v>
      </c>
      <c r="Q119" s="267">
        <v>45763</v>
      </c>
      <c r="R119" s="265"/>
      <c r="S119" s="268"/>
      <c r="T119" s="268"/>
      <c r="U119" s="268"/>
      <c r="V119" s="272"/>
      <c r="W119" s="273"/>
      <c r="X119" s="80">
        <v>93</v>
      </c>
    </row>
    <row r="120" spans="1:24" s="80" customFormat="1" ht="75" x14ac:dyDescent="0.25">
      <c r="A120" s="277">
        <v>25</v>
      </c>
      <c r="B120" s="274" t="s">
        <v>56</v>
      </c>
      <c r="C120" s="278" t="s">
        <v>147</v>
      </c>
      <c r="D120" s="274" t="s">
        <v>153</v>
      </c>
      <c r="E120" s="278" t="s">
        <v>283</v>
      </c>
      <c r="F120" s="330">
        <v>45758</v>
      </c>
      <c r="G120" s="279" t="s">
        <v>284</v>
      </c>
      <c r="H120" s="280">
        <v>89783</v>
      </c>
      <c r="I120" s="281">
        <f>IF(X120 = 94, H120 + SUM(S120:S120) - SUM(T120:T120) - SUM(P120:P120) - V120,0)</f>
        <v>0</v>
      </c>
      <c r="J120" s="282">
        <v>7329022201</v>
      </c>
      <c r="K120" s="283" t="s">
        <v>285</v>
      </c>
      <c r="L120" s="278" t="s">
        <v>147</v>
      </c>
      <c r="M120" s="278" t="s">
        <v>286</v>
      </c>
      <c r="N120" s="285">
        <v>45762</v>
      </c>
      <c r="O120" s="276" t="s">
        <v>279</v>
      </c>
      <c r="P120" s="307">
        <v>89783</v>
      </c>
      <c r="Q120" s="279">
        <v>45772</v>
      </c>
      <c r="R120" s="278"/>
      <c r="S120" s="280"/>
      <c r="T120" s="280"/>
      <c r="U120" s="280"/>
      <c r="V120" s="284"/>
      <c r="W120" s="275"/>
      <c r="X120" s="80">
        <v>94</v>
      </c>
    </row>
    <row r="121" spans="1:24" s="80" customFormat="1" ht="54" customHeight="1" x14ac:dyDescent="0.25">
      <c r="A121" s="988">
        <v>26</v>
      </c>
      <c r="B121" s="994" t="s">
        <v>56</v>
      </c>
      <c r="C121" s="994" t="s">
        <v>147</v>
      </c>
      <c r="D121" s="994" t="s">
        <v>153</v>
      </c>
      <c r="E121" s="994" t="s">
        <v>317</v>
      </c>
      <c r="F121" s="990">
        <v>45747</v>
      </c>
      <c r="G121" s="1000" t="s">
        <v>318</v>
      </c>
      <c r="H121" s="992">
        <v>19040</v>
      </c>
      <c r="I121" s="1002">
        <f>IF(X121 = 96, H121 + SUM(S121:S122) - SUM(T121:T122) - SUM(P121:P122) - V121,0)</f>
        <v>0</v>
      </c>
      <c r="J121" s="1004">
        <v>235300582900</v>
      </c>
      <c r="K121" s="1006" t="s">
        <v>158</v>
      </c>
      <c r="L121" s="994" t="s">
        <v>147</v>
      </c>
      <c r="M121" s="994" t="s">
        <v>319</v>
      </c>
      <c r="N121" s="357">
        <v>45790</v>
      </c>
      <c r="O121" s="990" t="s">
        <v>279</v>
      </c>
      <c r="P121" s="388">
        <v>9016</v>
      </c>
      <c r="Q121" s="352">
        <v>45798</v>
      </c>
      <c r="R121" s="353"/>
      <c r="S121" s="351"/>
      <c r="T121" s="351"/>
      <c r="U121" s="992" t="s">
        <v>352</v>
      </c>
      <c r="V121" s="996">
        <v>4564</v>
      </c>
      <c r="W121" s="998"/>
      <c r="X121" s="80">
        <v>96</v>
      </c>
    </row>
    <row r="122" spans="1:24" s="110" customFormat="1" x14ac:dyDescent="0.25">
      <c r="A122" s="989"/>
      <c r="B122" s="995"/>
      <c r="C122" s="995"/>
      <c r="D122" s="995"/>
      <c r="E122" s="995"/>
      <c r="F122" s="991"/>
      <c r="G122" s="1001"/>
      <c r="H122" s="993"/>
      <c r="I122" s="1003"/>
      <c r="J122" s="1005"/>
      <c r="K122" s="1007"/>
      <c r="L122" s="995"/>
      <c r="M122" s="995"/>
      <c r="N122" s="358">
        <v>45807</v>
      </c>
      <c r="O122" s="991"/>
      <c r="P122" s="475">
        <v>5460</v>
      </c>
      <c r="Q122" s="355">
        <v>45814</v>
      </c>
      <c r="R122" s="356"/>
      <c r="S122" s="354"/>
      <c r="T122" s="354"/>
      <c r="U122" s="993"/>
      <c r="V122" s="997"/>
      <c r="W122" s="999"/>
      <c r="X122" s="110">
        <v>96</v>
      </c>
    </row>
    <row r="123" spans="1:24" s="80" customFormat="1" ht="54" customHeight="1" x14ac:dyDescent="0.25">
      <c r="A123" s="756">
        <v>27</v>
      </c>
      <c r="B123" s="765" t="s">
        <v>56</v>
      </c>
      <c r="C123" s="765" t="s">
        <v>147</v>
      </c>
      <c r="D123" s="765" t="s">
        <v>153</v>
      </c>
      <c r="E123" s="765" t="s">
        <v>161</v>
      </c>
      <c r="F123" s="759">
        <v>45839</v>
      </c>
      <c r="G123" s="1263" t="s">
        <v>371</v>
      </c>
      <c r="H123" s="762">
        <v>26311.74</v>
      </c>
      <c r="I123" s="1266">
        <f>IF(X123 = 97, H123 + SUM(S123:S125) - SUM(T123:T125) - SUM(P123:P125) - V123,0)</f>
        <v>17541.160000000003</v>
      </c>
      <c r="J123" s="1269">
        <v>2308131994</v>
      </c>
      <c r="K123" s="1272" t="s">
        <v>163</v>
      </c>
      <c r="L123" s="765" t="s">
        <v>147</v>
      </c>
      <c r="M123" s="765" t="s">
        <v>372</v>
      </c>
      <c r="N123" s="692">
        <v>45869</v>
      </c>
      <c r="O123" s="759" t="s">
        <v>180</v>
      </c>
      <c r="P123" s="695">
        <v>4385.29</v>
      </c>
      <c r="Q123" s="684">
        <v>45877</v>
      </c>
      <c r="R123" s="685"/>
      <c r="S123" s="683"/>
      <c r="T123" s="683"/>
      <c r="U123" s="762"/>
      <c r="V123" s="768"/>
      <c r="W123" s="771"/>
      <c r="X123" s="80">
        <v>97</v>
      </c>
    </row>
    <row r="124" spans="1:24" s="110" customFormat="1" x14ac:dyDescent="0.25">
      <c r="A124" s="757"/>
      <c r="B124" s="766"/>
      <c r="C124" s="766"/>
      <c r="D124" s="766"/>
      <c r="E124" s="766"/>
      <c r="F124" s="760"/>
      <c r="G124" s="1264"/>
      <c r="H124" s="763"/>
      <c r="I124" s="1267"/>
      <c r="J124" s="1270"/>
      <c r="K124" s="1273"/>
      <c r="L124" s="766"/>
      <c r="M124" s="766"/>
      <c r="N124" s="693">
        <v>45900</v>
      </c>
      <c r="O124" s="760"/>
      <c r="P124" s="686">
        <v>4385.29</v>
      </c>
      <c r="Q124" s="687"/>
      <c r="R124" s="688"/>
      <c r="S124" s="686"/>
      <c r="T124" s="686"/>
      <c r="U124" s="763"/>
      <c r="V124" s="769"/>
      <c r="W124" s="772"/>
      <c r="X124" s="110">
        <v>97</v>
      </c>
    </row>
    <row r="125" spans="1:24" s="110" customFormat="1" x14ac:dyDescent="0.25">
      <c r="A125" s="758"/>
      <c r="B125" s="767"/>
      <c r="C125" s="767"/>
      <c r="D125" s="767"/>
      <c r="E125" s="767"/>
      <c r="F125" s="761"/>
      <c r="G125" s="1265"/>
      <c r="H125" s="764"/>
      <c r="I125" s="1268"/>
      <c r="J125" s="1271"/>
      <c r="K125" s="1274"/>
      <c r="L125" s="767"/>
      <c r="M125" s="767"/>
      <c r="N125" s="694"/>
      <c r="O125" s="761"/>
      <c r="P125" s="689"/>
      <c r="Q125" s="690"/>
      <c r="R125" s="691"/>
      <c r="S125" s="689"/>
      <c r="T125" s="689"/>
      <c r="U125" s="764"/>
      <c r="V125" s="770"/>
      <c r="W125" s="773"/>
      <c r="X125" s="110">
        <v>97</v>
      </c>
    </row>
    <row r="126" spans="1:24" x14ac:dyDescent="0.25">
      <c r="X126" s="2">
        <v>98</v>
      </c>
    </row>
  </sheetData>
  <sheetProtection algorithmName="SHA-512" hashValue="v8qzLEcpukRdHa0gsyA6d3ZRLp3ocE1PfKbXOrhmw/tgJZJL1IXZILGukq8CPbc03SjBZ2t/4Gr26SUNH50WaQ==" saltValue="C/6tzH7SCGjE0Fx5ZFqgwQ==" spinCount="100000" sheet="1" objects="1" scenarios="1" formatCells="0" formatColumns="0" formatRows="0"/>
  <mergeCells count="343">
    <mergeCell ref="M123:M125"/>
    <mergeCell ref="D123:D125"/>
    <mergeCell ref="E123:E125"/>
    <mergeCell ref="F123:F125"/>
    <mergeCell ref="G123:G125"/>
    <mergeCell ref="H123:H125"/>
    <mergeCell ref="I123:I125"/>
    <mergeCell ref="J123:J125"/>
    <mergeCell ref="K123:K125"/>
    <mergeCell ref="L123:L125"/>
    <mergeCell ref="M31:M38"/>
    <mergeCell ref="A23:A30"/>
    <mergeCell ref="O23:O30"/>
    <mergeCell ref="U23:U30"/>
    <mergeCell ref="B23:B30"/>
    <mergeCell ref="V23:V30"/>
    <mergeCell ref="C23:C30"/>
    <mergeCell ref="W23:W30"/>
    <mergeCell ref="D23:D30"/>
    <mergeCell ref="E23:E30"/>
    <mergeCell ref="F23:F30"/>
    <mergeCell ref="G23:G30"/>
    <mergeCell ref="H23:H30"/>
    <mergeCell ref="I23:I30"/>
    <mergeCell ref="J23:J30"/>
    <mergeCell ref="K23:K30"/>
    <mergeCell ref="L23:L30"/>
    <mergeCell ref="M23:M30"/>
    <mergeCell ref="D31:D38"/>
    <mergeCell ref="E31:E38"/>
    <mergeCell ref="F31:F38"/>
    <mergeCell ref="G31:G38"/>
    <mergeCell ref="H31:H38"/>
    <mergeCell ref="I31:I38"/>
    <mergeCell ref="J31:J38"/>
    <mergeCell ref="K31:K38"/>
    <mergeCell ref="L31:L38"/>
    <mergeCell ref="A78:A84"/>
    <mergeCell ref="O78:O84"/>
    <mergeCell ref="U78:U84"/>
    <mergeCell ref="B78:B84"/>
    <mergeCell ref="V78:V84"/>
    <mergeCell ref="C78:C84"/>
    <mergeCell ref="G58:G64"/>
    <mergeCell ref="H58:H64"/>
    <mergeCell ref="I58:I64"/>
    <mergeCell ref="J58:J64"/>
    <mergeCell ref="K58:K64"/>
    <mergeCell ref="L58:L64"/>
    <mergeCell ref="A46:A47"/>
    <mergeCell ref="O46:O47"/>
    <mergeCell ref="U46:U47"/>
    <mergeCell ref="B46:B47"/>
    <mergeCell ref="A56:A57"/>
    <mergeCell ref="B56:B57"/>
    <mergeCell ref="A48:A54"/>
    <mergeCell ref="B48:B54"/>
    <mergeCell ref="C56:C57"/>
    <mergeCell ref="D78:D84"/>
    <mergeCell ref="E78:E84"/>
    <mergeCell ref="F78:F84"/>
    <mergeCell ref="G78:G84"/>
    <mergeCell ref="H78:H84"/>
    <mergeCell ref="I78:I84"/>
    <mergeCell ref="J78:J84"/>
    <mergeCell ref="K78:K84"/>
    <mergeCell ref="L78:L84"/>
    <mergeCell ref="F92:F97"/>
    <mergeCell ref="G92:G97"/>
    <mergeCell ref="H92:H97"/>
    <mergeCell ref="I92:I97"/>
    <mergeCell ref="J92:J97"/>
    <mergeCell ref="K92:K97"/>
    <mergeCell ref="L92:L97"/>
    <mergeCell ref="M92:M97"/>
    <mergeCell ref="A58:A64"/>
    <mergeCell ref="A65:A66"/>
    <mergeCell ref="B68:B70"/>
    <mergeCell ref="A71:A77"/>
    <mergeCell ref="B71:B77"/>
    <mergeCell ref="B85:B87"/>
    <mergeCell ref="J85:J87"/>
    <mergeCell ref="A92:A97"/>
    <mergeCell ref="B92:B97"/>
    <mergeCell ref="C92:C97"/>
    <mergeCell ref="D92:D97"/>
    <mergeCell ref="E92:E97"/>
    <mergeCell ref="B58:B64"/>
    <mergeCell ref="D58:D64"/>
    <mergeCell ref="E58:E64"/>
    <mergeCell ref="F58:F64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W46:W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B65:B66"/>
    <mergeCell ref="V65:V66"/>
    <mergeCell ref="C65:C66"/>
    <mergeCell ref="W65:W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A9:A16"/>
    <mergeCell ref="O9:O16"/>
    <mergeCell ref="U9:U16"/>
    <mergeCell ref="B9:B16"/>
    <mergeCell ref="A17:A22"/>
    <mergeCell ref="C17:C22"/>
    <mergeCell ref="D17:D22"/>
    <mergeCell ref="E17:E22"/>
    <mergeCell ref="F17:F22"/>
    <mergeCell ref="G17:G22"/>
    <mergeCell ref="H17:H22"/>
    <mergeCell ref="I17:I22"/>
    <mergeCell ref="J17:J22"/>
    <mergeCell ref="K17:K22"/>
    <mergeCell ref="L17:L22"/>
    <mergeCell ref="B17:B22"/>
    <mergeCell ref="C68:C70"/>
    <mergeCell ref="D68:D70"/>
    <mergeCell ref="W68:W70"/>
    <mergeCell ref="C71:C77"/>
    <mergeCell ref="D71:D77"/>
    <mergeCell ref="E71:E77"/>
    <mergeCell ref="F71:F77"/>
    <mergeCell ref="G71:G77"/>
    <mergeCell ref="H71:H77"/>
    <mergeCell ref="I71:I77"/>
    <mergeCell ref="S2:U2"/>
    <mergeCell ref="F2:G2"/>
    <mergeCell ref="N2:O2"/>
    <mergeCell ref="O17:O22"/>
    <mergeCell ref="U17:U22"/>
    <mergeCell ref="C85:C87"/>
    <mergeCell ref="D85:D87"/>
    <mergeCell ref="E85:E87"/>
    <mergeCell ref="F85:F87"/>
    <mergeCell ref="G85:G87"/>
    <mergeCell ref="H85:H87"/>
    <mergeCell ref="I85:I87"/>
    <mergeCell ref="J71:J77"/>
    <mergeCell ref="K71:K77"/>
    <mergeCell ref="K85:K87"/>
    <mergeCell ref="E68:E70"/>
    <mergeCell ref="F68:F70"/>
    <mergeCell ref="G68:G70"/>
    <mergeCell ref="H68:H70"/>
    <mergeCell ref="I68:I70"/>
    <mergeCell ref="J68:J70"/>
    <mergeCell ref="K68:K70"/>
    <mergeCell ref="O48:O54"/>
    <mergeCell ref="U48:U54"/>
    <mergeCell ref="V9:V16"/>
    <mergeCell ref="C9:C16"/>
    <mergeCell ref="V68:V70"/>
    <mergeCell ref="M68:M70"/>
    <mergeCell ref="V17:V22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  <mergeCell ref="W17:W22"/>
    <mergeCell ref="M17:M22"/>
    <mergeCell ref="O65:O66"/>
    <mergeCell ref="U65:U66"/>
    <mergeCell ref="O58:O64"/>
    <mergeCell ref="U58:U64"/>
    <mergeCell ref="V58:V64"/>
    <mergeCell ref="C58:C64"/>
    <mergeCell ref="A121:A122"/>
    <mergeCell ref="O121:O122"/>
    <mergeCell ref="U121:U122"/>
    <mergeCell ref="B121:B122"/>
    <mergeCell ref="V121:V122"/>
    <mergeCell ref="C121:C122"/>
    <mergeCell ref="W121:W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W88:W90"/>
    <mergeCell ref="K88:K90"/>
    <mergeCell ref="V88:V90"/>
    <mergeCell ref="O92:O97"/>
    <mergeCell ref="U92:U97"/>
    <mergeCell ref="V92:V97"/>
    <mergeCell ref="W92:W97"/>
    <mergeCell ref="W99:W114"/>
    <mergeCell ref="D99:D114"/>
    <mergeCell ref="E99:E114"/>
    <mergeCell ref="F99:F114"/>
    <mergeCell ref="G99:G114"/>
    <mergeCell ref="H99:H114"/>
    <mergeCell ref="I99:I114"/>
    <mergeCell ref="J99:J114"/>
    <mergeCell ref="K99:K114"/>
    <mergeCell ref="L99:L114"/>
    <mergeCell ref="M99:M114"/>
    <mergeCell ref="V99:V114"/>
    <mergeCell ref="F88:F90"/>
    <mergeCell ref="G88:G90"/>
    <mergeCell ref="H88:H90"/>
    <mergeCell ref="I88:I90"/>
    <mergeCell ref="J88:J90"/>
    <mergeCell ref="V85:V87"/>
    <mergeCell ref="O56:O57"/>
    <mergeCell ref="U56:U57"/>
    <mergeCell ref="O71:O77"/>
    <mergeCell ref="U71:U77"/>
    <mergeCell ref="V71:V77"/>
    <mergeCell ref="W71:W77"/>
    <mergeCell ref="M71:M77"/>
    <mergeCell ref="M85:M87"/>
    <mergeCell ref="O85:O87"/>
    <mergeCell ref="U85:U87"/>
    <mergeCell ref="W85:W87"/>
    <mergeCell ref="O68:O70"/>
    <mergeCell ref="W58:W64"/>
    <mergeCell ref="M58:M64"/>
    <mergeCell ref="V56:V57"/>
    <mergeCell ref="W56:W57"/>
    <mergeCell ref="M56:M57"/>
    <mergeCell ref="W78:W84"/>
    <mergeCell ref="M78:M84"/>
    <mergeCell ref="A115:A117"/>
    <mergeCell ref="O115:O117"/>
    <mergeCell ref="U115:U117"/>
    <mergeCell ref="B115:B117"/>
    <mergeCell ref="A99:A114"/>
    <mergeCell ref="O99:O114"/>
    <mergeCell ref="U99:U114"/>
    <mergeCell ref="B99:B114"/>
    <mergeCell ref="A68:A70"/>
    <mergeCell ref="U68:U70"/>
    <mergeCell ref="L88:L90"/>
    <mergeCell ref="M88:M90"/>
    <mergeCell ref="O88:O90"/>
    <mergeCell ref="U88:U90"/>
    <mergeCell ref="L71:L77"/>
    <mergeCell ref="L85:L87"/>
    <mergeCell ref="C99:C114"/>
    <mergeCell ref="D88:D90"/>
    <mergeCell ref="A88:A90"/>
    <mergeCell ref="B88:B90"/>
    <mergeCell ref="C88:C90"/>
    <mergeCell ref="E88:E90"/>
    <mergeCell ref="A85:A87"/>
    <mergeCell ref="L68:L70"/>
    <mergeCell ref="V115:V117"/>
    <mergeCell ref="C115:C117"/>
    <mergeCell ref="W115:W117"/>
    <mergeCell ref="D115:D117"/>
    <mergeCell ref="E115:E117"/>
    <mergeCell ref="F115:F117"/>
    <mergeCell ref="G115:G117"/>
    <mergeCell ref="H115:H117"/>
    <mergeCell ref="I115:I117"/>
    <mergeCell ref="J115:J117"/>
    <mergeCell ref="K115:K117"/>
    <mergeCell ref="L115:L117"/>
    <mergeCell ref="M115:M117"/>
    <mergeCell ref="W39:W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M39:M45"/>
    <mergeCell ref="K48:K54"/>
    <mergeCell ref="L48:L54"/>
    <mergeCell ref="M48:M54"/>
    <mergeCell ref="A39:A45"/>
    <mergeCell ref="O39:O45"/>
    <mergeCell ref="U39:U45"/>
    <mergeCell ref="B39:B45"/>
    <mergeCell ref="V39:V45"/>
    <mergeCell ref="C39:C45"/>
    <mergeCell ref="V46:V47"/>
    <mergeCell ref="C46:C47"/>
    <mergeCell ref="A123:A125"/>
    <mergeCell ref="O123:O125"/>
    <mergeCell ref="U123:U125"/>
    <mergeCell ref="B123:B125"/>
    <mergeCell ref="V123:V125"/>
    <mergeCell ref="C123:C125"/>
    <mergeCell ref="W123:W125"/>
    <mergeCell ref="A31:A38"/>
    <mergeCell ref="O31:O38"/>
    <mergeCell ref="U31:U38"/>
    <mergeCell ref="B31:B38"/>
    <mergeCell ref="V31:V38"/>
    <mergeCell ref="C31:C38"/>
    <mergeCell ref="W31:W38"/>
    <mergeCell ref="V48:V54"/>
    <mergeCell ref="C48:C54"/>
    <mergeCell ref="W48:W54"/>
    <mergeCell ref="D48:D54"/>
    <mergeCell ref="E48:E54"/>
    <mergeCell ref="F48:F54"/>
    <mergeCell ref="G48:G54"/>
    <mergeCell ref="H48:H54"/>
    <mergeCell ref="I48:I54"/>
    <mergeCell ref="J48:J54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31"/>
  <sheetViews>
    <sheetView showGridLines="0" topLeftCell="H1" zoomScale="50" zoomScaleNormal="50" workbookViewId="0">
      <pane ySplit="8" topLeftCell="A12" activePane="bottomLeft" state="frozen"/>
      <selection pane="bottomLeft" activeCell="M30" sqref="M30"/>
    </sheetView>
  </sheetViews>
  <sheetFormatPr defaultColWidth="0" defaultRowHeight="18.75" x14ac:dyDescent="0.25"/>
  <cols>
    <col min="1" max="1" width="8.425781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425781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5703125" style="10" customWidth="1"/>
    <col min="15" max="16" width="24.425781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1060" t="s">
        <v>24</v>
      </c>
      <c r="F2" s="1061"/>
      <c r="G2" s="75">
        <f>SUM(G9:G9999)</f>
        <v>1357561.54</v>
      </c>
      <c r="L2" s="1312" t="s">
        <v>137</v>
      </c>
      <c r="M2" s="1313"/>
      <c r="N2" s="66">
        <f>SUM(N9:N9999)</f>
        <v>1250148.6300000001</v>
      </c>
      <c r="P2" s="65"/>
      <c r="Q2" s="752" t="s">
        <v>45</v>
      </c>
      <c r="R2" s="753"/>
      <c r="S2" s="754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314">
        <v>1</v>
      </c>
      <c r="B9" s="1278" t="s">
        <v>210</v>
      </c>
      <c r="C9" s="1278" t="s">
        <v>153</v>
      </c>
      <c r="D9" s="1278" t="s">
        <v>211</v>
      </c>
      <c r="E9" s="1281">
        <v>45649</v>
      </c>
      <c r="F9" s="1284" t="s">
        <v>212</v>
      </c>
      <c r="G9" s="1287">
        <v>774185.67</v>
      </c>
      <c r="H9" s="1290">
        <f>IF(V9 = 2, G9 + SUM(Q9:Q26) - SUM(R9:R26) - SUM(N9:N26) - T9,0)</f>
        <v>533227.23999999987</v>
      </c>
      <c r="I9" s="1293">
        <v>2308119595</v>
      </c>
      <c r="J9" s="1278" t="s">
        <v>374</v>
      </c>
      <c r="K9" s="1278" t="s">
        <v>194</v>
      </c>
      <c r="L9" s="665">
        <v>45688</v>
      </c>
      <c r="M9" s="1278" t="s">
        <v>213</v>
      </c>
      <c r="N9" s="657">
        <v>131391.35999999999</v>
      </c>
      <c r="O9" s="665">
        <v>45702</v>
      </c>
      <c r="P9" s="658"/>
      <c r="Q9" s="659"/>
      <c r="R9" s="659"/>
      <c r="S9" s="1284"/>
      <c r="T9" s="1287"/>
      <c r="U9" s="1275"/>
      <c r="V9" s="80">
        <v>2</v>
      </c>
    </row>
    <row r="10" spans="1:22" s="110" customFormat="1" x14ac:dyDescent="0.25">
      <c r="A10" s="1315"/>
      <c r="B10" s="1279"/>
      <c r="C10" s="1279"/>
      <c r="D10" s="1279"/>
      <c r="E10" s="1282"/>
      <c r="F10" s="1285"/>
      <c r="G10" s="1288"/>
      <c r="H10" s="1291"/>
      <c r="I10" s="1294"/>
      <c r="J10" s="1279"/>
      <c r="K10" s="1279"/>
      <c r="L10" s="666">
        <v>45689</v>
      </c>
      <c r="M10" s="1279"/>
      <c r="N10" s="660">
        <v>47789.14</v>
      </c>
      <c r="O10" s="666">
        <v>45701</v>
      </c>
      <c r="P10" s="661"/>
      <c r="Q10" s="662"/>
      <c r="R10" s="662"/>
      <c r="S10" s="1285"/>
      <c r="T10" s="1288"/>
      <c r="U10" s="1276"/>
      <c r="V10" s="110">
        <v>2</v>
      </c>
    </row>
    <row r="11" spans="1:22" s="110" customFormat="1" x14ac:dyDescent="0.25">
      <c r="A11" s="1315"/>
      <c r="B11" s="1279"/>
      <c r="C11" s="1279"/>
      <c r="D11" s="1279"/>
      <c r="E11" s="1282"/>
      <c r="F11" s="1285"/>
      <c r="G11" s="1288"/>
      <c r="H11" s="1291"/>
      <c r="I11" s="1294"/>
      <c r="J11" s="1279"/>
      <c r="K11" s="1279"/>
      <c r="L11" s="666">
        <v>45689</v>
      </c>
      <c r="M11" s="1279"/>
      <c r="N11" s="660">
        <v>57392.959999999999</v>
      </c>
      <c r="O11" s="666">
        <v>45702</v>
      </c>
      <c r="P11" s="661" t="s">
        <v>269</v>
      </c>
      <c r="Q11" s="662">
        <v>425814.33</v>
      </c>
      <c r="R11" s="662"/>
      <c r="S11" s="1285"/>
      <c r="T11" s="1288"/>
      <c r="U11" s="1276"/>
      <c r="V11" s="110">
        <v>2</v>
      </c>
    </row>
    <row r="12" spans="1:22" s="110" customFormat="1" x14ac:dyDescent="0.25">
      <c r="A12" s="1315"/>
      <c r="B12" s="1279"/>
      <c r="C12" s="1279"/>
      <c r="D12" s="1279"/>
      <c r="E12" s="1282"/>
      <c r="F12" s="1285"/>
      <c r="G12" s="1288"/>
      <c r="H12" s="1291"/>
      <c r="I12" s="1294"/>
      <c r="J12" s="1279"/>
      <c r="K12" s="1279"/>
      <c r="L12" s="666">
        <v>45716</v>
      </c>
      <c r="M12" s="1279"/>
      <c r="N12" s="660">
        <v>58771.25</v>
      </c>
      <c r="O12" s="666">
        <v>45734</v>
      </c>
      <c r="P12" s="661"/>
      <c r="Q12" s="662"/>
      <c r="R12" s="662"/>
      <c r="S12" s="1285"/>
      <c r="T12" s="1288"/>
      <c r="U12" s="1276"/>
      <c r="V12" s="110">
        <v>2</v>
      </c>
    </row>
    <row r="13" spans="1:22" s="110" customFormat="1" x14ac:dyDescent="0.25">
      <c r="A13" s="1315"/>
      <c r="B13" s="1279"/>
      <c r="C13" s="1279"/>
      <c r="D13" s="1279"/>
      <c r="E13" s="1282"/>
      <c r="F13" s="1285"/>
      <c r="G13" s="1288"/>
      <c r="H13" s="1291"/>
      <c r="I13" s="1294"/>
      <c r="J13" s="1279"/>
      <c r="K13" s="1279"/>
      <c r="L13" s="666">
        <v>45717</v>
      </c>
      <c r="M13" s="1279"/>
      <c r="N13" s="660">
        <v>43037.59</v>
      </c>
      <c r="O13" s="666">
        <v>45719</v>
      </c>
      <c r="P13" s="661"/>
      <c r="Q13" s="662"/>
      <c r="R13" s="662"/>
      <c r="S13" s="1285"/>
      <c r="T13" s="1288"/>
      <c r="U13" s="1276"/>
      <c r="V13" s="110">
        <v>2</v>
      </c>
    </row>
    <row r="14" spans="1:22" s="110" customFormat="1" x14ac:dyDescent="0.25">
      <c r="A14" s="1315"/>
      <c r="B14" s="1279"/>
      <c r="C14" s="1279"/>
      <c r="D14" s="1279"/>
      <c r="E14" s="1282"/>
      <c r="F14" s="1285"/>
      <c r="G14" s="1288"/>
      <c r="H14" s="1291"/>
      <c r="I14" s="1294"/>
      <c r="J14" s="1279"/>
      <c r="K14" s="1279"/>
      <c r="L14" s="666">
        <v>45717</v>
      </c>
      <c r="M14" s="1279"/>
      <c r="N14" s="660">
        <v>71393.53</v>
      </c>
      <c r="O14" s="666">
        <v>45734</v>
      </c>
      <c r="P14" s="661"/>
      <c r="Q14" s="662"/>
      <c r="R14" s="662"/>
      <c r="S14" s="1285"/>
      <c r="T14" s="1288"/>
      <c r="U14" s="1276"/>
      <c r="V14" s="110">
        <v>2</v>
      </c>
    </row>
    <row r="15" spans="1:22" s="110" customFormat="1" x14ac:dyDescent="0.25">
      <c r="A15" s="1315"/>
      <c r="B15" s="1279"/>
      <c r="C15" s="1279"/>
      <c r="D15" s="1279"/>
      <c r="E15" s="1282"/>
      <c r="F15" s="1285"/>
      <c r="G15" s="1288"/>
      <c r="H15" s="1291"/>
      <c r="I15" s="1294"/>
      <c r="J15" s="1279"/>
      <c r="K15" s="1279"/>
      <c r="L15" s="666">
        <v>45747</v>
      </c>
      <c r="M15" s="1279"/>
      <c r="N15" s="660">
        <v>3534.4</v>
      </c>
      <c r="O15" s="666">
        <v>45763</v>
      </c>
      <c r="P15" s="661"/>
      <c r="Q15" s="662"/>
      <c r="R15" s="662"/>
      <c r="S15" s="1285"/>
      <c r="T15" s="1288"/>
      <c r="U15" s="1276"/>
      <c r="V15" s="110">
        <v>2</v>
      </c>
    </row>
    <row r="16" spans="1:22" s="110" customFormat="1" x14ac:dyDescent="0.25">
      <c r="A16" s="1315"/>
      <c r="B16" s="1279"/>
      <c r="C16" s="1279"/>
      <c r="D16" s="1279"/>
      <c r="E16" s="1282"/>
      <c r="F16" s="1285"/>
      <c r="G16" s="1288"/>
      <c r="H16" s="1291"/>
      <c r="I16" s="1294"/>
      <c r="J16" s="1279"/>
      <c r="K16" s="1279"/>
      <c r="L16" s="666">
        <v>45748</v>
      </c>
      <c r="M16" s="1279"/>
      <c r="N16" s="660">
        <v>53545.15</v>
      </c>
      <c r="O16" s="666">
        <v>45748</v>
      </c>
      <c r="P16" s="661"/>
      <c r="Q16" s="662"/>
      <c r="R16" s="662"/>
      <c r="S16" s="1285"/>
      <c r="T16" s="1288"/>
      <c r="U16" s="1276"/>
      <c r="V16" s="110">
        <v>2</v>
      </c>
    </row>
    <row r="17" spans="1:22" s="110" customFormat="1" x14ac:dyDescent="0.25">
      <c r="A17" s="1315"/>
      <c r="B17" s="1279"/>
      <c r="C17" s="1279"/>
      <c r="D17" s="1279"/>
      <c r="E17" s="1282"/>
      <c r="F17" s="1285"/>
      <c r="G17" s="1288"/>
      <c r="H17" s="1291"/>
      <c r="I17" s="1294"/>
      <c r="J17" s="1279"/>
      <c r="K17" s="1279"/>
      <c r="L17" s="666">
        <v>45748</v>
      </c>
      <c r="M17" s="1279"/>
      <c r="N17" s="660">
        <v>47181</v>
      </c>
      <c r="O17" s="666">
        <v>45763</v>
      </c>
      <c r="P17" s="661"/>
      <c r="Q17" s="662"/>
      <c r="R17" s="662"/>
      <c r="S17" s="1285"/>
      <c r="T17" s="1288"/>
      <c r="U17" s="1276"/>
      <c r="V17" s="110">
        <v>2</v>
      </c>
    </row>
    <row r="18" spans="1:22" s="110" customFormat="1" x14ac:dyDescent="0.25">
      <c r="A18" s="1315"/>
      <c r="B18" s="1279"/>
      <c r="C18" s="1279"/>
      <c r="D18" s="1279"/>
      <c r="E18" s="1282"/>
      <c r="F18" s="1285"/>
      <c r="G18" s="1288"/>
      <c r="H18" s="1291"/>
      <c r="I18" s="1294"/>
      <c r="J18" s="1279"/>
      <c r="K18" s="1279"/>
      <c r="L18" s="666">
        <v>45778</v>
      </c>
      <c r="M18" s="1279"/>
      <c r="N18" s="660">
        <v>35385.760000000002</v>
      </c>
      <c r="O18" s="666">
        <v>45782</v>
      </c>
      <c r="P18" s="661"/>
      <c r="Q18" s="662"/>
      <c r="R18" s="662"/>
      <c r="S18" s="1285"/>
      <c r="T18" s="1288"/>
      <c r="U18" s="1276"/>
      <c r="V18" s="110">
        <v>2</v>
      </c>
    </row>
    <row r="19" spans="1:22" s="110" customFormat="1" x14ac:dyDescent="0.25">
      <c r="A19" s="1315"/>
      <c r="B19" s="1279"/>
      <c r="C19" s="1279"/>
      <c r="D19" s="1279"/>
      <c r="E19" s="1282"/>
      <c r="F19" s="1285"/>
      <c r="G19" s="1288"/>
      <c r="H19" s="1291"/>
      <c r="I19" s="1294"/>
      <c r="J19" s="1279"/>
      <c r="K19" s="1279"/>
      <c r="L19" s="666">
        <v>45778</v>
      </c>
      <c r="M19" s="1279"/>
      <c r="N19" s="660">
        <v>25606.9</v>
      </c>
      <c r="O19" s="666">
        <v>45791</v>
      </c>
      <c r="P19" s="661"/>
      <c r="Q19" s="662"/>
      <c r="R19" s="662"/>
      <c r="S19" s="1285"/>
      <c r="T19" s="1288"/>
      <c r="U19" s="1276"/>
      <c r="V19" s="110">
        <v>2</v>
      </c>
    </row>
    <row r="20" spans="1:22" s="110" customFormat="1" x14ac:dyDescent="0.25">
      <c r="A20" s="1315"/>
      <c r="B20" s="1279"/>
      <c r="C20" s="1279"/>
      <c r="D20" s="1279"/>
      <c r="E20" s="1282"/>
      <c r="F20" s="1285"/>
      <c r="G20" s="1288"/>
      <c r="H20" s="1291"/>
      <c r="I20" s="1294"/>
      <c r="J20" s="1279"/>
      <c r="K20" s="1279"/>
      <c r="L20" s="666">
        <v>45809</v>
      </c>
      <c r="M20" s="1279"/>
      <c r="N20" s="660">
        <v>19205.169999999998</v>
      </c>
      <c r="O20" s="666">
        <v>45810</v>
      </c>
      <c r="P20" s="661"/>
      <c r="Q20" s="662"/>
      <c r="R20" s="662"/>
      <c r="S20" s="1285"/>
      <c r="T20" s="1288"/>
      <c r="U20" s="1276"/>
      <c r="V20" s="110">
        <v>2</v>
      </c>
    </row>
    <row r="21" spans="1:22" s="110" customFormat="1" x14ac:dyDescent="0.25">
      <c r="A21" s="1315"/>
      <c r="B21" s="1279"/>
      <c r="C21" s="1279"/>
      <c r="D21" s="1279"/>
      <c r="E21" s="1282"/>
      <c r="F21" s="1285"/>
      <c r="G21" s="1288"/>
      <c r="H21" s="1291"/>
      <c r="I21" s="1294"/>
      <c r="J21" s="1279"/>
      <c r="K21" s="1279"/>
      <c r="L21" s="666">
        <v>45809</v>
      </c>
      <c r="M21" s="1279"/>
      <c r="N21" s="660">
        <v>16420.03</v>
      </c>
      <c r="O21" s="666">
        <v>45828</v>
      </c>
      <c r="P21" s="661"/>
      <c r="Q21" s="662"/>
      <c r="R21" s="662"/>
      <c r="S21" s="1285"/>
      <c r="T21" s="1288"/>
      <c r="U21" s="1276"/>
      <c r="V21" s="110">
        <v>2</v>
      </c>
    </row>
    <row r="22" spans="1:22" s="110" customFormat="1" x14ac:dyDescent="0.25">
      <c r="A22" s="1315"/>
      <c r="B22" s="1279"/>
      <c r="C22" s="1279"/>
      <c r="D22" s="1279"/>
      <c r="E22" s="1282"/>
      <c r="F22" s="1285"/>
      <c r="G22" s="1288"/>
      <c r="H22" s="1291"/>
      <c r="I22" s="1294"/>
      <c r="J22" s="1279"/>
      <c r="K22" s="1279"/>
      <c r="L22" s="666">
        <v>45839</v>
      </c>
      <c r="M22" s="1279"/>
      <c r="N22" s="660">
        <v>13401.91</v>
      </c>
      <c r="O22" s="666">
        <v>45840</v>
      </c>
      <c r="P22" s="661"/>
      <c r="Q22" s="662"/>
      <c r="R22" s="662"/>
      <c r="S22" s="1285"/>
      <c r="T22" s="1288"/>
      <c r="U22" s="1276"/>
      <c r="V22" s="110">
        <v>2</v>
      </c>
    </row>
    <row r="23" spans="1:22" s="110" customFormat="1" x14ac:dyDescent="0.25">
      <c r="A23" s="1315"/>
      <c r="B23" s="1279"/>
      <c r="C23" s="1279"/>
      <c r="D23" s="1279"/>
      <c r="E23" s="1282"/>
      <c r="F23" s="1285"/>
      <c r="G23" s="1288"/>
      <c r="H23" s="1291"/>
      <c r="I23" s="1294"/>
      <c r="J23" s="1279"/>
      <c r="K23" s="1279"/>
      <c r="L23" s="666">
        <v>45839</v>
      </c>
      <c r="M23" s="1279"/>
      <c r="N23" s="660">
        <v>14328.3</v>
      </c>
      <c r="O23" s="666">
        <v>45853</v>
      </c>
      <c r="P23" s="661"/>
      <c r="Q23" s="662"/>
      <c r="R23" s="662"/>
      <c r="S23" s="1285"/>
      <c r="T23" s="1288"/>
      <c r="U23" s="1276"/>
      <c r="V23" s="110">
        <v>2</v>
      </c>
    </row>
    <row r="24" spans="1:22" s="110" customFormat="1" x14ac:dyDescent="0.25">
      <c r="A24" s="1315"/>
      <c r="B24" s="1279"/>
      <c r="C24" s="1279"/>
      <c r="D24" s="1279"/>
      <c r="E24" s="1282"/>
      <c r="F24" s="1285"/>
      <c r="G24" s="1288"/>
      <c r="H24" s="1291"/>
      <c r="I24" s="1294"/>
      <c r="J24" s="1279"/>
      <c r="K24" s="1279"/>
      <c r="L24" s="666">
        <v>45870</v>
      </c>
      <c r="M24" s="1279"/>
      <c r="N24" s="660">
        <v>10746.23</v>
      </c>
      <c r="O24" s="666">
        <v>45874</v>
      </c>
      <c r="P24" s="661"/>
      <c r="Q24" s="662"/>
      <c r="R24" s="662"/>
      <c r="S24" s="1285"/>
      <c r="T24" s="1288"/>
      <c r="U24" s="1276"/>
      <c r="V24" s="110">
        <v>2</v>
      </c>
    </row>
    <row r="25" spans="1:22" s="110" customFormat="1" x14ac:dyDescent="0.25">
      <c r="A25" s="1315"/>
      <c r="B25" s="1279"/>
      <c r="C25" s="1279"/>
      <c r="D25" s="1279"/>
      <c r="E25" s="1282"/>
      <c r="F25" s="1285"/>
      <c r="G25" s="1288"/>
      <c r="H25" s="1291"/>
      <c r="I25" s="1294"/>
      <c r="J25" s="1279"/>
      <c r="K25" s="1279"/>
      <c r="L25" s="666">
        <v>45870</v>
      </c>
      <c r="M25" s="1279"/>
      <c r="N25" s="660">
        <v>10081.19</v>
      </c>
      <c r="O25" s="666">
        <v>45883</v>
      </c>
      <c r="P25" s="661"/>
      <c r="Q25" s="662"/>
      <c r="R25" s="662"/>
      <c r="S25" s="1285"/>
      <c r="T25" s="1288"/>
      <c r="U25" s="1276"/>
      <c r="V25" s="110">
        <v>2</v>
      </c>
    </row>
    <row r="26" spans="1:22" s="110" customFormat="1" x14ac:dyDescent="0.25">
      <c r="A26" s="1316"/>
      <c r="B26" s="1280"/>
      <c r="C26" s="1280"/>
      <c r="D26" s="1280"/>
      <c r="E26" s="1283"/>
      <c r="F26" s="1286"/>
      <c r="G26" s="1289"/>
      <c r="H26" s="1292"/>
      <c r="I26" s="1295"/>
      <c r="J26" s="1280"/>
      <c r="K26" s="1280"/>
      <c r="L26" s="667">
        <v>45901</v>
      </c>
      <c r="M26" s="1280"/>
      <c r="N26" s="698">
        <v>7560.89</v>
      </c>
      <c r="O26" s="667">
        <v>45901</v>
      </c>
      <c r="P26" s="664"/>
      <c r="Q26" s="663"/>
      <c r="R26" s="663"/>
      <c r="S26" s="1286"/>
      <c r="T26" s="1289"/>
      <c r="U26" s="1277"/>
      <c r="V26" s="110">
        <v>2</v>
      </c>
    </row>
    <row r="27" spans="1:22" s="80" customFormat="1" ht="54" customHeight="1" x14ac:dyDescent="0.25">
      <c r="A27" s="1310">
        <v>2</v>
      </c>
      <c r="B27" s="1298" t="s">
        <v>296</v>
      </c>
      <c r="C27" s="1298" t="s">
        <v>153</v>
      </c>
      <c r="D27" s="1298" t="s">
        <v>235</v>
      </c>
      <c r="E27" s="1300">
        <v>45708</v>
      </c>
      <c r="F27" s="1302" t="s">
        <v>236</v>
      </c>
      <c r="G27" s="1304">
        <v>498597.22</v>
      </c>
      <c r="H27" s="1306">
        <f>IF(V27 = 3, G27 + SUM(Q27:Q28) - SUM(R27:R28) - SUM(N27:N28) - T27,0)</f>
        <v>-5.8207660913467407E-11</v>
      </c>
      <c r="I27" s="1308">
        <v>7715995942</v>
      </c>
      <c r="J27" s="1298" t="s">
        <v>238</v>
      </c>
      <c r="K27" s="1298" t="s">
        <v>239</v>
      </c>
      <c r="L27" s="214">
        <v>45749</v>
      </c>
      <c r="M27" s="1298" t="s">
        <v>240</v>
      </c>
      <c r="N27" s="299">
        <v>401134.14</v>
      </c>
      <c r="O27" s="214">
        <v>45772</v>
      </c>
      <c r="P27" s="210"/>
      <c r="Q27" s="211"/>
      <c r="R27" s="211"/>
      <c r="S27" s="1302"/>
      <c r="T27" s="1304"/>
      <c r="U27" s="1296"/>
      <c r="V27" s="80">
        <v>3</v>
      </c>
    </row>
    <row r="28" spans="1:22" s="110" customFormat="1" x14ac:dyDescent="0.25">
      <c r="A28" s="1311"/>
      <c r="B28" s="1299"/>
      <c r="C28" s="1299"/>
      <c r="D28" s="1299"/>
      <c r="E28" s="1301"/>
      <c r="F28" s="1303"/>
      <c r="G28" s="1305"/>
      <c r="H28" s="1307"/>
      <c r="I28" s="1309"/>
      <c r="J28" s="1299"/>
      <c r="K28" s="1299"/>
      <c r="L28" s="215">
        <v>45781</v>
      </c>
      <c r="M28" s="1299"/>
      <c r="N28" s="385">
        <v>97463.08</v>
      </c>
      <c r="O28" s="215">
        <v>45806</v>
      </c>
      <c r="P28" s="213"/>
      <c r="Q28" s="212"/>
      <c r="R28" s="212"/>
      <c r="S28" s="1303"/>
      <c r="T28" s="1305"/>
      <c r="U28" s="1297"/>
      <c r="V28" s="110">
        <v>3</v>
      </c>
    </row>
    <row r="29" spans="1:22" s="80" customFormat="1" ht="75" x14ac:dyDescent="0.25">
      <c r="A29" s="183">
        <v>3</v>
      </c>
      <c r="B29" s="175" t="s">
        <v>297</v>
      </c>
      <c r="C29" s="175" t="s">
        <v>153</v>
      </c>
      <c r="D29" s="175" t="s">
        <v>237</v>
      </c>
      <c r="E29" s="184">
        <v>45713</v>
      </c>
      <c r="F29" s="181" t="s">
        <v>236</v>
      </c>
      <c r="G29" s="177">
        <v>64560.65</v>
      </c>
      <c r="H29" s="178">
        <f>IF(V29 = 4, G29 + SUM(Q29:Q29) - SUM(R29:R29) - SUM(N29:N29) - T29,0)</f>
        <v>0</v>
      </c>
      <c r="I29" s="182">
        <v>7715995942</v>
      </c>
      <c r="J29" s="180" t="s">
        <v>238</v>
      </c>
      <c r="K29" s="180" t="s">
        <v>293</v>
      </c>
      <c r="L29" s="184">
        <v>45781</v>
      </c>
      <c r="M29" s="180" t="s">
        <v>240</v>
      </c>
      <c r="N29" s="386">
        <v>64560.65</v>
      </c>
      <c r="O29" s="184">
        <v>45806</v>
      </c>
      <c r="P29" s="176"/>
      <c r="Q29" s="177"/>
      <c r="R29" s="177"/>
      <c r="S29" s="176"/>
      <c r="T29" s="177"/>
      <c r="U29" s="179"/>
      <c r="V29" s="80">
        <v>4</v>
      </c>
    </row>
    <row r="30" spans="1:22" s="80" customFormat="1" ht="75" x14ac:dyDescent="0.25">
      <c r="A30" s="300">
        <v>4</v>
      </c>
      <c r="B30" s="294" t="s">
        <v>295</v>
      </c>
      <c r="C30" s="175" t="s">
        <v>153</v>
      </c>
      <c r="D30" s="294" t="s">
        <v>292</v>
      </c>
      <c r="E30" s="302">
        <v>45771</v>
      </c>
      <c r="F30" s="181" t="s">
        <v>236</v>
      </c>
      <c r="G30" s="297">
        <v>20218</v>
      </c>
      <c r="H30" s="298">
        <f>IF(V30 = 5, G30 + SUM(Q30:Q30) - SUM(R30:R30) - SUM(N30:N30) - T30,0)</f>
        <v>0</v>
      </c>
      <c r="I30" s="301">
        <v>7715995942</v>
      </c>
      <c r="J30" s="180" t="s">
        <v>238</v>
      </c>
      <c r="K30" s="294" t="s">
        <v>294</v>
      </c>
      <c r="L30" s="302">
        <v>45864</v>
      </c>
      <c r="M30" s="180" t="s">
        <v>240</v>
      </c>
      <c r="N30" s="306">
        <v>20218</v>
      </c>
      <c r="O30" s="302">
        <v>45884</v>
      </c>
      <c r="P30" s="296"/>
      <c r="Q30" s="297"/>
      <c r="R30" s="297"/>
      <c r="S30" s="296"/>
      <c r="T30" s="297"/>
      <c r="U30" s="295"/>
      <c r="V30" s="80">
        <v>5</v>
      </c>
    </row>
    <row r="31" spans="1:22" x14ac:dyDescent="0.25">
      <c r="V31" s="2">
        <v>6</v>
      </c>
    </row>
  </sheetData>
  <sheetProtection algorithmName="SHA-512" hashValue="yvOzl2QwOyKlF1rP5efeKScLtCSmTgB3MDqTnJqGm8+NgJn/8K6G28lkIhDwJCnMCbgaj37B6vWBdkCOP7GgAg==" saltValue="Hv605QYiiqbJVrWqHFL5WA==" spinCount="100000" sheet="1" objects="1" scenarios="1" formatCells="0" formatColumns="0" formatRows="0"/>
  <mergeCells count="33">
    <mergeCell ref="A27:A28"/>
    <mergeCell ref="M27:M28"/>
    <mergeCell ref="S27:S28"/>
    <mergeCell ref="Q2:S2"/>
    <mergeCell ref="E2:F2"/>
    <mergeCell ref="L2:M2"/>
    <mergeCell ref="B27:B28"/>
    <mergeCell ref="C27:C28"/>
    <mergeCell ref="B9:B26"/>
    <mergeCell ref="C9:C26"/>
    <mergeCell ref="A9:A26"/>
    <mergeCell ref="U27:U28"/>
    <mergeCell ref="D27:D28"/>
    <mergeCell ref="E27:E28"/>
    <mergeCell ref="F27:F28"/>
    <mergeCell ref="G27:G28"/>
    <mergeCell ref="H27:H28"/>
    <mergeCell ref="I27:I28"/>
    <mergeCell ref="J27:J28"/>
    <mergeCell ref="K27:K28"/>
    <mergeCell ref="T27:T28"/>
    <mergeCell ref="U9:U26"/>
    <mergeCell ref="D9:D26"/>
    <mergeCell ref="E9:E26"/>
    <mergeCell ref="F9:F26"/>
    <mergeCell ref="G9:G26"/>
    <mergeCell ref="H9:H26"/>
    <mergeCell ref="S9:S26"/>
    <mergeCell ref="T9:T26"/>
    <mergeCell ref="I9:I26"/>
    <mergeCell ref="J9:J26"/>
    <mergeCell ref="K9:K26"/>
    <mergeCell ref="M9:M26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5"/>
  <sheetViews>
    <sheetView showGridLines="0" topLeftCell="K1" zoomScale="50" zoomScaleNormal="50" workbookViewId="0">
      <pane ySplit="8" topLeftCell="A9" activePane="bottomLeft" state="frozen"/>
      <selection pane="bottomLeft" activeCell="W9" sqref="W9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5703125" style="3" customWidth="1"/>
    <col min="4" max="6" width="33.5703125" style="3" customWidth="1"/>
    <col min="7" max="8" width="22.42578125" style="10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42578125" style="11" customWidth="1"/>
    <col min="21" max="21" width="27.570312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570312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060" t="s">
        <v>139</v>
      </c>
      <c r="F2" s="1061"/>
      <c r="G2" s="77">
        <f>SUM(G9:G9999)</f>
        <v>1339144.2</v>
      </c>
      <c r="O2" s="1060" t="s">
        <v>24</v>
      </c>
      <c r="P2" s="1061"/>
      <c r="Q2" s="75">
        <f>SUM(Q9:Q9999)</f>
        <v>1272465</v>
      </c>
      <c r="T2" s="752" t="s">
        <v>137</v>
      </c>
      <c r="U2" s="754"/>
      <c r="V2" s="66">
        <f>SUM(V9:V9999)</f>
        <v>674200.8</v>
      </c>
      <c r="X2" s="65"/>
      <c r="Y2" s="752" t="s">
        <v>45</v>
      </c>
      <c r="Z2" s="753"/>
      <c r="AA2" s="754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35" customHeight="1" x14ac:dyDescent="0.25">
      <c r="A9" s="1317">
        <v>1</v>
      </c>
      <c r="B9" s="1320" t="s">
        <v>56</v>
      </c>
      <c r="C9" s="1320" t="s">
        <v>214</v>
      </c>
      <c r="D9" s="1320" t="s">
        <v>153</v>
      </c>
      <c r="E9" s="1320" t="s">
        <v>215</v>
      </c>
      <c r="F9" s="1320" t="s">
        <v>150</v>
      </c>
      <c r="G9" s="1329">
        <v>740880</v>
      </c>
      <c r="H9" s="1332">
        <f>IF(AD9 = 1, G9 - Q9,0)</f>
        <v>66679.199999999953</v>
      </c>
      <c r="I9" s="1329">
        <v>2</v>
      </c>
      <c r="J9" s="1329">
        <v>0</v>
      </c>
      <c r="K9" s="1320" t="s">
        <v>174</v>
      </c>
      <c r="L9" s="1320" t="s">
        <v>216</v>
      </c>
      <c r="M9" s="1320" t="s">
        <v>215</v>
      </c>
      <c r="N9" s="1341">
        <v>45649</v>
      </c>
      <c r="O9" s="1320" t="s">
        <v>193</v>
      </c>
      <c r="P9" s="1320" t="s">
        <v>151</v>
      </c>
      <c r="Q9" s="1329">
        <v>674200.8</v>
      </c>
      <c r="R9" s="1332">
        <f>IF(AD9 = 1, Q9 + SUM(Y9:Y13) - SUM(Z9:Z13) - SUM(V9:V13) - AB9,0)</f>
        <v>0</v>
      </c>
      <c r="S9" s="1320" t="s">
        <v>217</v>
      </c>
      <c r="T9" s="381">
        <v>45692</v>
      </c>
      <c r="U9" s="1323" t="s">
        <v>152</v>
      </c>
      <c r="V9" s="373">
        <v>142178.4</v>
      </c>
      <c r="W9" s="384">
        <v>45700</v>
      </c>
      <c r="X9" s="374"/>
      <c r="Y9" s="375"/>
      <c r="Z9" s="375"/>
      <c r="AA9" s="1326"/>
      <c r="AB9" s="1335"/>
      <c r="AC9" s="1338"/>
      <c r="AD9" s="80">
        <v>1</v>
      </c>
    </row>
    <row r="10" spans="1:30" s="110" customFormat="1" x14ac:dyDescent="0.25">
      <c r="A10" s="1318"/>
      <c r="B10" s="1321"/>
      <c r="C10" s="1321"/>
      <c r="D10" s="1321"/>
      <c r="E10" s="1321"/>
      <c r="F10" s="1321"/>
      <c r="G10" s="1330"/>
      <c r="H10" s="1333"/>
      <c r="I10" s="1330"/>
      <c r="J10" s="1330"/>
      <c r="K10" s="1321"/>
      <c r="L10" s="1321"/>
      <c r="M10" s="1321"/>
      <c r="N10" s="1342"/>
      <c r="O10" s="1321"/>
      <c r="P10" s="1321"/>
      <c r="Q10" s="1330"/>
      <c r="R10" s="1333"/>
      <c r="S10" s="1321"/>
      <c r="T10" s="382">
        <v>45720</v>
      </c>
      <c r="U10" s="1324"/>
      <c r="V10" s="376">
        <v>128419.2</v>
      </c>
      <c r="W10" s="382">
        <v>45722</v>
      </c>
      <c r="X10" s="377"/>
      <c r="Y10" s="378"/>
      <c r="Z10" s="378"/>
      <c r="AA10" s="1327"/>
      <c r="AB10" s="1336"/>
      <c r="AC10" s="1339"/>
      <c r="AD10" s="110">
        <v>1</v>
      </c>
    </row>
    <row r="11" spans="1:30" s="110" customFormat="1" x14ac:dyDescent="0.25">
      <c r="A11" s="1318"/>
      <c r="B11" s="1321"/>
      <c r="C11" s="1321"/>
      <c r="D11" s="1321"/>
      <c r="E11" s="1321"/>
      <c r="F11" s="1321"/>
      <c r="G11" s="1330"/>
      <c r="H11" s="1333"/>
      <c r="I11" s="1330"/>
      <c r="J11" s="1330"/>
      <c r="K11" s="1321"/>
      <c r="L11" s="1321"/>
      <c r="M11" s="1321"/>
      <c r="N11" s="1342"/>
      <c r="O11" s="1321"/>
      <c r="P11" s="1321"/>
      <c r="Q11" s="1330"/>
      <c r="R11" s="1333"/>
      <c r="S11" s="1321"/>
      <c r="T11" s="382">
        <v>45750</v>
      </c>
      <c r="U11" s="1324"/>
      <c r="V11" s="376">
        <v>142178.4</v>
      </c>
      <c r="W11" s="382">
        <v>45754</v>
      </c>
      <c r="X11" s="377"/>
      <c r="Y11" s="378"/>
      <c r="Z11" s="378"/>
      <c r="AA11" s="1327"/>
      <c r="AB11" s="1336"/>
      <c r="AC11" s="1339"/>
      <c r="AD11" s="110">
        <v>1</v>
      </c>
    </row>
    <row r="12" spans="1:30" s="110" customFormat="1" x14ac:dyDescent="0.25">
      <c r="A12" s="1318"/>
      <c r="B12" s="1321"/>
      <c r="C12" s="1321"/>
      <c r="D12" s="1321"/>
      <c r="E12" s="1321"/>
      <c r="F12" s="1321"/>
      <c r="G12" s="1330"/>
      <c r="H12" s="1333"/>
      <c r="I12" s="1330"/>
      <c r="J12" s="1330"/>
      <c r="K12" s="1321"/>
      <c r="L12" s="1321"/>
      <c r="M12" s="1321"/>
      <c r="N12" s="1342"/>
      <c r="O12" s="1321"/>
      <c r="P12" s="1321"/>
      <c r="Q12" s="1330"/>
      <c r="R12" s="1333"/>
      <c r="S12" s="1321"/>
      <c r="T12" s="382">
        <v>45781</v>
      </c>
      <c r="U12" s="1324"/>
      <c r="V12" s="376">
        <v>137592</v>
      </c>
      <c r="W12" s="382">
        <v>45782</v>
      </c>
      <c r="X12" s="377"/>
      <c r="Y12" s="378"/>
      <c r="Z12" s="378"/>
      <c r="AA12" s="1327"/>
      <c r="AB12" s="1336"/>
      <c r="AC12" s="1339"/>
      <c r="AD12" s="110">
        <v>1</v>
      </c>
    </row>
    <row r="13" spans="1:30" s="110" customFormat="1" x14ac:dyDescent="0.25">
      <c r="A13" s="1319"/>
      <c r="B13" s="1322"/>
      <c r="C13" s="1322"/>
      <c r="D13" s="1322"/>
      <c r="E13" s="1322"/>
      <c r="F13" s="1322"/>
      <c r="G13" s="1331"/>
      <c r="H13" s="1334"/>
      <c r="I13" s="1331"/>
      <c r="J13" s="1331"/>
      <c r="K13" s="1322"/>
      <c r="L13" s="1322"/>
      <c r="M13" s="1322"/>
      <c r="N13" s="1343"/>
      <c r="O13" s="1322"/>
      <c r="P13" s="1322"/>
      <c r="Q13" s="1331"/>
      <c r="R13" s="1334"/>
      <c r="S13" s="1322"/>
      <c r="T13" s="383">
        <v>45805</v>
      </c>
      <c r="U13" s="1325"/>
      <c r="V13" s="389">
        <v>123832.8</v>
      </c>
      <c r="W13" s="383">
        <v>45811</v>
      </c>
      <c r="X13" s="380"/>
      <c r="Y13" s="379"/>
      <c r="Z13" s="379"/>
      <c r="AA13" s="1328"/>
      <c r="AB13" s="1337"/>
      <c r="AC13" s="1340"/>
      <c r="AD13" s="110">
        <v>1</v>
      </c>
    </row>
    <row r="14" spans="1:30" s="80" customFormat="1" ht="93.75" x14ac:dyDescent="0.25">
      <c r="A14" s="447">
        <v>2</v>
      </c>
      <c r="B14" s="448" t="s">
        <v>56</v>
      </c>
      <c r="C14" s="448" t="s">
        <v>347</v>
      </c>
      <c r="D14" s="448" t="s">
        <v>153</v>
      </c>
      <c r="E14" s="448" t="s">
        <v>348</v>
      </c>
      <c r="F14" s="448" t="s">
        <v>349</v>
      </c>
      <c r="G14" s="444">
        <v>598264.19999999995</v>
      </c>
      <c r="H14" s="449">
        <f>IF(AD14 = 4, G14 - Q14,0)</f>
        <v>0</v>
      </c>
      <c r="I14" s="444">
        <v>2</v>
      </c>
      <c r="J14" s="444">
        <v>0</v>
      </c>
      <c r="K14" s="448" t="s">
        <v>174</v>
      </c>
      <c r="L14" s="448" t="s">
        <v>350</v>
      </c>
      <c r="M14" s="448" t="s">
        <v>348</v>
      </c>
      <c r="N14" s="451">
        <v>45838</v>
      </c>
      <c r="O14" s="448" t="s">
        <v>157</v>
      </c>
      <c r="P14" s="448" t="s">
        <v>158</v>
      </c>
      <c r="Q14" s="444">
        <v>598264.19999999995</v>
      </c>
      <c r="R14" s="449">
        <f>IF(AD14 = 4, Q14 + SUM(Y14:Y14) - SUM(Z14:Z14) - SUM(V14:V14) - AB14,0)</f>
        <v>598264.19999999995</v>
      </c>
      <c r="S14" s="448" t="s">
        <v>351</v>
      </c>
      <c r="T14" s="451"/>
      <c r="U14" s="450" t="s">
        <v>152</v>
      </c>
      <c r="V14" s="444"/>
      <c r="W14" s="451"/>
      <c r="X14" s="448"/>
      <c r="Y14" s="444"/>
      <c r="Z14" s="444"/>
      <c r="AA14" s="450"/>
      <c r="AB14" s="444"/>
      <c r="AC14" s="448"/>
      <c r="AD14" s="80">
        <v>4</v>
      </c>
    </row>
    <row r="15" spans="1:30" x14ac:dyDescent="0.25">
      <c r="AD15" s="2">
        <v>5</v>
      </c>
    </row>
  </sheetData>
  <sheetProtection algorithmName="SHA-512" hashValue="WT6fq/PJjUK0iTx+uf/Oww+6v68/Vk6dWI9FgGucI4a5aFYPfwOh7S4zWcFUKj2qnCThchtl+dbFpKpKtBryuA==" saltValue="YPLLhOAjVTNZ9rXJ8SUb2w==" spinCount="100000" sheet="1" objects="1" scenarios="1" formatCells="0" formatColumns="0" formatRows="0"/>
  <mergeCells count="27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A9:A13"/>
    <mergeCell ref="B9:B13"/>
    <mergeCell ref="U9:U13"/>
    <mergeCell ref="AA9:AA13"/>
    <mergeCell ref="E2:F2"/>
    <mergeCell ref="O2:P2"/>
    <mergeCell ref="Y2:AA2"/>
    <mergeCell ref="T2:U2"/>
    <mergeCell ref="Q9:Q13"/>
    <mergeCell ref="R9:R13"/>
    <mergeCell ref="S9:S13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8"/>
  <sheetViews>
    <sheetView showGridLines="0" topLeftCell="O1" zoomScale="50" zoomScaleNormal="50" workbookViewId="0">
      <pane ySplit="8" topLeftCell="A9" activePane="bottomLeft" state="frozen"/>
      <selection pane="bottomLeft" activeCell="V9" sqref="V9:V17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5703125" style="3" customWidth="1"/>
    <col min="7" max="7" width="22.42578125" style="10" customWidth="1"/>
    <col min="8" max="8" width="22.42578125" style="2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425781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060" t="s">
        <v>139</v>
      </c>
      <c r="F2" s="1061"/>
      <c r="G2" s="77">
        <f>SUM(G9:G9999)</f>
        <v>847247.54</v>
      </c>
      <c r="H2" s="10"/>
      <c r="O2" s="1060" t="s">
        <v>24</v>
      </c>
      <c r="P2" s="1061"/>
      <c r="Q2" s="75">
        <f>SUM(Q9:Q9999)</f>
        <v>847247.54</v>
      </c>
      <c r="T2" s="752" t="s">
        <v>137</v>
      </c>
      <c r="U2" s="754"/>
      <c r="V2" s="66">
        <f>SUM(V9:V9999)</f>
        <v>792072.19</v>
      </c>
      <c r="X2" s="65"/>
      <c r="Y2" s="752" t="s">
        <v>45</v>
      </c>
      <c r="Z2" s="753"/>
      <c r="AA2" s="754"/>
      <c r="AB2" s="67">
        <f>SUM(AB9:AB9999)</f>
        <v>55175.35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22" t="s">
        <v>36</v>
      </c>
      <c r="B8" s="122"/>
      <c r="C8" s="122" t="s">
        <v>73</v>
      </c>
      <c r="D8" s="122" t="s">
        <v>74</v>
      </c>
      <c r="E8" s="122" t="s">
        <v>71</v>
      </c>
      <c r="F8" s="122" t="s">
        <v>72</v>
      </c>
      <c r="G8" s="123">
        <v>15500.01</v>
      </c>
      <c r="H8" s="123">
        <f t="shared" ref="H8" si="0">G8-Q8</f>
        <v>6725</v>
      </c>
      <c r="I8" s="124">
        <v>6</v>
      </c>
      <c r="J8" s="124">
        <v>0</v>
      </c>
      <c r="K8" s="122" t="s">
        <v>75</v>
      </c>
      <c r="L8" s="122" t="s">
        <v>76</v>
      </c>
      <c r="M8" s="122" t="s">
        <v>77</v>
      </c>
      <c r="N8" s="125">
        <v>43655</v>
      </c>
      <c r="O8" s="122" t="s">
        <v>79</v>
      </c>
      <c r="P8" s="122" t="s">
        <v>78</v>
      </c>
      <c r="Q8" s="123">
        <v>8775.01</v>
      </c>
      <c r="R8" s="123">
        <f>Q8-V8</f>
        <v>0</v>
      </c>
      <c r="S8" s="122" t="s">
        <v>80</v>
      </c>
      <c r="T8" s="125">
        <v>43677</v>
      </c>
      <c r="U8" s="122" t="s">
        <v>81</v>
      </c>
      <c r="V8" s="123">
        <v>8775.01</v>
      </c>
      <c r="W8" s="125">
        <v>43696</v>
      </c>
      <c r="X8" s="122"/>
      <c r="Y8" s="122"/>
      <c r="Z8" s="122"/>
      <c r="AA8" s="122"/>
      <c r="AB8" s="123"/>
      <c r="AC8" s="126" t="s">
        <v>64</v>
      </c>
    </row>
    <row r="9" spans="1:30" s="80" customFormat="1" ht="54.6" customHeight="1" x14ac:dyDescent="0.25">
      <c r="A9" s="1356">
        <v>1</v>
      </c>
      <c r="B9" s="1350" t="s">
        <v>56</v>
      </c>
      <c r="C9" s="1350" t="s">
        <v>218</v>
      </c>
      <c r="D9" s="1350" t="s">
        <v>153</v>
      </c>
      <c r="E9" s="1350" t="s">
        <v>219</v>
      </c>
      <c r="F9" s="1350" t="s">
        <v>160</v>
      </c>
      <c r="G9" s="1344">
        <v>847247.54</v>
      </c>
      <c r="H9" s="1348">
        <f>IF(AD9 = 1, G9 - Q9,0)</f>
        <v>0</v>
      </c>
      <c r="I9" s="1344">
        <v>1</v>
      </c>
      <c r="J9" s="1344">
        <v>0</v>
      </c>
      <c r="K9" s="1350" t="s">
        <v>174</v>
      </c>
      <c r="L9" s="1352" t="s">
        <v>221</v>
      </c>
      <c r="M9" s="1350" t="s">
        <v>156</v>
      </c>
      <c r="N9" s="1354">
        <v>45642</v>
      </c>
      <c r="O9" s="1350" t="s">
        <v>157</v>
      </c>
      <c r="P9" s="1350" t="s">
        <v>158</v>
      </c>
      <c r="Q9" s="1344">
        <v>847247.54</v>
      </c>
      <c r="R9" s="1348">
        <f>IF(AD9 = 1, Q9 + SUM(Y9:Y17) - SUM(Z9:Z17) - SUM(V9:V17) - AB9,0)</f>
        <v>9.4587448984384537E-11</v>
      </c>
      <c r="S9" s="1350" t="s">
        <v>220</v>
      </c>
      <c r="T9" s="425">
        <v>45681</v>
      </c>
      <c r="U9" s="1350" t="s">
        <v>159</v>
      </c>
      <c r="V9" s="419">
        <v>65390.78</v>
      </c>
      <c r="W9" s="425">
        <v>45712</v>
      </c>
      <c r="X9" s="420"/>
      <c r="Y9" s="421"/>
      <c r="Z9" s="421"/>
      <c r="AA9" s="1350" t="s">
        <v>340</v>
      </c>
      <c r="AB9" s="1344">
        <v>55175.35</v>
      </c>
      <c r="AC9" s="1346"/>
      <c r="AD9" s="80">
        <v>1</v>
      </c>
    </row>
    <row r="10" spans="1:30" s="110" customFormat="1" x14ac:dyDescent="0.25">
      <c r="A10" s="1357"/>
      <c r="B10" s="1351"/>
      <c r="C10" s="1351"/>
      <c r="D10" s="1351"/>
      <c r="E10" s="1351"/>
      <c r="F10" s="1351"/>
      <c r="G10" s="1345"/>
      <c r="H10" s="1349"/>
      <c r="I10" s="1345"/>
      <c r="J10" s="1345"/>
      <c r="K10" s="1351"/>
      <c r="L10" s="1353"/>
      <c r="M10" s="1351"/>
      <c r="N10" s="1355"/>
      <c r="O10" s="1351"/>
      <c r="P10" s="1351"/>
      <c r="Q10" s="1345"/>
      <c r="R10" s="1349"/>
      <c r="S10" s="1351"/>
      <c r="T10" s="426">
        <v>45695</v>
      </c>
      <c r="U10" s="1351"/>
      <c r="V10" s="422">
        <v>95675.45</v>
      </c>
      <c r="W10" s="426">
        <v>45712</v>
      </c>
      <c r="X10" s="423"/>
      <c r="Y10" s="424"/>
      <c r="Z10" s="424"/>
      <c r="AA10" s="1351"/>
      <c r="AB10" s="1345"/>
      <c r="AC10" s="1347"/>
      <c r="AD10" s="110">
        <v>1</v>
      </c>
    </row>
    <row r="11" spans="1:30" s="110" customFormat="1" x14ac:dyDescent="0.25">
      <c r="A11" s="1357"/>
      <c r="B11" s="1351"/>
      <c r="C11" s="1351"/>
      <c r="D11" s="1351"/>
      <c r="E11" s="1351"/>
      <c r="F11" s="1351"/>
      <c r="G11" s="1345"/>
      <c r="H11" s="1349"/>
      <c r="I11" s="1345"/>
      <c r="J11" s="1345"/>
      <c r="K11" s="1351"/>
      <c r="L11" s="1353"/>
      <c r="M11" s="1351"/>
      <c r="N11" s="1355"/>
      <c r="O11" s="1351"/>
      <c r="P11" s="1351"/>
      <c r="Q11" s="1345"/>
      <c r="R11" s="1349"/>
      <c r="S11" s="1351"/>
      <c r="T11" s="426">
        <v>45709</v>
      </c>
      <c r="U11" s="1351"/>
      <c r="V11" s="422">
        <v>81512.47</v>
      </c>
      <c r="W11" s="426">
        <v>45716</v>
      </c>
      <c r="X11" s="423"/>
      <c r="Y11" s="424"/>
      <c r="Z11" s="424"/>
      <c r="AA11" s="1351"/>
      <c r="AB11" s="1345"/>
      <c r="AC11" s="1347"/>
      <c r="AD11" s="110">
        <v>1</v>
      </c>
    </row>
    <row r="12" spans="1:30" s="110" customFormat="1" x14ac:dyDescent="0.25">
      <c r="A12" s="1357"/>
      <c r="B12" s="1351"/>
      <c r="C12" s="1351"/>
      <c r="D12" s="1351"/>
      <c r="E12" s="1351"/>
      <c r="F12" s="1351"/>
      <c r="G12" s="1345"/>
      <c r="H12" s="1349"/>
      <c r="I12" s="1345"/>
      <c r="J12" s="1345"/>
      <c r="K12" s="1351"/>
      <c r="L12" s="1353"/>
      <c r="M12" s="1351"/>
      <c r="N12" s="1355"/>
      <c r="O12" s="1351"/>
      <c r="P12" s="1351"/>
      <c r="Q12" s="1345"/>
      <c r="R12" s="1349"/>
      <c r="S12" s="1351"/>
      <c r="T12" s="426">
        <v>45722</v>
      </c>
      <c r="U12" s="1351"/>
      <c r="V12" s="422">
        <v>65993.460000000006</v>
      </c>
      <c r="W12" s="426">
        <v>45728</v>
      </c>
      <c r="X12" s="423"/>
      <c r="Y12" s="424"/>
      <c r="Z12" s="424"/>
      <c r="AA12" s="1351"/>
      <c r="AB12" s="1345"/>
      <c r="AC12" s="1347"/>
      <c r="AD12" s="110">
        <v>1</v>
      </c>
    </row>
    <row r="13" spans="1:30" s="110" customFormat="1" x14ac:dyDescent="0.25">
      <c r="A13" s="1357"/>
      <c r="B13" s="1351"/>
      <c r="C13" s="1351"/>
      <c r="D13" s="1351"/>
      <c r="E13" s="1351"/>
      <c r="F13" s="1351"/>
      <c r="G13" s="1345"/>
      <c r="H13" s="1349"/>
      <c r="I13" s="1345"/>
      <c r="J13" s="1345"/>
      <c r="K13" s="1351"/>
      <c r="L13" s="1353"/>
      <c r="M13" s="1351"/>
      <c r="N13" s="1355"/>
      <c r="O13" s="1351"/>
      <c r="P13" s="1351"/>
      <c r="Q13" s="1345"/>
      <c r="R13" s="1349"/>
      <c r="S13" s="1351"/>
      <c r="T13" s="426">
        <v>45737</v>
      </c>
      <c r="U13" s="1351"/>
      <c r="V13" s="422">
        <v>87689.94</v>
      </c>
      <c r="W13" s="426">
        <v>45749</v>
      </c>
      <c r="X13" s="423"/>
      <c r="Y13" s="424"/>
      <c r="Z13" s="424"/>
      <c r="AA13" s="1351"/>
      <c r="AB13" s="1345"/>
      <c r="AC13" s="1347"/>
      <c r="AD13" s="110">
        <v>1</v>
      </c>
    </row>
    <row r="14" spans="1:30" s="110" customFormat="1" x14ac:dyDescent="0.25">
      <c r="A14" s="1357"/>
      <c r="B14" s="1351"/>
      <c r="C14" s="1351"/>
      <c r="D14" s="1351"/>
      <c r="E14" s="1351"/>
      <c r="F14" s="1351"/>
      <c r="G14" s="1345"/>
      <c r="H14" s="1349"/>
      <c r="I14" s="1345"/>
      <c r="J14" s="1345"/>
      <c r="K14" s="1351"/>
      <c r="L14" s="1353"/>
      <c r="M14" s="1351"/>
      <c r="N14" s="1355"/>
      <c r="O14" s="1351"/>
      <c r="P14" s="1351"/>
      <c r="Q14" s="1345"/>
      <c r="R14" s="1349"/>
      <c r="S14" s="1351"/>
      <c r="T14" s="426">
        <v>45754</v>
      </c>
      <c r="U14" s="1351"/>
      <c r="V14" s="422">
        <v>61172.02</v>
      </c>
      <c r="W14" s="426">
        <v>45762</v>
      </c>
      <c r="X14" s="423"/>
      <c r="Y14" s="424"/>
      <c r="Z14" s="424"/>
      <c r="AA14" s="1351"/>
      <c r="AB14" s="1345"/>
      <c r="AC14" s="1347"/>
      <c r="AD14" s="110">
        <v>1</v>
      </c>
    </row>
    <row r="15" spans="1:30" s="110" customFormat="1" x14ac:dyDescent="0.25">
      <c r="A15" s="1357"/>
      <c r="B15" s="1351"/>
      <c r="C15" s="1351"/>
      <c r="D15" s="1351"/>
      <c r="E15" s="1351"/>
      <c r="F15" s="1351"/>
      <c r="G15" s="1345"/>
      <c r="H15" s="1349"/>
      <c r="I15" s="1345"/>
      <c r="J15" s="1345"/>
      <c r="K15" s="1351"/>
      <c r="L15" s="1353"/>
      <c r="M15" s="1351"/>
      <c r="N15" s="1355"/>
      <c r="O15" s="1351"/>
      <c r="P15" s="1351"/>
      <c r="Q15" s="1345"/>
      <c r="R15" s="1349"/>
      <c r="S15" s="1351"/>
      <c r="T15" s="426">
        <v>45761</v>
      </c>
      <c r="U15" s="1351"/>
      <c r="V15" s="422">
        <v>88141.95</v>
      </c>
      <c r="W15" s="426">
        <v>45762</v>
      </c>
      <c r="X15" s="423"/>
      <c r="Y15" s="424"/>
      <c r="Z15" s="424"/>
      <c r="AA15" s="1351"/>
      <c r="AB15" s="1345"/>
      <c r="AC15" s="1347"/>
      <c r="AD15" s="110">
        <v>1</v>
      </c>
    </row>
    <row r="16" spans="1:30" s="110" customFormat="1" x14ac:dyDescent="0.25">
      <c r="A16" s="1357"/>
      <c r="B16" s="1351"/>
      <c r="C16" s="1351"/>
      <c r="D16" s="1351"/>
      <c r="E16" s="1351"/>
      <c r="F16" s="1351"/>
      <c r="G16" s="1345"/>
      <c r="H16" s="1349"/>
      <c r="I16" s="1345"/>
      <c r="J16" s="1345"/>
      <c r="K16" s="1351"/>
      <c r="L16" s="1353"/>
      <c r="M16" s="1351"/>
      <c r="N16" s="1355"/>
      <c r="O16" s="1351"/>
      <c r="P16" s="1351"/>
      <c r="Q16" s="1345"/>
      <c r="R16" s="1349"/>
      <c r="S16" s="1351"/>
      <c r="T16" s="426">
        <v>45790</v>
      </c>
      <c r="U16" s="1351"/>
      <c r="V16" s="422">
        <v>116467.91</v>
      </c>
      <c r="W16" s="426">
        <v>45791</v>
      </c>
      <c r="X16" s="423"/>
      <c r="Y16" s="424"/>
      <c r="Z16" s="424"/>
      <c r="AA16" s="1351"/>
      <c r="AB16" s="1345"/>
      <c r="AC16" s="1347"/>
      <c r="AD16" s="110">
        <v>1</v>
      </c>
    </row>
    <row r="17" spans="1:30" s="110" customFormat="1" x14ac:dyDescent="0.25">
      <c r="A17" s="1357"/>
      <c r="B17" s="1351"/>
      <c r="C17" s="1351"/>
      <c r="D17" s="1351"/>
      <c r="E17" s="1351"/>
      <c r="F17" s="1351"/>
      <c r="G17" s="1345"/>
      <c r="H17" s="1349"/>
      <c r="I17" s="1345"/>
      <c r="J17" s="1345"/>
      <c r="K17" s="1351"/>
      <c r="L17" s="1353"/>
      <c r="M17" s="1351"/>
      <c r="N17" s="1355"/>
      <c r="O17" s="1351"/>
      <c r="P17" s="1351"/>
      <c r="Q17" s="1345"/>
      <c r="R17" s="1349"/>
      <c r="S17" s="1351"/>
      <c r="T17" s="426">
        <v>45807</v>
      </c>
      <c r="U17" s="1351"/>
      <c r="V17" s="422">
        <v>130028.21</v>
      </c>
      <c r="W17" s="426">
        <v>45811</v>
      </c>
      <c r="X17" s="423"/>
      <c r="Y17" s="424"/>
      <c r="Z17" s="424"/>
      <c r="AA17" s="1351"/>
      <c r="AB17" s="1345"/>
      <c r="AC17" s="1347"/>
      <c r="AD17" s="110">
        <v>1</v>
      </c>
    </row>
    <row r="18" spans="1:30" x14ac:dyDescent="0.25">
      <c r="AD18" s="2">
        <v>3</v>
      </c>
    </row>
  </sheetData>
  <sheetProtection algorithmName="SHA-512" hashValue="l9nep/t78i9lrZvbXP8UTbOwvNzSECSpoUeZZjOL62n4QxBXcEUZrroLLpwI6UgJJDoU0hiX523Wbzi6Zx9GJA==" saltValue="2I+IXXzIPEfT7GNMXQ3iqQ==" spinCount="100000" sheet="1" objects="1" scenarios="1" formatCells="0" formatColumns="0" formatRows="0"/>
  <mergeCells count="27">
    <mergeCell ref="R9:R17"/>
    <mergeCell ref="S9:S17"/>
    <mergeCell ref="A9:A17"/>
    <mergeCell ref="U9:U17"/>
    <mergeCell ref="AA9:AA17"/>
    <mergeCell ref="B9:B17"/>
    <mergeCell ref="C9:C17"/>
    <mergeCell ref="D9:D17"/>
    <mergeCell ref="E9:E17"/>
    <mergeCell ref="F9:F17"/>
    <mergeCell ref="G9:G17"/>
    <mergeCell ref="AB9:AB17"/>
    <mergeCell ref="AC9:AC17"/>
    <mergeCell ref="E2:F2"/>
    <mergeCell ref="O2:P2"/>
    <mergeCell ref="Y2:AA2"/>
    <mergeCell ref="T2:U2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20"/>
  <sheetViews>
    <sheetView showGridLines="0" tabSelected="1" topLeftCell="N1" zoomScale="50" zoomScaleNormal="50" workbookViewId="0">
      <pane ySplit="8" topLeftCell="A30" activePane="bottomLeft" state="frozen"/>
      <selection pane="bottomLeft" activeCell="W31" sqref="W3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42578125" style="2" customWidth="1"/>
    <col min="4" max="6" width="33.5703125" style="2" customWidth="1"/>
    <col min="7" max="8" width="22.42578125" style="2" customWidth="1"/>
    <col min="9" max="9" width="24.42578125" style="2" customWidth="1"/>
    <col min="10" max="10" width="28.42578125" style="2" customWidth="1"/>
    <col min="11" max="12" width="19.5703125" style="2" customWidth="1"/>
    <col min="13" max="13" width="25.570312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425781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1060" t="s">
        <v>139</v>
      </c>
      <c r="F2" s="1061"/>
      <c r="G2" s="77">
        <f>SUM(G9:G9999)</f>
        <v>1098720</v>
      </c>
      <c r="H2" s="10"/>
      <c r="O2" s="1060" t="s">
        <v>24</v>
      </c>
      <c r="P2" s="1061"/>
      <c r="Q2" s="75">
        <f>SUM(Q9:Q9999)</f>
        <v>994080</v>
      </c>
      <c r="T2" s="752" t="s">
        <v>137</v>
      </c>
      <c r="U2" s="754"/>
      <c r="V2" s="66">
        <f>SUM(V9:V9999)</f>
        <v>296400</v>
      </c>
      <c r="X2" s="65"/>
      <c r="Y2" s="752" t="s">
        <v>45</v>
      </c>
      <c r="Z2" s="753"/>
      <c r="AA2" s="754"/>
      <c r="AB2" s="67">
        <f>SUM(AB9:AB9999)</f>
        <v>0</v>
      </c>
    </row>
    <row r="4" spans="1:30" ht="39.950000000000003" customHeight="1" x14ac:dyDescent="0.25">
      <c r="P4" s="751"/>
      <c r="Q4" s="751"/>
      <c r="R4" s="751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s="80" customFormat="1" ht="72" customHeight="1" x14ac:dyDescent="0.25">
      <c r="A9" s="1358">
        <v>1</v>
      </c>
      <c r="B9" s="1361" t="s">
        <v>56</v>
      </c>
      <c r="C9" s="1361" t="s">
        <v>334</v>
      </c>
      <c r="D9" s="1361" t="s">
        <v>153</v>
      </c>
      <c r="E9" s="1361" t="s">
        <v>335</v>
      </c>
      <c r="F9" s="1361" t="s">
        <v>150</v>
      </c>
      <c r="G9" s="1364">
        <v>1098720</v>
      </c>
      <c r="H9" s="1370">
        <f>IF(AD9 = 2, G9 - Q9,0)</f>
        <v>104640</v>
      </c>
      <c r="I9" s="1364">
        <v>2</v>
      </c>
      <c r="J9" s="1364">
        <v>0</v>
      </c>
      <c r="K9" s="1361" t="s">
        <v>282</v>
      </c>
      <c r="L9" s="1361" t="s">
        <v>336</v>
      </c>
      <c r="M9" s="1361" t="s">
        <v>337</v>
      </c>
      <c r="N9" s="1373">
        <v>45800</v>
      </c>
      <c r="O9" s="1361">
        <v>2304067057</v>
      </c>
      <c r="P9" s="1361" t="s">
        <v>151</v>
      </c>
      <c r="Q9" s="1364">
        <v>994080</v>
      </c>
      <c r="R9" s="1370">
        <f>IF(AD9 = 2, Q9 + SUM(Y9:Y11) - SUM(Z9:Z11) - SUM(V9:V11) - AB9,0)</f>
        <v>697680</v>
      </c>
      <c r="S9" s="1361" t="s">
        <v>338</v>
      </c>
      <c r="T9" s="591" t="s">
        <v>339</v>
      </c>
      <c r="U9" s="1361" t="s">
        <v>152</v>
      </c>
      <c r="V9" s="579">
        <v>18240</v>
      </c>
      <c r="W9" s="591">
        <v>45814</v>
      </c>
      <c r="X9" s="580"/>
      <c r="Y9" s="581"/>
      <c r="Z9" s="581"/>
      <c r="AA9" s="1361"/>
      <c r="AB9" s="1364"/>
      <c r="AC9" s="1367"/>
      <c r="AD9" s="80">
        <v>2</v>
      </c>
    </row>
    <row r="10" spans="1:30" s="110" customFormat="1" x14ac:dyDescent="0.25">
      <c r="A10" s="1359"/>
      <c r="B10" s="1362"/>
      <c r="C10" s="1362"/>
      <c r="D10" s="1362"/>
      <c r="E10" s="1362"/>
      <c r="F10" s="1362"/>
      <c r="G10" s="1365"/>
      <c r="H10" s="1371"/>
      <c r="I10" s="1365"/>
      <c r="J10" s="1365"/>
      <c r="K10" s="1362"/>
      <c r="L10" s="1362"/>
      <c r="M10" s="1362"/>
      <c r="N10" s="1374"/>
      <c r="O10" s="1362"/>
      <c r="P10" s="1362"/>
      <c r="Q10" s="1365"/>
      <c r="R10" s="1371"/>
      <c r="S10" s="1362"/>
      <c r="T10" s="592">
        <v>45840</v>
      </c>
      <c r="U10" s="1362"/>
      <c r="V10" s="582">
        <v>136800</v>
      </c>
      <c r="W10" s="592">
        <v>45841</v>
      </c>
      <c r="X10" s="583"/>
      <c r="Y10" s="584"/>
      <c r="Z10" s="584"/>
      <c r="AA10" s="1362"/>
      <c r="AB10" s="1365"/>
      <c r="AC10" s="1368"/>
      <c r="AD10" s="110">
        <v>2</v>
      </c>
    </row>
    <row r="11" spans="1:30" s="110" customFormat="1" x14ac:dyDescent="0.25">
      <c r="A11" s="1360"/>
      <c r="B11" s="1363"/>
      <c r="C11" s="1363"/>
      <c r="D11" s="1363"/>
      <c r="E11" s="1363"/>
      <c r="F11" s="1363"/>
      <c r="G11" s="1366"/>
      <c r="H11" s="1372"/>
      <c r="I11" s="1366"/>
      <c r="J11" s="1366"/>
      <c r="K11" s="1363"/>
      <c r="L11" s="1363"/>
      <c r="M11" s="1363"/>
      <c r="N11" s="1375"/>
      <c r="O11" s="1363"/>
      <c r="P11" s="1363"/>
      <c r="Q11" s="1366"/>
      <c r="R11" s="1372"/>
      <c r="S11" s="1363"/>
      <c r="T11" s="593">
        <v>45870</v>
      </c>
      <c r="U11" s="1363"/>
      <c r="V11" s="595">
        <v>141360</v>
      </c>
      <c r="W11" s="593">
        <v>45877</v>
      </c>
      <c r="X11" s="589"/>
      <c r="Y11" s="588"/>
      <c r="Z11" s="588"/>
      <c r="AA11" s="1363"/>
      <c r="AB11" s="1366"/>
      <c r="AC11" s="1369"/>
      <c r="AD11" s="110">
        <v>2</v>
      </c>
    </row>
    <row r="12" spans="1:30" hidden="1" x14ac:dyDescent="0.25">
      <c r="A12" s="413"/>
      <c r="B12" s="414"/>
      <c r="C12" s="414"/>
      <c r="D12" s="414"/>
      <c r="E12" s="414"/>
      <c r="F12" s="414"/>
      <c r="G12" s="417"/>
      <c r="H12" s="418">
        <f>IF(AD12 = 4, G12 - Q12,0)</f>
        <v>0</v>
      </c>
      <c r="I12" s="417"/>
      <c r="J12" s="417"/>
      <c r="K12" s="414"/>
      <c r="L12" s="414"/>
      <c r="M12" s="415"/>
      <c r="N12" s="416"/>
      <c r="O12" s="414"/>
      <c r="P12" s="414"/>
      <c r="Q12" s="417"/>
      <c r="R12" s="418">
        <f>IF(AD12 = 4, Q12 + SUM(Y12:Y12) - SUM(Z12:Z12) - SUM(V12:V12) - AB12,0)</f>
        <v>0</v>
      </c>
      <c r="S12" s="414"/>
      <c r="T12" s="416"/>
      <c r="U12" s="414"/>
      <c r="V12" s="417"/>
      <c r="W12" s="416"/>
      <c r="X12" s="414"/>
      <c r="Y12" s="417"/>
      <c r="Z12" s="417"/>
      <c r="AA12" s="414"/>
      <c r="AB12" s="417"/>
      <c r="AC12" s="414"/>
      <c r="AD12" s="2">
        <v>4</v>
      </c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  <row r="18" spans="13:13" hidden="1" x14ac:dyDescent="0.25">
      <c r="M18" s="3"/>
    </row>
    <row r="19" spans="13:13" hidden="1" x14ac:dyDescent="0.25">
      <c r="M19" s="3"/>
    </row>
    <row r="20" spans="13:13" hidden="1" x14ac:dyDescent="0.25">
      <c r="M20" s="3"/>
    </row>
  </sheetData>
  <sheetProtection algorithmName="SHA-512" hashValue="l/2FeHKtXRo+wfnnCmqWuX7vYJ8ZYAz8V8wh9LULlB+o1JqqWxLD+mtUDBZcAZ6uaNrcPpsJl1xC3Ay2KsLICQ==" saltValue="Xe0d6yrcxn+gsUeX1YSYTQ==" spinCount="100000" sheet="1" objects="1" scenarios="1" formatCells="0" formatColumns="0" formatRows="0"/>
  <mergeCells count="28">
    <mergeCell ref="AC9:A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P4:R4"/>
    <mergeCell ref="E2:F2"/>
    <mergeCell ref="O2:P2"/>
    <mergeCell ref="Y2:AA2"/>
    <mergeCell ref="T2:U2"/>
    <mergeCell ref="A9:A11"/>
    <mergeCell ref="U9:U11"/>
    <mergeCell ref="AA9:AA11"/>
    <mergeCell ref="B9:B11"/>
    <mergeCell ref="AB9:AB11"/>
    <mergeCell ref="C9:C11"/>
    <mergeCell ref="S9:S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42578125" style="32" customWidth="1"/>
    <col min="2" max="3" width="17.425781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35</v>
      </c>
      <c r="B1" s="46">
        <v>27</v>
      </c>
      <c r="C1" s="46">
        <v>9</v>
      </c>
      <c r="D1" s="1378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379"/>
      <c r="E2" s="31"/>
      <c r="F2" s="59">
        <v>152</v>
      </c>
      <c r="G2" s="63">
        <v>97</v>
      </c>
      <c r="H2" s="62">
        <v>5</v>
      </c>
      <c r="I2" s="61">
        <v>4</v>
      </c>
      <c r="J2" s="60">
        <v>2</v>
      </c>
      <c r="K2" s="64">
        <v>3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125</v>
      </c>
      <c r="B4" s="43">
        <v>27</v>
      </c>
      <c r="C4" s="43">
        <v>9</v>
      </c>
      <c r="D4" s="1380" t="s">
        <v>102</v>
      </c>
      <c r="E4" s="31"/>
      <c r="F4" s="59">
        <v>153</v>
      </c>
      <c r="G4" s="63">
        <v>98</v>
      </c>
      <c r="H4" s="62">
        <v>6</v>
      </c>
      <c r="I4" s="61">
        <v>5</v>
      </c>
      <c r="J4" s="60">
        <v>3</v>
      </c>
      <c r="K4" s="64">
        <v>4</v>
      </c>
    </row>
    <row r="5" spans="1:11" x14ac:dyDescent="0.25">
      <c r="A5" s="42" t="s">
        <v>89</v>
      </c>
      <c r="B5" s="43" t="s">
        <v>88</v>
      </c>
      <c r="C5" s="43" t="s">
        <v>87</v>
      </c>
      <c r="D5" s="1381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30</v>
      </c>
      <c r="B7" s="45">
        <v>4</v>
      </c>
      <c r="C7" s="45">
        <v>9</v>
      </c>
      <c r="D7" s="1382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383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14</v>
      </c>
      <c r="B10" s="41">
        <v>2</v>
      </c>
      <c r="C10" s="41">
        <v>9</v>
      </c>
      <c r="D10" s="1384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385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17</v>
      </c>
      <c r="B13" s="39">
        <v>1</v>
      </c>
      <c r="C13" s="39">
        <v>9</v>
      </c>
      <c r="D13" s="1386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387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11</v>
      </c>
      <c r="B16" s="37">
        <v>1</v>
      </c>
      <c r="C16" s="37">
        <v>9</v>
      </c>
      <c r="D16" s="1376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377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2024-12-26T10:05:52Z</cp:lastPrinted>
  <dcterms:created xsi:type="dcterms:W3CDTF">2017-01-25T04:28:39Z</dcterms:created>
  <dcterms:modified xsi:type="dcterms:W3CDTF">2025-09-08T12:33:14Z</dcterms:modified>
</cp:coreProperties>
</file>