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05" yWindow="-105" windowWidth="19425" windowHeight="10425" tabRatio="603" firstSheet="3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G2" i="20"/>
  <c r="Q2" i="20"/>
  <c r="V2" i="20"/>
  <c r="AB2" i="20"/>
  <c r="I29" i="31"/>
  <c r="I23" i="31"/>
  <c r="I35" i="31"/>
  <c r="I61" i="31"/>
  <c r="I17" i="31"/>
  <c r="I48" i="31"/>
  <c r="H14" i="17"/>
  <c r="R14" i="17"/>
  <c r="I55" i="31"/>
  <c r="I22" i="27"/>
  <c r="H9" i="19"/>
  <c r="I67" i="31"/>
  <c r="I79" i="31"/>
  <c r="H9" i="22"/>
  <c r="R9" i="22"/>
  <c r="H10" i="20"/>
  <c r="R10" i="20"/>
  <c r="H9" i="20"/>
  <c r="R9" i="20"/>
  <c r="I21" i="27"/>
  <c r="I20" i="27"/>
  <c r="I19" i="27"/>
  <c r="I18" i="27"/>
  <c r="I17" i="27"/>
  <c r="I100" i="31"/>
  <c r="I50" i="31"/>
  <c r="I42" i="31"/>
  <c r="H9" i="17"/>
  <c r="R9" i="17"/>
  <c r="I84" i="31"/>
  <c r="I105" i="31"/>
  <c r="I9" i="31"/>
  <c r="I16" i="27"/>
  <c r="I15" i="27"/>
  <c r="I14" i="27"/>
  <c r="H27" i="19"/>
  <c r="I13" i="27"/>
  <c r="I104" i="31"/>
  <c r="I103" i="31" l="1"/>
  <c r="I102" i="31"/>
  <c r="I72" i="31"/>
  <c r="I58" i="31"/>
  <c r="I12" i="27"/>
  <c r="H24" i="19"/>
  <c r="I83" i="31"/>
  <c r="I11" i="27"/>
  <c r="I10" i="27"/>
  <c r="H26" i="19"/>
  <c r="I9" i="27"/>
  <c r="I75" i="31"/>
  <c r="I78" i="31"/>
  <c r="I47" i="31"/>
  <c r="I41" i="31" l="1"/>
  <c r="I57" i="31" l="1"/>
  <c r="I23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<sst xmlns="http://schemas.openxmlformats.org/spreadsheetml/2006/main" count="882" uniqueCount="355">
  <si>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</si>
  <si>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</si>
  <si>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</si>
  <si>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</si>
  <si>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</si>
  <si>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</si>
  <si>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</si>
  <si>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</si>
  <si>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</si>
  <si>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</si>
  <si>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</si>
  <si>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</si>
  <si>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</si>
  <si>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</si>
  <si>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</si>
  <si>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</si>
  <si>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</si>
  <si>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</si>
  <si>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</si>
  <si>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</si>
  <si>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</si>
  <si>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</si>
  <si>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</si>
  <si>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</si>
  <si>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</si>
  <si>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</si>
  <si>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</si>
  <si>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</si>
  <si>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</si>
  <si>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</si>
  <si>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</si>
  <si>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</si>
  <si>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</si>
  <si>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</si>
  <si>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</si>
  <si>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</si>
  <si>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</si>
  <si>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</si>
  <si>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</si>
  <si>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</si>
  <si>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</si>
  <si>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</si>
  <si>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</si>
  <si>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</si>
  <si>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</si>
  <si>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</si>
  <si>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</si>
  <si>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</si>
  <si>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</si>
  <si>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</si>
  <si>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</si>
  <si>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</si>
  <si>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</si>
  <si>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</si>
  <si>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</si>
  <si>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</si>
  <si>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</si>
  <si>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</si>
  <si>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</si>
  <si>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</si>
  <si>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</si>
  <si>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</si>
  <si>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</si>
  <si>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</si>
  <si>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</si>
  <si>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</si>
  <si>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</si>
  <si>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</si>
  <si>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</si>
  <si>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</si>
  <si>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</si>
  <si>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</si>
  <si>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</si>
  <si>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</si>
  <si>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</si>
  <si>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</si>
  <si>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</si>
  <si>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</si>
  <si>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</si>
  <si>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</si>
  <si>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</si>
  <si>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</si>
  <si>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</si>
  <si>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</si>
  <si>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</si>
  <si>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</si>
  <si>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</si>
  <si>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</si>
  <si>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</si>
  <si>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</si>
  <si>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</si>
  <si>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</si>
  <si>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</si>
  <si>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</si>
  <si>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</si>
  <si>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</si>
  <si>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</si>
  <si>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</si>
  <si>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</si>
  <si>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</si>
  <si>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</si>
  <si>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</si>
  <si>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</si>
  <si>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</si>
  <si>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</si>
  <si>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</si>
  <si>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</si>
  <si>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</si>
  <si>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</si>
  <si>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</si>
  <si>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</si>
  <si>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</si>
  <si>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</si>
  <si>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</si>
  <si>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</si>
  <si>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</si>
  <si>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</si>
  <si>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</si>
  <si>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</si>
  <si>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</si>
  <si>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</si>
  <si>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</si>
  <si>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</si>
  <si>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</si>
  <si>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</si>
  <si>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</si>
  <si>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</si>
  <si>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</si>
  <si>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</si>
  <si>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</si>
  <si>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</si>
  <si>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</si>
  <si>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</si>
  <si>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</si>
  <si>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</si>
  <si>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</si>
  <si>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</si>
  <si>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</si>
  <si>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</si>
  <si>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</si>
  <si>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</si>
  <si>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</si>
  <si>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</si>
  <si>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</si>
  <si>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</si>
  <si>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</si>
  <si>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</si>
  <si>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</si>
  <si>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</si>
  <si>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</si>
  <si>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Оказание охранных услуг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</si>
  <si>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</si>
  <si>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</si>
  <si>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</si>
  <si>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</si>
  <si>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</si>
  <si>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0818300019923000373-01</t>
  </si>
  <si>
    <t>235300582900</t>
  </si>
  <si>
    <t>ИП Эжбаев Ю.Н.</t>
  </si>
  <si>
    <t>В течение 7 рабочих дней после подписания документа о приемке</t>
  </si>
  <si>
    <t>Услуги по организации питания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</si>
  <si>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</si>
  <si>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</si>
  <si>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</si>
  <si>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</si>
  <si>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</si>
  <si>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</si>
  <si>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</si>
  <si>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А-179</t>
  </si>
  <si>
    <t>Работы по  техническому обслуживанию установки системы пожарного мониторинга "Стрелец-мониторинг"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</si>
  <si>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</si>
  <si>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</si>
  <si>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</si>
  <si>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ООО "РН-Карт"</t>
  </si>
  <si>
    <t>Да</t>
  </si>
  <si>
    <t>б/н</t>
  </si>
  <si>
    <t>Базирование транспортных средств</t>
  </si>
  <si>
    <t>Холодное водоснабжение</t>
  </si>
  <si>
    <t>ИП Лукоянов Ю.В.</t>
  </si>
  <si>
    <t>ООО "Водоснабжение"</t>
  </si>
  <si>
    <t>в течение 10 рабочих дней с даты подписания акта оказанных услуг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</si>
  <si>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</si>
  <si>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</si>
  <si>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</si>
  <si>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</si>
  <si>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</si>
  <si>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</si>
  <si>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</si>
  <si>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Бензин</t>
  </si>
  <si>
    <t>Систематическая дератизация</t>
  </si>
  <si>
    <t>ООО "Дезинфекция"</t>
  </si>
  <si>
    <t>ООО "РООС"</t>
  </si>
  <si>
    <t>Откачка и вывоз ЖБО</t>
  </si>
  <si>
    <t>2304067057</t>
  </si>
  <si>
    <t>с 01.01.2025 по 31.12.2025</t>
  </si>
  <si>
    <t>25-11-02596/25</t>
  </si>
  <si>
    <t>в течение 10 рабочих дней с даты подписания акта сдачи-приемки оказанных услуг</t>
  </si>
  <si>
    <t>34001048</t>
  </si>
  <si>
    <t>42</t>
  </si>
  <si>
    <t>ДГ 25/43</t>
  </si>
  <si>
    <t>34550724/038602</t>
  </si>
  <si>
    <t>Техническое обслуживание комплекса тревожной сигнализации</t>
  </si>
  <si>
    <t>ИП Даценко И.Н.</t>
  </si>
  <si>
    <t>с 01.01.2025 по 31.05.2025</t>
  </si>
  <si>
    <t>210009817619-122024</t>
  </si>
  <si>
    <t>Услуги по идентификации АСН в ГАИС "Эра-Глонасс"</t>
  </si>
  <si>
    <t>АО "ГЛОНАСС"</t>
  </si>
  <si>
    <t>В течение  10 рабочих дней со дня подписания акта оказанных услуг</t>
  </si>
  <si>
    <t>в срок, не превышающий 10 рабочих дней с даты подписания отчетных документов</t>
  </si>
  <si>
    <t>в течение 7 рабочих дней с даты подписания акта оказанных услуг</t>
  </si>
  <si>
    <t xml:space="preserve"> 32353015333240000039</t>
  </si>
  <si>
    <t>23070500320</t>
  </si>
  <si>
    <t>Электроэнергия</t>
  </si>
  <si>
    <t>ПАО "ТНС эерго Кубань"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</si>
  <si>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</si>
  <si>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243235301533323530100100140018010244</t>
  </si>
  <si>
    <t xml:space="preserve">0818300019924000328 </t>
  </si>
  <si>
    <t>3235301533324000010</t>
  </si>
  <si>
    <t>с 01 января 2025 г. по 27 мая 2025 г. до 23 ч.59 включительно)</t>
  </si>
  <si>
    <t>233235301533323530100100120015629244</t>
  </si>
  <si>
    <t>0818300019924000324</t>
  </si>
  <si>
    <t>с 09.01.2025 по 23.05.2025г</t>
  </si>
  <si>
    <t>3235301533324000008</t>
  </si>
  <si>
    <t>21/25</t>
  </si>
  <si>
    <t>с 01.01.2025 по 30.06.2025</t>
  </si>
  <si>
    <t>1/25</t>
  </si>
  <si>
    <t>Оказание услуг по организации питания</t>
  </si>
  <si>
    <t>2/25</t>
  </si>
  <si>
    <t>3/25</t>
  </si>
  <si>
    <t>с 09.01.2025 по 23.05.2025</t>
  </si>
  <si>
    <t>с 09.01.2025 по 31.01.2025</t>
  </si>
  <si>
    <t>Услуги по подготовке декларации НВОС</t>
  </si>
  <si>
    <t>235307568414</t>
  </si>
  <si>
    <t>ИП Козырева Е.Н.</t>
  </si>
  <si>
    <t>с момента заключения контракта по 31.12.2025г.</t>
  </si>
  <si>
    <t>В течение 7 дней с момента подписания акта о приемке оказанных услуг</t>
  </si>
  <si>
    <t>А0172103</t>
  </si>
  <si>
    <t>Учебная литература</t>
  </si>
  <si>
    <t>А0174570</t>
  </si>
  <si>
    <t>Акционерное общество "Издательство "Просвещение"</t>
  </si>
  <si>
    <t>с 20.02.2025 по 30.06.2025</t>
  </si>
  <si>
    <t>в течение 10 рабочих дней с даты подписания документа о приемке</t>
  </si>
  <si>
    <t>б/н от 07.02.2025</t>
  </si>
  <si>
    <t>43</t>
  </si>
  <si>
    <t>01.02.2025 по 31.12.2025г.</t>
  </si>
  <si>
    <t>66-ТО</t>
  </si>
  <si>
    <t>Проверка тех. состояния транспортных средств</t>
  </si>
  <si>
    <t>235305769122</t>
  </si>
  <si>
    <t>ИП Барма И.Н.</t>
  </si>
  <si>
    <t>Не ранее чем через 5 рабочих дней со дня поступления заявки Заказчика</t>
  </si>
  <si>
    <t>В течение 10 рабочих дней с момента подписания акта о приемке оказанных услуг</t>
  </si>
  <si>
    <t>Ремонт автомобиля</t>
  </si>
  <si>
    <t>235303483777</t>
  </si>
  <si>
    <t>ИП Аполонов А.А.</t>
  </si>
  <si>
    <t>в течение 10 рабочих дней с даты подписания акта выполненных работ</t>
  </si>
  <si>
    <t>21.02.2025</t>
  </si>
  <si>
    <t>21/1</t>
  </si>
  <si>
    <t>Стойка охраны</t>
  </si>
  <si>
    <t>ООО "ТИТ-Мебель"</t>
  </si>
  <si>
    <t>в течение 30 рабочих дней со дня заключения контракта.</t>
  </si>
  <si>
    <t>в течение 10 рабочих дней с даты подписания акта приемки товара</t>
  </si>
  <si>
    <t>б/н от 18.02.2025</t>
  </si>
  <si>
    <t>4/21</t>
  </si>
  <si>
    <t>с 03.02.2025 по 23.05.2025</t>
  </si>
  <si>
    <t>34550725/011963</t>
  </si>
  <si>
    <t>с 01.04.2025 по 30.06.2025</t>
  </si>
  <si>
    <t>23-12192</t>
  </si>
  <si>
    <t>Полиграфическая продукция</t>
  </si>
  <si>
    <t>ООО "СпецБланк-Москва"</t>
  </si>
  <si>
    <t>в течение 40 календарных дней  после подписания контракта</t>
  </si>
  <si>
    <t>1 от 17.02.2025</t>
  </si>
  <si>
    <t>АТ00-002488</t>
  </si>
  <si>
    <t>Право на использование програмного обеспечения</t>
  </si>
  <si>
    <t>2311187588</t>
  </si>
  <si>
    <t>ООО Айти Мониторинг"</t>
  </si>
  <si>
    <t>В течение 15 рабочих дней, со дня подписания сторонами договора</t>
  </si>
  <si>
    <t>в течение 10 рабочих дней с даты подписания УПД</t>
  </si>
  <si>
    <t>Бумага для офисной техники</t>
  </si>
  <si>
    <t>ООО "Югпромснаб"</t>
  </si>
  <si>
    <t>В течение 10 рабочих дней с даты подписания  договора</t>
  </si>
  <si>
    <t>в течение 10 рабочих дней с даты подписания универсального передаточного документа</t>
  </si>
  <si>
    <t>б/н от 16.04.2025</t>
  </si>
  <si>
    <t>Услуги по выполнению предрейсового и послерейсового медицинского осмотра водителей и предрейсового и послерейсового  технического осмотра транспортного средства</t>
  </si>
  <si>
    <t>да</t>
  </si>
  <si>
    <t>21-04/2025</t>
  </si>
  <si>
    <t>Ковер Самбо</t>
  </si>
  <si>
    <t>ООО "РУССАМБО"</t>
  </si>
  <si>
    <t>с момента подписания договора до 10.05.2024</t>
  </si>
  <si>
    <t>Учебно-педагогическая документация</t>
  </si>
  <si>
    <t>2310132554</t>
  </si>
  <si>
    <t>ООО "Краснодарский учколлектор"</t>
  </si>
  <si>
    <t>с момента заключения контракта до 15.08.2025г</t>
  </si>
  <si>
    <t>в течение 7 рабочих дней с даты подписания акта выполненных работ</t>
  </si>
  <si>
    <t>А0218803</t>
  </si>
  <si>
    <t>с 25.02.2025 по 30.06.2025</t>
  </si>
  <si>
    <t>с24.04.2025 по 25.08.2025</t>
  </si>
  <si>
    <t xml:space="preserve">3235301533325000003 </t>
  </si>
  <si>
    <t xml:space="preserve">3235301533325000001 </t>
  </si>
  <si>
    <t xml:space="preserve">	3235301533325000002 </t>
  </si>
  <si>
    <t>48</t>
  </si>
  <si>
    <t>Проверка работы и очистка  вентиляции пищеблока</t>
  </si>
  <si>
    <t>2353002302</t>
  </si>
  <si>
    <t>с момента заключения контракта до 18.04.2025г</t>
  </si>
  <si>
    <t>10300</t>
  </si>
  <si>
    <t>2353023292</t>
  </si>
  <si>
    <t>ООО "Экопроект"</t>
  </si>
  <si>
    <t>с момента заключения контракта до 31.12.2025г</t>
  </si>
  <si>
    <t>в течение 7 дней с даты подписания акта о приемке оказанных услуг</t>
  </si>
  <si>
    <t>3086</t>
  </si>
  <si>
    <t>ИП Архангельский А.А.</t>
  </si>
  <si>
    <t>234602203000</t>
  </si>
  <si>
    <t>в течение 10 дней с момента заключения договора</t>
  </si>
  <si>
    <t>в течение 10 рабочих  дней с даты подписания акта о приемке оказанных услуг</t>
  </si>
  <si>
    <t>21-25-К</t>
  </si>
  <si>
    <t>2353018870</t>
  </si>
  <si>
    <t>Неисключительное право использования программного продукта</t>
  </si>
  <si>
    <t>Дезинсекция открытой территории школы против клещей, блох</t>
  </si>
  <si>
    <t>с момента заключения контракта до 15.06.2025</t>
  </si>
  <si>
    <t>5/21</t>
  </si>
  <si>
    <t>Услуги по организации питаничя</t>
  </si>
  <si>
    <t>с 01.04.2025 по 23.05.2025</t>
  </si>
  <si>
    <t>ФПК-72/5768</t>
  </si>
  <si>
    <t>ФГБОУ ВО КГУФКСТ</t>
  </si>
  <si>
    <t>2310018516</t>
  </si>
  <si>
    <t>Курсы повышения квалификации</t>
  </si>
  <si>
    <t>с 12.05.2025 по 23.05.2025</t>
  </si>
  <si>
    <t>Участие в форуме</t>
  </si>
  <si>
    <t>2304013862</t>
  </si>
  <si>
    <t>ЧУ "Пансионар Рассвет"</t>
  </si>
  <si>
    <t>с 13.05.2025 по 16.05.2025</t>
  </si>
  <si>
    <t>51/25</t>
  </si>
  <si>
    <t>Дополнительное образование водителей</t>
  </si>
  <si>
    <t>2327014502</t>
  </si>
  <si>
    <t>ООО "Брюховецкий образовательный центр"</t>
  </si>
  <si>
    <t>с 28.05.2025 по 02.06.2025</t>
  </si>
  <si>
    <t>253235301533323530100100130018010244</t>
  </si>
  <si>
    <t>0818300019925000133</t>
  </si>
  <si>
    <t>3235301533325000004</t>
  </si>
  <si>
    <t>08183000199250001330001</t>
  </si>
  <si>
    <t>с 28.05.2025 по 31.12.2025</t>
  </si>
  <si>
    <t>02,06.2025</t>
  </si>
  <si>
    <t>б/н от 05.06.2025</t>
  </si>
  <si>
    <t>34550725</t>
  </si>
  <si>
    <t>7743529527</t>
  </si>
  <si>
    <t>с 01.07.2025 по 30.09.2025</t>
  </si>
  <si>
    <t>130080</t>
  </si>
  <si>
    <t>Оказание услуг по организации питания в лагере с дневным пребыванием</t>
  </si>
  <si>
    <t>с 26.05.2025 по 15.06.2025</t>
  </si>
  <si>
    <t>253235301533323530100100140015629244</t>
  </si>
  <si>
    <t>08183000199250001740001</t>
  </si>
  <si>
    <t>Оказание услуг по организации горячего питания</t>
  </si>
  <si>
    <t>3235301533325000005</t>
  </si>
  <si>
    <t>с 01.09.2025 по 28.11.2025</t>
  </si>
  <si>
    <t>б/н от 06.06.2025</t>
  </si>
  <si>
    <t>б/н от 10.06.2025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</si>
</sst>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20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7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5" fillId="18" borderId="33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6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9" fontId="15" fillId="18" borderId="36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5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49" fontId="15" fillId="18" borderId="49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1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9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2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1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>
      <alignment horizontal="center" vertical="center" wrapText="1"/>
    </xf>
    <xf numFmtId="0" fontId="1" fillId="0" borderId="81" xfId="0" applyFont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Border="1" applyAlignment="1" applyProtection="1">
      <alignment horizontal="center" vertical="center" wrapText="1"/>
      <protection locked="0"/>
    </xf>
    <xf numFmtId="4" fontId="1" fillId="0" borderId="81" xfId="0" applyNumberFormat="1" applyFont="1" applyBorder="1" applyAlignment="1" applyProtection="1">
      <alignment horizontal="center" vertical="center" wrapText="1"/>
      <protection locked="0"/>
    </xf>
    <xf numFmtId="4" fontId="1" fillId="0" borderId="81" xfId="0" applyNumberFormat="1" applyFont="1" applyBorder="1" applyAlignment="1">
      <alignment horizontal="center" vertical="center" wrapText="1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>
      <alignment horizontal="center" vertical="center" wrapText="1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49" fontId="15" fillId="18" borderId="96" xfId="0" applyNumberFormat="1" applyFont="1" applyFill="1" applyBorder="1" applyAlignment="1">
      <alignment horizontal="center" vertical="center" wrapText="1"/>
    </xf>
    <xf numFmtId="168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8" xfId="0" applyNumberFormat="1" applyFont="1" applyFill="1" applyBorder="1" applyAlignment="1">
      <alignment horizontal="center" vertical="center" wrapText="1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>
      <alignment horizontal="center" vertical="center" wrapText="1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4" fontId="18" fillId="19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4" xfId="0" applyFont="1" applyFill="1" applyBorder="1" applyAlignment="1" applyProtection="1">
      <alignment horizontal="center" vertical="center" wrapText="1"/>
      <protection locked="0"/>
    </xf>
    <xf numFmtId="0" fontId="1" fillId="18" borderId="105" xfId="0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1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>
      <alignment horizontal="center" vertical="center" wrapText="1"/>
    </xf>
    <xf numFmtId="4" fontId="1" fillId="18" borderId="105" xfId="0" applyNumberFormat="1" applyFont="1" applyFill="1" applyBorder="1" applyAlignment="1">
      <alignment horizontal="center" vertical="center" wrapText="1"/>
    </xf>
    <xf numFmtId="4" fontId="1" fillId="18" borderId="106" xfId="0" applyNumberFormat="1" applyFont="1" applyFill="1" applyBorder="1" applyAlignment="1">
      <alignment horizontal="center" vertical="center" wrapText="1"/>
    </xf>
    <xf numFmtId="16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4" xfId="0" applyNumberFormat="1" applyFont="1" applyFill="1" applyBorder="1" applyAlignment="1">
      <alignment horizontal="center" vertical="center" wrapText="1"/>
    </xf>
    <xf numFmtId="49" fontId="15" fillId="18" borderId="105" xfId="0" applyNumberFormat="1" applyFont="1" applyFill="1" applyBorder="1" applyAlignment="1">
      <alignment horizontal="center" vertical="center" wrapText="1"/>
    </xf>
    <xf numFmtId="49" fontId="15" fillId="18" borderId="106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5" fillId="18" borderId="90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63" xfId="0" applyNumberFormat="1" applyFont="1" applyFill="1" applyBorder="1" applyAlignment="1">
      <alignment horizontal="center" vertical="center" wrapText="1"/>
    </xf>
    <xf numFmtId="49" fontId="15" fillId="18" borderId="64" xfId="0" applyNumberFormat="1" applyFont="1" applyFill="1" applyBorder="1" applyAlignment="1">
      <alignment horizontal="center" vertical="center" wrapText="1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5" fillId="18" borderId="59" xfId="0" applyNumberFormat="1" applyFont="1" applyFill="1" applyBorder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>
      <alignment horizontal="center" vertical="center" wrapText="1"/>
    </xf>
    <xf numFmtId="49" fontId="15" fillId="18" borderId="32" xfId="0" applyNumberFormat="1" applyFont="1" applyFill="1" applyBorder="1" applyAlignment="1">
      <alignment horizontal="center" vertical="center" wrapText="1"/>
    </xf>
    <xf numFmtId="49" fontId="15" fillId="18" borderId="31" xfId="0" applyNumberFormat="1" applyFont="1" applyFill="1" applyBorder="1" applyAlignment="1">
      <alignment horizontal="center" vertical="center" wrapText="1"/>
    </xf>
    <xf numFmtId="49" fontId="15" fillId="18" borderId="40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9" fontId="15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8" borderId="93" xfId="0" applyNumberFormat="1" applyFont="1" applyFill="1" applyBorder="1" applyAlignment="1">
      <alignment horizontal="center" vertical="center" wrapText="1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3" xfId="0" applyNumberFormat="1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1" xfId="0" applyNumberFormat="1" applyFont="1" applyFill="1" applyBorder="1" applyAlignment="1">
      <alignment horizontal="center" vertical="center" wrapText="1"/>
    </xf>
    <xf numFmtId="49" fontId="15" fillId="18" borderId="102" xfId="0" applyNumberFormat="1" applyFont="1" applyFill="1" applyBorder="1" applyAlignment="1">
      <alignment horizontal="center" vertical="center" wrapText="1"/>
    </xf>
    <xf numFmtId="49" fontId="15" fillId="18" borderId="103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1" xfId="0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1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3" xfId="0" applyNumberFormat="1" applyFont="1" applyFill="1" applyBorder="1" applyAlignment="1">
      <alignment horizontal="center" vertical="center" wrapText="1"/>
    </xf>
    <xf numFmtId="16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5" fillId="18" borderId="79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49" fontId="15" fillId="18" borderId="81" xfId="0" applyNumberFormat="1" applyFont="1" applyFill="1" applyBorder="1" applyAlignment="1">
      <alignment horizontal="center" vertical="center" wrapText="1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97" xfId="0" applyNumberFormat="1" applyFont="1" applyFill="1" applyBorder="1" applyAlignment="1">
      <alignment horizontal="center" vertical="center" wrapText="1"/>
    </xf>
    <xf numFmtId="49" fontId="15" fillId="4" borderId="98" xfId="0" applyNumberFormat="1" applyFont="1" applyFill="1" applyBorder="1" applyAlignment="1">
      <alignment horizontal="center" vertical="center" wrapText="1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97" xfId="0" applyNumberFormat="1" applyFont="1" applyFill="1" applyBorder="1" applyAlignment="1">
      <alignment horizontal="center" vertical="center" wrapText="1"/>
    </xf>
    <xf numFmtId="4" fontId="1" fillId="4" borderId="98" xfId="0" applyNumberFormat="1" applyFont="1" applyFill="1" applyBorder="1" applyAlignment="1">
      <alignment horizontal="center" vertical="center" wrapText="1"/>
    </xf>
    <xf numFmtId="167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167" fontId="1" fillId="4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9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9" xfId="0" applyFont="1" applyFill="1" applyBorder="1" applyAlignment="1" applyProtection="1">
      <alignment horizontal="center" vertical="center" wrapText="1"/>
      <protection locked="0"/>
    </xf>
    <xf numFmtId="0" fontId="1" fillId="18" borderId="100" xfId="0" applyFont="1" applyFill="1" applyBorder="1" applyAlignment="1" applyProtection="1">
      <alignment horizontal="center" vertical="center" wrapText="1"/>
      <protection locked="0"/>
    </xf>
    <xf numFmtId="14" fontId="1" fillId="0" borderId="9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4" fontId="1" fillId="18" borderId="100" xfId="0" applyNumberFormat="1" applyFont="1" applyFill="1" applyBorder="1" applyAlignment="1">
      <alignment horizontal="center" vertical="center" wrapText="1"/>
    </xf>
    <xf numFmtId="16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4" fontId="1" fillId="18" borderId="95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1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>
      <alignment horizontal="center" vertical="center" wrapText="1"/>
    </xf>
    <xf numFmtId="49" fontId="1" fillId="18" borderId="95" xfId="0" applyNumberFormat="1" applyFont="1" applyFill="1" applyBorder="1" applyAlignment="1">
      <alignment horizontal="center" vertical="center" wrapText="1"/>
    </xf>
    <xf numFmtId="49" fontId="1" fillId="18" borderId="96" xfId="0" applyNumberFormat="1" applyFont="1" applyFill="1" applyBorder="1" applyAlignment="1">
      <alignment horizontal="center" vertical="center" wrapText="1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65" xfId="0" applyNumberFormat="1" applyFont="1" applyFill="1" applyBorder="1" applyAlignment="1">
      <alignment horizontal="center" vertical="center" wrapText="1"/>
    </xf>
    <xf numFmtId="49" fontId="15" fillId="4" borderId="68" xfId="0" applyNumberFormat="1" applyFont="1" applyFill="1" applyBorder="1" applyAlignment="1">
      <alignment horizontal="center" vertical="center" wrapText="1"/>
    </xf>
    <xf numFmtId="49" fontId="15" fillId="4" borderId="71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83" xfId="0" applyNumberFormat="1" applyFont="1" applyBorder="1" applyAlignment="1" applyProtection="1">
      <alignment vertical="center" wrapText="1"/>
      <protection locked="0"/>
    </xf>
    <xf numFmtId="49" fontId="16" fillId="0" borderId="86" xfId="0" applyNumberFormat="1" applyFont="1" applyBorder="1" applyAlignment="1" applyProtection="1">
      <alignment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>
      <alignment horizontal="center" vertical="center" wrapText="1"/>
    </xf>
    <xf numFmtId="49" fontId="1" fillId="18" borderId="85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M8" sqref="M8:N8"/>
    </sheetView>
  </sheetViews>
  <sheetFormatPr defaultColWidth="0" defaultRowHeight="15" x14ac:dyDescent="0.25"/>
  <cols>
    <col min="1" max="2" width="9.140625" style="8" customWidth="1"/>
    <col min="3" max="3" width="25.42578125" style="8" customWidth="1"/>
    <col min="4" max="5" width="9.140625" style="8" customWidth="1"/>
    <col min="6" max="6" width="11.570312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425781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5703125" style="8" hidden="1" customWidth="1"/>
    <col min="24" max="16384" width="9.140625" style="8" hidden="1"/>
  </cols>
  <sheetData>
    <row r="1" spans="1:14" ht="73.5" customHeight="1" thickBot="1" x14ac:dyDescent="0.3">
      <c r="A1" s="629" t="s">
        <v>141</v>
      </c>
      <c r="B1" s="630"/>
      <c r="C1" s="630"/>
      <c r="D1" s="630"/>
      <c r="E1" s="631" t="s">
        <v>145</v>
      </c>
      <c r="F1" s="632"/>
      <c r="G1" s="632"/>
      <c r="H1" s="632"/>
      <c r="I1" s="632"/>
      <c r="J1" s="632"/>
      <c r="K1" s="632"/>
      <c r="L1" s="632"/>
      <c r="M1" s="632"/>
      <c r="N1" s="63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605" t="s">
        <v>25</v>
      </c>
      <c r="B4" s="606"/>
      <c r="C4" s="4">
        <v>9181496.4600000009</v>
      </c>
      <c r="D4" s="5"/>
      <c r="E4" s="607" t="s">
        <v>140</v>
      </c>
      <c r="F4" s="608"/>
      <c r="G4" s="609"/>
      <c r="H4" s="610">
        <v>1401735.8</v>
      </c>
      <c r="I4" s="611"/>
      <c r="J4" s="612"/>
      <c r="K4" s="17"/>
      <c r="L4" s="76" t="s">
        <v>55</v>
      </c>
      <c r="M4" s="607">
        <v>2308406.58</v>
      </c>
      <c r="N4" s="609"/>
    </row>
    <row r="5" spans="1:14" ht="30.75" customHeight="1" thickBot="1" x14ac:dyDescent="0.3">
      <c r="A5" s="605" t="s">
        <v>26</v>
      </c>
      <c r="B5" s="606"/>
      <c r="C5" s="6">
        <f>C4-G15+J15</f>
        <v>3008736.3100000015</v>
      </c>
      <c r="D5" s="5"/>
      <c r="E5" s="607" t="s">
        <v>53</v>
      </c>
      <c r="F5" s="608"/>
      <c r="G5" s="609"/>
      <c r="H5" s="597">
        <f>H4-G12</f>
        <v>1107951.04</v>
      </c>
      <c r="I5" s="598"/>
      <c r="J5" s="599"/>
      <c r="K5" s="17"/>
      <c r="L5" s="76" t="s">
        <v>54</v>
      </c>
      <c r="M5" s="600">
        <f>M4-G13</f>
        <v>582465.60000000009</v>
      </c>
      <c r="N5" s="601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613" t="s">
        <v>27</v>
      </c>
      <c r="B8" s="614"/>
      <c r="C8" s="615"/>
      <c r="D8" s="613" t="s">
        <v>28</v>
      </c>
      <c r="E8" s="614"/>
      <c r="F8" s="615"/>
      <c r="G8" s="616" t="s">
        <v>29</v>
      </c>
      <c r="H8" s="617"/>
      <c r="I8" s="618"/>
      <c r="J8" s="616" t="s">
        <v>142</v>
      </c>
      <c r="K8" s="617"/>
      <c r="L8" s="618"/>
      <c r="M8" s="613" t="s">
        <v>30</v>
      </c>
      <c r="N8" s="615"/>
    </row>
    <row r="9" spans="1:14" ht="41.25" customHeight="1" thickBot="1" x14ac:dyDescent="0.3">
      <c r="A9" s="619" t="s">
        <v>31</v>
      </c>
      <c r="B9" s="620"/>
      <c r="C9" s="621"/>
      <c r="D9" s="622">
        <f>'Состоявшиеся аукционы'!G2</f>
        <v>1339144.2</v>
      </c>
      <c r="E9" s="622"/>
      <c r="F9" s="622"/>
      <c r="G9" s="622">
        <f>'Состоявшиеся аукционы'!Q2</f>
        <v>1272465</v>
      </c>
      <c r="H9" s="622"/>
      <c r="I9" s="622"/>
      <c r="J9" s="602">
        <f>'Состоявшиеся аукционы'!AB2</f>
        <v>0</v>
      </c>
      <c r="K9" s="604"/>
      <c r="L9" s="603"/>
      <c r="M9" s="622">
        <f t="shared" ref="M9:M15" si="0">D9-G9</f>
        <v>66679.199999999953</v>
      </c>
      <c r="N9" s="622"/>
    </row>
    <row r="10" spans="1:14" ht="78.75" customHeight="1" thickBot="1" x14ac:dyDescent="0.3">
      <c r="A10" s="619" t="s">
        <v>49</v>
      </c>
      <c r="B10" s="620"/>
      <c r="C10" s="621"/>
      <c r="D10" s="622">
        <f>'Несостоявшиеся аукционы'!G2</f>
        <v>847247.54</v>
      </c>
      <c r="E10" s="622"/>
      <c r="F10" s="622"/>
      <c r="G10" s="622">
        <f>'Несостоявшиеся аукционы'!Q2</f>
        <v>847247.54</v>
      </c>
      <c r="H10" s="622"/>
      <c r="I10" s="622"/>
      <c r="J10" s="602">
        <f>'Несостоявшиеся аукционы'!AB2</f>
        <v>55175.35</v>
      </c>
      <c r="K10" s="604"/>
      <c r="L10" s="603"/>
      <c r="M10" s="622">
        <f t="shared" si="0"/>
        <v>0</v>
      </c>
      <c r="N10" s="622"/>
    </row>
    <row r="11" spans="1:14" ht="40.5" customHeight="1" thickBot="1" x14ac:dyDescent="0.3">
      <c r="A11" s="619" t="s">
        <v>83</v>
      </c>
      <c r="B11" s="620"/>
      <c r="C11" s="621"/>
      <c r="D11" s="602">
        <f>'Иные конкурентные закупки'!G2</f>
        <v>1098720</v>
      </c>
      <c r="E11" s="604"/>
      <c r="F11" s="603"/>
      <c r="G11" s="602">
        <f>'Иные конкурентные закупки'!Q2</f>
        <v>994080</v>
      </c>
      <c r="H11" s="604"/>
      <c r="I11" s="603"/>
      <c r="J11" s="602">
        <f>'Иные конкурентные закупки'!AB2</f>
        <v>0</v>
      </c>
      <c r="K11" s="604"/>
      <c r="L11" s="603"/>
      <c r="M11" s="602">
        <f t="shared" si="0"/>
        <v>104640</v>
      </c>
      <c r="N11" s="603"/>
    </row>
    <row r="12" spans="1:14" ht="54.75" customHeight="1" thickBot="1" x14ac:dyDescent="0.3">
      <c r="A12" s="626" t="s">
        <v>50</v>
      </c>
      <c r="B12" s="627"/>
      <c r="C12" s="628"/>
      <c r="D12" s="622">
        <f>'Ед. поставщик п.4 ч.1'!H2</f>
        <v>293784.76</v>
      </c>
      <c r="E12" s="622"/>
      <c r="F12" s="622"/>
      <c r="G12" s="622">
        <f>D12</f>
        <v>293784.76</v>
      </c>
      <c r="H12" s="622"/>
      <c r="I12" s="622"/>
      <c r="J12" s="602">
        <f>'Ед. поставщик п.4 ч.1'!V2</f>
        <v>0</v>
      </c>
      <c r="K12" s="604"/>
      <c r="L12" s="603"/>
      <c r="M12" s="622">
        <f t="shared" si="0"/>
        <v>0</v>
      </c>
      <c r="N12" s="622"/>
    </row>
    <row r="13" spans="1:14" ht="45.75" customHeight="1" thickBot="1" x14ac:dyDescent="0.3">
      <c r="A13" s="626" t="s">
        <v>51</v>
      </c>
      <c r="B13" s="627"/>
      <c r="C13" s="628"/>
      <c r="D13" s="622">
        <f>'Ед. поставщик п.5 ч.1'!H2</f>
        <v>1725940.98</v>
      </c>
      <c r="E13" s="622"/>
      <c r="F13" s="622"/>
      <c r="G13" s="622">
        <f>D13</f>
        <v>1725940.98</v>
      </c>
      <c r="H13" s="622"/>
      <c r="I13" s="622"/>
      <c r="J13" s="602">
        <f>'Ед. поставщик п.5 ч.1'!V2</f>
        <v>263144.32000000001</v>
      </c>
      <c r="K13" s="604"/>
      <c r="L13" s="603"/>
      <c r="M13" s="622">
        <f t="shared" si="0"/>
        <v>0</v>
      </c>
      <c r="N13" s="622"/>
    </row>
    <row r="14" spans="1:14" ht="45.75" customHeight="1" thickBot="1" x14ac:dyDescent="0.3">
      <c r="A14" s="646" t="s">
        <v>52</v>
      </c>
      <c r="B14" s="647"/>
      <c r="C14" s="648"/>
      <c r="D14" s="602">
        <f>'Ед.поставщик за искл. п.4,5 ч.1'!G2</f>
        <v>1357561.54</v>
      </c>
      <c r="E14" s="604"/>
      <c r="F14" s="603"/>
      <c r="G14" s="602">
        <f>D14</f>
        <v>1357561.54</v>
      </c>
      <c r="H14" s="604"/>
      <c r="I14" s="603"/>
      <c r="J14" s="602">
        <f>'Ед.поставщик за искл. п.4,5 ч.1'!T2</f>
        <v>0</v>
      </c>
      <c r="K14" s="604"/>
      <c r="L14" s="603"/>
      <c r="M14" s="622">
        <f t="shared" si="0"/>
        <v>0</v>
      </c>
      <c r="N14" s="622"/>
    </row>
    <row r="15" spans="1:14" ht="21" thickBot="1" x14ac:dyDescent="0.3">
      <c r="A15" s="623" t="s">
        <v>146</v>
      </c>
      <c r="B15" s="624"/>
      <c r="C15" s="625"/>
      <c r="D15" s="622">
        <f>SUM(D9:D14)</f>
        <v>6662399.0200000005</v>
      </c>
      <c r="E15" s="622"/>
      <c r="F15" s="622"/>
      <c r="G15" s="602">
        <f>SUM(G9:G14)</f>
        <v>6491079.8199999994</v>
      </c>
      <c r="H15" s="604"/>
      <c r="I15" s="603"/>
      <c r="J15" s="602">
        <f>SUM(J9:J14)</f>
        <v>318319.67</v>
      </c>
      <c r="K15" s="604"/>
      <c r="L15" s="603"/>
      <c r="M15" s="622">
        <f t="shared" si="0"/>
        <v>171319.20000000112</v>
      </c>
      <c r="N15" s="622"/>
    </row>
    <row r="18" spans="1:12" ht="15.75" thickBot="1" x14ac:dyDescent="0.3"/>
    <row r="19" spans="1:12" ht="23.25" customHeight="1" x14ac:dyDescent="0.25">
      <c r="A19" s="634" t="s">
        <v>35</v>
      </c>
      <c r="B19" s="635"/>
      <c r="C19" s="636"/>
      <c r="D19" s="64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3984762.85</v>
      </c>
      <c r="E19" s="641"/>
      <c r="F19" s="641"/>
      <c r="G19" s="642"/>
      <c r="I19" s="15"/>
      <c r="J19" s="15"/>
      <c r="K19" s="15"/>
      <c r="L19" s="15"/>
    </row>
    <row r="20" spans="1:12" ht="24" customHeight="1" thickBot="1" x14ac:dyDescent="0.3">
      <c r="A20" s="637"/>
      <c r="B20" s="638"/>
      <c r="C20" s="639"/>
      <c r="D20" s="643"/>
      <c r="E20" s="644"/>
      <c r="F20" s="644"/>
      <c r="G20" s="645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3"/>
  <sheetViews>
    <sheetView showGridLines="0" topLeftCell="K1" zoomScale="50" zoomScaleNormal="50" workbookViewId="0">
      <pane ySplit="8" topLeftCell="A9" activePane="bottomLeft" state="frozen"/>
      <selection activeCell="I1" sqref="I1"/>
      <selection pane="bottomLeft" activeCell="Q25" sqref="Q25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570312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425781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5703125" style="2" customWidth="1"/>
    <col min="21" max="21" width="24.5703125" style="11" customWidth="1"/>
    <col min="22" max="22" width="25.5703125" style="26" customWidth="1"/>
    <col min="23" max="23" width="17.570312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293784.76</v>
      </c>
      <c r="K2" s="649"/>
      <c r="L2" s="649"/>
      <c r="M2" s="649"/>
      <c r="N2" s="650" t="s">
        <v>137</v>
      </c>
      <c r="O2" s="652"/>
      <c r="P2" s="66">
        <f>SUM(P9:P9999)</f>
        <v>205534</v>
      </c>
      <c r="R2" s="65"/>
      <c r="S2" s="650" t="s">
        <v>45</v>
      </c>
      <c r="T2" s="651"/>
      <c r="U2" s="652"/>
      <c r="V2" s="67">
        <f>SUM(V9:V9999)</f>
        <v>0</v>
      </c>
    </row>
    <row r="3" spans="1:24" x14ac:dyDescent="0.25">
      <c r="A3" s="649"/>
      <c r="B3" s="649"/>
      <c r="C3" s="649"/>
      <c r="D3" s="649"/>
      <c r="E3" s="649"/>
      <c r="N3" s="65"/>
    </row>
    <row r="4" spans="1:24" ht="39.950000000000003" customHeight="1" x14ac:dyDescent="0.25">
      <c r="J4" s="653"/>
      <c r="K4" s="653"/>
      <c r="M4" s="653"/>
      <c r="N4" s="653"/>
      <c r="O4" s="653"/>
      <c r="P4" s="653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80" customFormat="1" ht="75" x14ac:dyDescent="0.25">
      <c r="A9" s="182">
        <v>1</v>
      </c>
      <c r="B9" s="189" t="s">
        <v>56</v>
      </c>
      <c r="C9" s="184" t="s">
        <v>147</v>
      </c>
      <c r="D9" s="184" t="s">
        <v>153</v>
      </c>
      <c r="E9" s="184">
        <v>10113</v>
      </c>
      <c r="F9" s="327">
        <v>45702</v>
      </c>
      <c r="G9" s="184" t="s">
        <v>231</v>
      </c>
      <c r="H9" s="187">
        <v>7000</v>
      </c>
      <c r="I9" s="183">
        <f>IF(X9 = 124, H9 + SUM(S9:S9) - SUM(T9:T9) - SUM(P9:P9) - V9,0)</f>
        <v>0</v>
      </c>
      <c r="J9" s="184" t="s">
        <v>232</v>
      </c>
      <c r="K9" s="184" t="s">
        <v>233</v>
      </c>
      <c r="L9" s="184" t="s">
        <v>147</v>
      </c>
      <c r="M9" s="184" t="s">
        <v>234</v>
      </c>
      <c r="N9" s="188">
        <v>45702</v>
      </c>
      <c r="O9" s="188" t="s">
        <v>235</v>
      </c>
      <c r="P9" s="205">
        <v>7000</v>
      </c>
      <c r="Q9" s="185">
        <v>45706</v>
      </c>
      <c r="R9" s="184"/>
      <c r="S9" s="187"/>
      <c r="T9" s="187"/>
      <c r="U9" s="187"/>
      <c r="V9" s="186"/>
      <c r="W9" s="181"/>
      <c r="X9" s="80">
        <v>124</v>
      </c>
    </row>
    <row r="10" spans="1:24" s="80" customFormat="1" ht="93.75" x14ac:dyDescent="0.25">
      <c r="A10" s="206">
        <v>2</v>
      </c>
      <c r="B10" s="189" t="s">
        <v>56</v>
      </c>
      <c r="C10" s="208" t="s">
        <v>147</v>
      </c>
      <c r="D10" s="184" t="s">
        <v>153</v>
      </c>
      <c r="E10" s="208" t="s">
        <v>245</v>
      </c>
      <c r="F10" s="328">
        <v>45692</v>
      </c>
      <c r="G10" s="208" t="s">
        <v>246</v>
      </c>
      <c r="H10" s="207">
        <v>2400</v>
      </c>
      <c r="I10" s="211">
        <f>IF(X10 = 125, H10 + SUM(S10:S10) - SUM(T10:T10) - SUM(P10:P10) - V10,0)</f>
        <v>0</v>
      </c>
      <c r="J10" s="208" t="s">
        <v>247</v>
      </c>
      <c r="K10" s="208" t="s">
        <v>248</v>
      </c>
      <c r="L10" s="208" t="s">
        <v>147</v>
      </c>
      <c r="M10" s="208" t="s">
        <v>249</v>
      </c>
      <c r="N10" s="222">
        <v>45692</v>
      </c>
      <c r="O10" s="188" t="s">
        <v>250</v>
      </c>
      <c r="P10" s="223">
        <v>2400</v>
      </c>
      <c r="Q10" s="210">
        <v>45700</v>
      </c>
      <c r="R10" s="208"/>
      <c r="S10" s="207"/>
      <c r="T10" s="207"/>
      <c r="U10" s="207"/>
      <c r="V10" s="221"/>
      <c r="W10" s="209"/>
      <c r="X10" s="80">
        <v>125</v>
      </c>
    </row>
    <row r="11" spans="1:24" s="80" customFormat="1" ht="56.25" x14ac:dyDescent="0.25">
      <c r="A11" s="212">
        <v>3</v>
      </c>
      <c r="B11" s="189" t="s">
        <v>56</v>
      </c>
      <c r="C11" s="214" t="s">
        <v>147</v>
      </c>
      <c r="D11" s="184" t="s">
        <v>153</v>
      </c>
      <c r="E11" s="214" t="s">
        <v>116</v>
      </c>
      <c r="F11" s="328">
        <v>45709</v>
      </c>
      <c r="G11" s="214" t="s">
        <v>251</v>
      </c>
      <c r="H11" s="213">
        <v>15490</v>
      </c>
      <c r="I11" s="218">
        <f>IF(X11 = 126, H11 + SUM(S11:S11) - SUM(T11:T11) - SUM(P11:P11) - V11,0)</f>
        <v>0</v>
      </c>
      <c r="J11" s="214" t="s">
        <v>252</v>
      </c>
      <c r="K11" s="214" t="s">
        <v>253</v>
      </c>
      <c r="L11" s="214" t="s">
        <v>147</v>
      </c>
      <c r="M11" s="214" t="s">
        <v>255</v>
      </c>
      <c r="N11" s="224">
        <v>45709</v>
      </c>
      <c r="O11" s="224" t="s">
        <v>276</v>
      </c>
      <c r="P11" s="223">
        <v>15490</v>
      </c>
      <c r="Q11" s="217">
        <v>45714</v>
      </c>
      <c r="R11" s="214"/>
      <c r="S11" s="213"/>
      <c r="T11" s="213"/>
      <c r="U11" s="213"/>
      <c r="V11" s="221"/>
      <c r="W11" s="216"/>
      <c r="X11" s="80">
        <v>126</v>
      </c>
    </row>
    <row r="12" spans="1:24" s="80" customFormat="1" ht="75" x14ac:dyDescent="0.25">
      <c r="A12" s="233">
        <v>4</v>
      </c>
      <c r="B12" s="189" t="s">
        <v>56</v>
      </c>
      <c r="C12" s="234" t="s">
        <v>147</v>
      </c>
      <c r="D12" s="184" t="s">
        <v>153</v>
      </c>
      <c r="E12" s="234" t="s">
        <v>271</v>
      </c>
      <c r="F12" s="329">
        <v>45748</v>
      </c>
      <c r="G12" s="234" t="s">
        <v>272</v>
      </c>
      <c r="H12" s="235">
        <v>4000</v>
      </c>
      <c r="I12" s="236">
        <f>IF(X12 = 127, H12 + SUM(S12:S12) - SUM(T12:T12) - SUM(P12:P12) - V12,0)</f>
        <v>0</v>
      </c>
      <c r="J12" s="234" t="s">
        <v>273</v>
      </c>
      <c r="K12" s="234" t="s">
        <v>274</v>
      </c>
      <c r="L12" s="234" t="s">
        <v>147</v>
      </c>
      <c r="M12" s="234" t="s">
        <v>275</v>
      </c>
      <c r="N12" s="239">
        <v>45748</v>
      </c>
      <c r="O12" s="231" t="s">
        <v>254</v>
      </c>
      <c r="P12" s="318">
        <v>4000</v>
      </c>
      <c r="Q12" s="237">
        <v>45749</v>
      </c>
      <c r="R12" s="234"/>
      <c r="S12" s="235"/>
      <c r="T12" s="235"/>
      <c r="U12" s="235"/>
      <c r="V12" s="238"/>
      <c r="W12" s="232"/>
      <c r="X12" s="80">
        <v>127</v>
      </c>
    </row>
    <row r="13" spans="1:24" s="80" customFormat="1" ht="75" x14ac:dyDescent="0.25">
      <c r="A13" s="301">
        <v>5</v>
      </c>
      <c r="B13" s="189" t="s">
        <v>56</v>
      </c>
      <c r="C13" s="302" t="s">
        <v>147</v>
      </c>
      <c r="D13" s="184" t="s">
        <v>153</v>
      </c>
      <c r="E13" s="302" t="s">
        <v>129</v>
      </c>
      <c r="F13" s="330">
        <v>45755</v>
      </c>
      <c r="G13" s="302" t="s">
        <v>288</v>
      </c>
      <c r="H13" s="304">
        <v>1104</v>
      </c>
      <c r="I13" s="305">
        <f>IF(X13 = 128, H13 + SUM(S13:S13) - SUM(T13:T13) - SUM(P13:P13) - V13,0)</f>
        <v>0</v>
      </c>
      <c r="J13" s="302" t="s">
        <v>289</v>
      </c>
      <c r="K13" s="302" t="s">
        <v>290</v>
      </c>
      <c r="L13" s="302" t="s">
        <v>147</v>
      </c>
      <c r="M13" s="302" t="s">
        <v>291</v>
      </c>
      <c r="N13" s="308">
        <v>45770</v>
      </c>
      <c r="O13" s="231" t="s">
        <v>292</v>
      </c>
      <c r="P13" s="322">
        <v>1104</v>
      </c>
      <c r="Q13" s="303">
        <v>45772</v>
      </c>
      <c r="R13" s="302"/>
      <c r="S13" s="304"/>
      <c r="T13" s="304"/>
      <c r="U13" s="304"/>
      <c r="V13" s="307"/>
      <c r="W13" s="306"/>
      <c r="X13" s="80">
        <v>128</v>
      </c>
    </row>
    <row r="14" spans="1:24" s="80" customFormat="1" ht="56.25" x14ac:dyDescent="0.25">
      <c r="A14" s="331">
        <v>6</v>
      </c>
      <c r="B14" s="189" t="s">
        <v>56</v>
      </c>
      <c r="C14" s="326" t="s">
        <v>147</v>
      </c>
      <c r="D14" s="184" t="s">
        <v>153</v>
      </c>
      <c r="E14" s="326" t="s">
        <v>299</v>
      </c>
      <c r="F14" s="337">
        <v>45754</v>
      </c>
      <c r="G14" s="326" t="s">
        <v>300</v>
      </c>
      <c r="H14" s="332">
        <v>5460</v>
      </c>
      <c r="I14" s="333">
        <f>IF(X14 = 129, H14 + SUM(S14:S14) - SUM(T14:T14) - SUM(P14:P14) - V14,0)</f>
        <v>0</v>
      </c>
      <c r="J14" s="326" t="s">
        <v>301</v>
      </c>
      <c r="K14" s="326" t="s">
        <v>167</v>
      </c>
      <c r="L14" s="326" t="s">
        <v>147</v>
      </c>
      <c r="M14" s="325" t="s">
        <v>302</v>
      </c>
      <c r="N14" s="337">
        <v>45756</v>
      </c>
      <c r="O14" s="231" t="s">
        <v>276</v>
      </c>
      <c r="P14" s="350">
        <v>5460</v>
      </c>
      <c r="Q14" s="334">
        <v>45756</v>
      </c>
      <c r="R14" s="326"/>
      <c r="S14" s="332"/>
      <c r="T14" s="332"/>
      <c r="U14" s="332"/>
      <c r="V14" s="335"/>
      <c r="W14" s="336"/>
      <c r="X14" s="80">
        <v>129</v>
      </c>
    </row>
    <row r="15" spans="1:24" s="80" customFormat="1" ht="75" x14ac:dyDescent="0.25">
      <c r="A15" s="331">
        <v>7</v>
      </c>
      <c r="B15" s="189" t="s">
        <v>56</v>
      </c>
      <c r="C15" s="339" t="s">
        <v>147</v>
      </c>
      <c r="D15" s="184" t="s">
        <v>153</v>
      </c>
      <c r="E15" s="339" t="s">
        <v>303</v>
      </c>
      <c r="F15" s="349">
        <v>45762</v>
      </c>
      <c r="G15" s="339" t="s">
        <v>305</v>
      </c>
      <c r="H15" s="332">
        <v>3200</v>
      </c>
      <c r="I15" s="333">
        <f>IF(X15 = 131, H15 + SUM(S15:S15) - SUM(T15:T15) - SUM(P15:P15) - V15,0)</f>
        <v>0</v>
      </c>
      <c r="J15" s="339" t="s">
        <v>304</v>
      </c>
      <c r="K15" s="339" t="s">
        <v>305</v>
      </c>
      <c r="L15" s="339" t="s">
        <v>147</v>
      </c>
      <c r="M15" s="338" t="s">
        <v>306</v>
      </c>
      <c r="N15" s="349">
        <v>45762</v>
      </c>
      <c r="O15" s="231" t="s">
        <v>307</v>
      </c>
      <c r="P15" s="350">
        <v>3200</v>
      </c>
      <c r="Q15" s="334">
        <v>45763</v>
      </c>
      <c r="R15" s="339"/>
      <c r="S15" s="332"/>
      <c r="T15" s="332"/>
      <c r="U15" s="332"/>
      <c r="V15" s="335"/>
      <c r="W15" s="336"/>
      <c r="X15" s="80">
        <v>131</v>
      </c>
    </row>
    <row r="16" spans="1:24" s="80" customFormat="1" ht="93.75" x14ac:dyDescent="0.25">
      <c r="A16" s="331">
        <v>8</v>
      </c>
      <c r="B16" s="189" t="s">
        <v>56</v>
      </c>
      <c r="C16" s="348" t="s">
        <v>147</v>
      </c>
      <c r="D16" s="184" t="s">
        <v>153</v>
      </c>
      <c r="E16" s="348" t="s">
        <v>308</v>
      </c>
      <c r="F16" s="352">
        <v>45783</v>
      </c>
      <c r="G16" s="348" t="s">
        <v>315</v>
      </c>
      <c r="H16" s="332">
        <v>8000</v>
      </c>
      <c r="I16" s="333">
        <f>IF(X16 = 132, H16 + SUM(S16:S16) - SUM(T16:T16) - SUM(P16:P16) - V16,0)</f>
        <v>0</v>
      </c>
      <c r="J16" s="348" t="s">
        <v>310</v>
      </c>
      <c r="K16" s="348" t="s">
        <v>309</v>
      </c>
      <c r="L16" s="348" t="s">
        <v>147</v>
      </c>
      <c r="M16" s="348" t="s">
        <v>311</v>
      </c>
      <c r="N16" s="352">
        <v>45783</v>
      </c>
      <c r="O16" s="231" t="s">
        <v>312</v>
      </c>
      <c r="P16" s="350">
        <v>8000</v>
      </c>
      <c r="Q16" s="334">
        <v>45789</v>
      </c>
      <c r="R16" s="348"/>
      <c r="S16" s="332"/>
      <c r="T16" s="332"/>
      <c r="U16" s="332"/>
      <c r="V16" s="335"/>
      <c r="W16" s="336"/>
      <c r="X16" s="80">
        <v>132</v>
      </c>
    </row>
    <row r="17" spans="1:24" s="80" customFormat="1" ht="93.75" x14ac:dyDescent="0.25">
      <c r="A17" s="439">
        <v>9</v>
      </c>
      <c r="B17" s="189" t="s">
        <v>56</v>
      </c>
      <c r="C17" s="351" t="s">
        <v>147</v>
      </c>
      <c r="D17" s="184" t="s">
        <v>153</v>
      </c>
      <c r="E17" s="440" t="s">
        <v>313</v>
      </c>
      <c r="F17" s="458">
        <v>45789</v>
      </c>
      <c r="G17" s="440" t="s">
        <v>316</v>
      </c>
      <c r="H17" s="442">
        <v>8000</v>
      </c>
      <c r="I17" s="443">
        <f>IF(X17 = 134, H17 + SUM(S17:S17) - SUM(T17:T17) - SUM(P17:P17) - V17,0)</f>
        <v>0</v>
      </c>
      <c r="J17" s="440" t="s">
        <v>314</v>
      </c>
      <c r="K17" s="440" t="s">
        <v>190</v>
      </c>
      <c r="L17" s="351" t="s">
        <v>147</v>
      </c>
      <c r="M17" s="440" t="s">
        <v>317</v>
      </c>
      <c r="N17" s="458">
        <v>45800</v>
      </c>
      <c r="O17" s="458" t="s">
        <v>312</v>
      </c>
      <c r="P17" s="456">
        <v>8000</v>
      </c>
      <c r="Q17" s="441">
        <v>45814</v>
      </c>
      <c r="R17" s="440"/>
      <c r="S17" s="442"/>
      <c r="T17" s="442"/>
      <c r="U17" s="442"/>
      <c r="V17" s="457"/>
      <c r="W17" s="447"/>
      <c r="X17" s="80">
        <v>134</v>
      </c>
    </row>
    <row r="18" spans="1:24" s="80" customFormat="1" ht="93.75" x14ac:dyDescent="0.25">
      <c r="A18" s="439">
        <v>10</v>
      </c>
      <c r="B18" s="189" t="s">
        <v>56</v>
      </c>
      <c r="C18" s="351" t="s">
        <v>147</v>
      </c>
      <c r="D18" s="184" t="s">
        <v>153</v>
      </c>
      <c r="E18" s="440" t="s">
        <v>321</v>
      </c>
      <c r="F18" s="458">
        <v>45789</v>
      </c>
      <c r="G18" s="440" t="s">
        <v>324</v>
      </c>
      <c r="H18" s="442">
        <v>8000</v>
      </c>
      <c r="I18" s="443">
        <f>IF(X18 = 135, H18 + SUM(S18:S18) - SUM(T18:T18) - SUM(P18:P18) - V18,0)</f>
        <v>0</v>
      </c>
      <c r="J18" s="440" t="s">
        <v>323</v>
      </c>
      <c r="K18" s="440" t="s">
        <v>322</v>
      </c>
      <c r="L18" s="440" t="s">
        <v>147</v>
      </c>
      <c r="M18" s="440" t="s">
        <v>325</v>
      </c>
      <c r="N18" s="458">
        <v>45800</v>
      </c>
      <c r="O18" s="458" t="s">
        <v>312</v>
      </c>
      <c r="P18" s="456">
        <v>8000</v>
      </c>
      <c r="Q18" s="441">
        <v>45800</v>
      </c>
      <c r="R18" s="440"/>
      <c r="S18" s="442"/>
      <c r="T18" s="442"/>
      <c r="U18" s="442"/>
      <c r="V18" s="457"/>
      <c r="W18" s="447"/>
      <c r="X18" s="80">
        <v>135</v>
      </c>
    </row>
    <row r="19" spans="1:24" s="80" customFormat="1" ht="93.75" x14ac:dyDescent="0.25">
      <c r="A19" s="450">
        <v>11</v>
      </c>
      <c r="B19" s="189" t="s">
        <v>56</v>
      </c>
      <c r="C19" s="351" t="s">
        <v>147</v>
      </c>
      <c r="D19" s="184" t="s">
        <v>153</v>
      </c>
      <c r="E19" s="452" t="s">
        <v>129</v>
      </c>
      <c r="F19" s="465">
        <v>45790</v>
      </c>
      <c r="G19" s="452" t="s">
        <v>326</v>
      </c>
      <c r="H19" s="451">
        <v>12000</v>
      </c>
      <c r="I19" s="455">
        <f>IF(X19 = 136, H19 + SUM(S19:S19) - SUM(T19:T19) - SUM(P19:P19) - V19,0)</f>
        <v>0</v>
      </c>
      <c r="J19" s="452" t="s">
        <v>327</v>
      </c>
      <c r="K19" s="452" t="s">
        <v>328</v>
      </c>
      <c r="L19" s="452" t="s">
        <v>147</v>
      </c>
      <c r="M19" s="452" t="s">
        <v>329</v>
      </c>
      <c r="N19" s="465">
        <v>45793</v>
      </c>
      <c r="O19" s="458" t="s">
        <v>312</v>
      </c>
      <c r="P19" s="456">
        <v>12000</v>
      </c>
      <c r="Q19" s="454">
        <v>45798</v>
      </c>
      <c r="R19" s="452"/>
      <c r="S19" s="451"/>
      <c r="T19" s="451"/>
      <c r="U19" s="451"/>
      <c r="V19" s="457"/>
      <c r="W19" s="453"/>
      <c r="X19" s="80">
        <v>136</v>
      </c>
    </row>
    <row r="20" spans="1:24" s="80" customFormat="1" ht="93.75" x14ac:dyDescent="0.25">
      <c r="A20" s="459">
        <v>12</v>
      </c>
      <c r="B20" s="189" t="s">
        <v>56</v>
      </c>
      <c r="C20" s="351" t="s">
        <v>147</v>
      </c>
      <c r="D20" s="184" t="s">
        <v>153</v>
      </c>
      <c r="E20" s="461" t="s">
        <v>330</v>
      </c>
      <c r="F20" s="470">
        <v>45803</v>
      </c>
      <c r="G20" s="461" t="s">
        <v>331</v>
      </c>
      <c r="H20" s="460">
        <v>800</v>
      </c>
      <c r="I20" s="464">
        <f>IF(X20 = 137, H20 + SUM(S20:S20) - SUM(T20:T20) - SUM(P20:P20) - V20,0)</f>
        <v>0</v>
      </c>
      <c r="J20" s="461" t="s">
        <v>332</v>
      </c>
      <c r="K20" s="461" t="s">
        <v>333</v>
      </c>
      <c r="L20" s="461" t="s">
        <v>147</v>
      </c>
      <c r="M20" s="461" t="s">
        <v>334</v>
      </c>
      <c r="N20" s="470">
        <v>45810</v>
      </c>
      <c r="O20" s="465" t="s">
        <v>312</v>
      </c>
      <c r="P20" s="456">
        <v>800</v>
      </c>
      <c r="Q20" s="463">
        <v>45810</v>
      </c>
      <c r="R20" s="461"/>
      <c r="S20" s="460"/>
      <c r="T20" s="460"/>
      <c r="U20" s="460"/>
      <c r="V20" s="457"/>
      <c r="W20" s="462"/>
      <c r="X20" s="80">
        <v>137</v>
      </c>
    </row>
    <row r="21" spans="1:24" s="80" customFormat="1" ht="93.75" x14ac:dyDescent="0.25">
      <c r="A21" s="459">
        <v>13</v>
      </c>
      <c r="B21" s="189" t="s">
        <v>56</v>
      </c>
      <c r="C21" s="461" t="s">
        <v>147</v>
      </c>
      <c r="D21" s="184" t="s">
        <v>153</v>
      </c>
      <c r="E21" s="461" t="s">
        <v>342</v>
      </c>
      <c r="F21" s="470">
        <v>45839</v>
      </c>
      <c r="G21" s="461" t="s">
        <v>188</v>
      </c>
      <c r="H21" s="460">
        <v>88250.76</v>
      </c>
      <c r="I21" s="464">
        <f>IF(X21 = 138, H21 + SUM(S21:S21) - SUM(T21:T21) - SUM(P21:P21) - V21,0)</f>
        <v>88250.76</v>
      </c>
      <c r="J21" s="461" t="s">
        <v>343</v>
      </c>
      <c r="K21" s="461" t="s">
        <v>173</v>
      </c>
      <c r="L21" s="461" t="s">
        <v>147</v>
      </c>
      <c r="M21" s="461" t="s">
        <v>344</v>
      </c>
      <c r="N21" s="470"/>
      <c r="O21" s="502" t="s">
        <v>312</v>
      </c>
      <c r="P21" s="460"/>
      <c r="Q21" s="463"/>
      <c r="R21" s="461"/>
      <c r="S21" s="460"/>
      <c r="T21" s="460"/>
      <c r="U21" s="460"/>
      <c r="V21" s="457"/>
      <c r="W21" s="462"/>
      <c r="X21" s="80">
        <v>138</v>
      </c>
    </row>
    <row r="22" spans="1:24" s="80" customFormat="1" ht="93.75" x14ac:dyDescent="0.25">
      <c r="A22" s="534">
        <v>14</v>
      </c>
      <c r="B22" s="189" t="s">
        <v>56</v>
      </c>
      <c r="C22" s="529" t="s">
        <v>147</v>
      </c>
      <c r="D22" s="184" t="s">
        <v>153</v>
      </c>
      <c r="E22" s="529" t="s">
        <v>345</v>
      </c>
      <c r="F22" s="536">
        <v>45800</v>
      </c>
      <c r="G22" s="529" t="s">
        <v>346</v>
      </c>
      <c r="H22" s="531">
        <v>130080</v>
      </c>
      <c r="I22" s="532">
        <f>IF(X22 = 139, H22 + SUM(S22:S22) - SUM(T22:T22) - SUM(P22:P22) - V22,0)</f>
        <v>0</v>
      </c>
      <c r="J22" s="529" t="s">
        <v>157</v>
      </c>
      <c r="K22" s="529" t="s">
        <v>158</v>
      </c>
      <c r="L22" s="529" t="s">
        <v>147</v>
      </c>
      <c r="M22" s="529" t="s">
        <v>347</v>
      </c>
      <c r="N22" s="536">
        <v>45824</v>
      </c>
      <c r="O22" s="528" t="s">
        <v>312</v>
      </c>
      <c r="P22" s="581">
        <v>130080</v>
      </c>
      <c r="Q22" s="530">
        <v>45834</v>
      </c>
      <c r="R22" s="529"/>
      <c r="S22" s="531"/>
      <c r="T22" s="531"/>
      <c r="U22" s="531"/>
      <c r="V22" s="535"/>
      <c r="W22" s="533"/>
      <c r="X22" s="80">
        <v>139</v>
      </c>
    </row>
    <row r="23" spans="1:24" ht="31.5" customHeight="1" x14ac:dyDescent="0.25">
      <c r="A23" s="101"/>
      <c r="B23" s="189"/>
      <c r="C23" s="351"/>
      <c r="D23" s="184"/>
      <c r="E23" s="128"/>
      <c r="F23" s="106"/>
      <c r="G23" s="102"/>
      <c r="H23" s="107"/>
      <c r="I23" s="108">
        <f>IF(X23 = 72, H23 + SUM(S23:S23) - SUM(T23:T23) - SUM(P23:P23) - V23,0)</f>
        <v>0</v>
      </c>
      <c r="J23" s="102"/>
      <c r="K23" s="102"/>
      <c r="L23" s="102"/>
      <c r="M23" s="127"/>
      <c r="N23" s="106"/>
      <c r="O23" s="231"/>
      <c r="P23" s="107"/>
      <c r="Q23" s="103"/>
      <c r="R23" s="105"/>
      <c r="S23" s="107"/>
      <c r="T23" s="107"/>
      <c r="U23" s="107"/>
      <c r="V23" s="104"/>
      <c r="W23" s="105"/>
      <c r="X23" s="2">
        <v>140</v>
      </c>
    </row>
  </sheetData>
  <sheetProtection algorithmName="SHA-512" hashValue="10B6cSSfeAAOrb+EwI1QdnLPaPkPjroVhorV5DqWEiHgdZU4iILmHGqCq9aM31/SDb+DQJqA9dJ+eIdQNKU11Q==" saltValue="YBu9tiyxamNIZaElgxGt0A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07"/>
  <sheetViews>
    <sheetView showGridLines="0" topLeftCell="K1" zoomScale="50" zoomScaleNormal="50" workbookViewId="0">
      <pane ySplit="8" topLeftCell="A9" activePane="bottomLeft" state="frozen"/>
      <selection pane="bottomLeft" activeCell="R32" sqref="R32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42578125" style="3" customWidth="1"/>
    <col min="6" max="6" width="32.42578125" style="3" customWidth="1"/>
    <col min="7" max="7" width="40.42578125" style="11" customWidth="1"/>
    <col min="8" max="8" width="27.5703125" style="3" customWidth="1"/>
    <col min="9" max="9" width="33" style="3" customWidth="1"/>
    <col min="10" max="11" width="27.425781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42578125" style="3" customWidth="1"/>
    <col min="16" max="16" width="24.5703125" style="26" customWidth="1"/>
    <col min="17" max="17" width="24.42578125" style="11" customWidth="1"/>
    <col min="18" max="18" width="23.42578125" style="3" customWidth="1"/>
    <col min="19" max="19" width="25.5703125" style="3" customWidth="1"/>
    <col min="20" max="20" width="26" style="3" customWidth="1"/>
    <col min="21" max="21" width="23.570312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875" t="s">
        <v>24</v>
      </c>
      <c r="G2" s="876"/>
      <c r="H2" s="75">
        <f>SUM(H9:H9999)</f>
        <v>1725940.98</v>
      </c>
      <c r="I2" s="65"/>
      <c r="N2" s="650" t="s">
        <v>137</v>
      </c>
      <c r="O2" s="652"/>
      <c r="P2" s="66">
        <f>SUM(P9:P9999)</f>
        <v>1107501.8399999999</v>
      </c>
      <c r="R2" s="65"/>
      <c r="S2" s="650" t="s">
        <v>45</v>
      </c>
      <c r="T2" s="651"/>
      <c r="U2" s="652"/>
      <c r="V2" s="67">
        <f>SUM(V9:V9999)</f>
        <v>263144.32000000001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35000000000002" customHeight="1" x14ac:dyDescent="0.25">
      <c r="A9" s="907">
        <v>1</v>
      </c>
      <c r="B9" s="776" t="s">
        <v>56</v>
      </c>
      <c r="C9" s="776" t="s">
        <v>147</v>
      </c>
      <c r="D9" s="776" t="s">
        <v>155</v>
      </c>
      <c r="E9" s="776" t="s">
        <v>195</v>
      </c>
      <c r="F9" s="782">
        <v>45566</v>
      </c>
      <c r="G9" s="785" t="s">
        <v>148</v>
      </c>
      <c r="H9" s="788">
        <v>230728.3</v>
      </c>
      <c r="I9" s="791">
        <f>IF(X9 = 1, H9 + SUM(S9:S16) - SUM(T9:T16) - SUM(P9:P16) - V9,0)</f>
        <v>99688.589999999982</v>
      </c>
      <c r="J9" s="794">
        <v>2308070396</v>
      </c>
      <c r="K9" s="797" t="s">
        <v>149</v>
      </c>
      <c r="L9" s="776" t="s">
        <v>147</v>
      </c>
      <c r="M9" s="776" t="s">
        <v>194</v>
      </c>
      <c r="N9" s="365">
        <v>45666</v>
      </c>
      <c r="O9" s="922" t="s">
        <v>154</v>
      </c>
      <c r="P9" s="353">
        <v>23514.78</v>
      </c>
      <c r="Q9" s="354">
        <v>45685</v>
      </c>
      <c r="R9" s="355"/>
      <c r="S9" s="356"/>
      <c r="T9" s="357"/>
      <c r="U9" s="788"/>
      <c r="V9" s="773"/>
      <c r="W9" s="779"/>
      <c r="X9" s="80">
        <v>1</v>
      </c>
    </row>
    <row r="10" spans="1:24" s="110" customFormat="1" x14ac:dyDescent="0.25">
      <c r="A10" s="908"/>
      <c r="B10" s="777"/>
      <c r="C10" s="777"/>
      <c r="D10" s="777"/>
      <c r="E10" s="777"/>
      <c r="F10" s="783"/>
      <c r="G10" s="786"/>
      <c r="H10" s="789"/>
      <c r="I10" s="792"/>
      <c r="J10" s="795"/>
      <c r="K10" s="798"/>
      <c r="L10" s="777"/>
      <c r="M10" s="777"/>
      <c r="N10" s="366">
        <v>45688</v>
      </c>
      <c r="O10" s="923"/>
      <c r="P10" s="358">
        <v>16627.64</v>
      </c>
      <c r="Q10" s="359">
        <v>45700</v>
      </c>
      <c r="R10" s="360"/>
      <c r="S10" s="361"/>
      <c r="T10" s="361"/>
      <c r="U10" s="789"/>
      <c r="V10" s="774"/>
      <c r="W10" s="780"/>
      <c r="X10" s="110">
        <v>1</v>
      </c>
    </row>
    <row r="11" spans="1:24" s="110" customFormat="1" x14ac:dyDescent="0.25">
      <c r="A11" s="908"/>
      <c r="B11" s="777"/>
      <c r="C11" s="777"/>
      <c r="D11" s="777"/>
      <c r="E11" s="777"/>
      <c r="F11" s="783"/>
      <c r="G11" s="786"/>
      <c r="H11" s="789"/>
      <c r="I11" s="792"/>
      <c r="J11" s="795"/>
      <c r="K11" s="798"/>
      <c r="L11" s="777"/>
      <c r="M11" s="777"/>
      <c r="N11" s="366">
        <v>45689</v>
      </c>
      <c r="O11" s="923"/>
      <c r="P11" s="358">
        <v>18955.86</v>
      </c>
      <c r="Q11" s="359">
        <v>45695</v>
      </c>
      <c r="R11" s="360"/>
      <c r="S11" s="361"/>
      <c r="T11" s="361"/>
      <c r="U11" s="789"/>
      <c r="V11" s="774"/>
      <c r="W11" s="780"/>
      <c r="X11" s="110">
        <v>1</v>
      </c>
    </row>
    <row r="12" spans="1:24" s="110" customFormat="1" x14ac:dyDescent="0.25">
      <c r="A12" s="908"/>
      <c r="B12" s="777"/>
      <c r="C12" s="777"/>
      <c r="D12" s="777"/>
      <c r="E12" s="777"/>
      <c r="F12" s="783"/>
      <c r="G12" s="786"/>
      <c r="H12" s="789"/>
      <c r="I12" s="792"/>
      <c r="J12" s="795"/>
      <c r="K12" s="798"/>
      <c r="L12" s="777"/>
      <c r="M12" s="777"/>
      <c r="N12" s="366">
        <v>45716</v>
      </c>
      <c r="O12" s="923"/>
      <c r="P12" s="358">
        <v>5334.45</v>
      </c>
      <c r="Q12" s="359">
        <v>45729</v>
      </c>
      <c r="R12" s="360"/>
      <c r="S12" s="361"/>
      <c r="T12" s="361"/>
      <c r="U12" s="789"/>
      <c r="V12" s="774"/>
      <c r="W12" s="780"/>
      <c r="X12" s="110">
        <v>1</v>
      </c>
    </row>
    <row r="13" spans="1:24" s="110" customFormat="1" x14ac:dyDescent="0.25">
      <c r="A13" s="908"/>
      <c r="B13" s="777"/>
      <c r="C13" s="777"/>
      <c r="D13" s="777"/>
      <c r="E13" s="777"/>
      <c r="F13" s="783"/>
      <c r="G13" s="786"/>
      <c r="H13" s="789"/>
      <c r="I13" s="792"/>
      <c r="J13" s="795"/>
      <c r="K13" s="798"/>
      <c r="L13" s="777"/>
      <c r="M13" s="777"/>
      <c r="N13" s="366">
        <v>45717</v>
      </c>
      <c r="O13" s="923"/>
      <c r="P13" s="358">
        <v>11909.66</v>
      </c>
      <c r="Q13" s="359">
        <v>45720</v>
      </c>
      <c r="R13" s="360"/>
      <c r="S13" s="361"/>
      <c r="T13" s="361"/>
      <c r="U13" s="789"/>
      <c r="V13" s="774"/>
      <c r="W13" s="780"/>
      <c r="X13" s="110">
        <v>1</v>
      </c>
    </row>
    <row r="14" spans="1:24" s="110" customFormat="1" x14ac:dyDescent="0.25">
      <c r="A14" s="908"/>
      <c r="B14" s="777"/>
      <c r="C14" s="777"/>
      <c r="D14" s="777"/>
      <c r="E14" s="777"/>
      <c r="F14" s="783"/>
      <c r="G14" s="786"/>
      <c r="H14" s="789"/>
      <c r="I14" s="792"/>
      <c r="J14" s="795"/>
      <c r="K14" s="798"/>
      <c r="L14" s="777"/>
      <c r="M14" s="777"/>
      <c r="N14" s="366">
        <v>45747</v>
      </c>
      <c r="O14" s="923"/>
      <c r="P14" s="358">
        <v>12342.24</v>
      </c>
      <c r="Q14" s="359">
        <v>45763</v>
      </c>
      <c r="R14" s="360"/>
      <c r="S14" s="361"/>
      <c r="T14" s="361"/>
      <c r="U14" s="789"/>
      <c r="V14" s="774"/>
      <c r="W14" s="780"/>
      <c r="X14" s="110">
        <v>1</v>
      </c>
    </row>
    <row r="15" spans="1:24" s="110" customFormat="1" x14ac:dyDescent="0.25">
      <c r="A15" s="908"/>
      <c r="B15" s="777"/>
      <c r="C15" s="777"/>
      <c r="D15" s="777"/>
      <c r="E15" s="777"/>
      <c r="F15" s="783"/>
      <c r="G15" s="786"/>
      <c r="H15" s="789"/>
      <c r="I15" s="792"/>
      <c r="J15" s="795"/>
      <c r="K15" s="798"/>
      <c r="L15" s="777"/>
      <c r="M15" s="777"/>
      <c r="N15" s="366">
        <v>45777</v>
      </c>
      <c r="O15" s="923"/>
      <c r="P15" s="358">
        <v>36352.660000000003</v>
      </c>
      <c r="Q15" s="359">
        <v>45791</v>
      </c>
      <c r="R15" s="360"/>
      <c r="S15" s="361"/>
      <c r="T15" s="361"/>
      <c r="U15" s="789"/>
      <c r="V15" s="774"/>
      <c r="W15" s="780"/>
      <c r="X15" s="110">
        <v>1</v>
      </c>
    </row>
    <row r="16" spans="1:24" s="110" customFormat="1" x14ac:dyDescent="0.25">
      <c r="A16" s="909"/>
      <c r="B16" s="778"/>
      <c r="C16" s="778"/>
      <c r="D16" s="778"/>
      <c r="E16" s="778"/>
      <c r="F16" s="784"/>
      <c r="G16" s="787"/>
      <c r="H16" s="790"/>
      <c r="I16" s="793"/>
      <c r="J16" s="796"/>
      <c r="K16" s="799"/>
      <c r="L16" s="778"/>
      <c r="M16" s="778"/>
      <c r="N16" s="367">
        <v>45778</v>
      </c>
      <c r="O16" s="924"/>
      <c r="P16" s="404">
        <v>6002.42</v>
      </c>
      <c r="Q16" s="363">
        <v>45789</v>
      </c>
      <c r="R16" s="364"/>
      <c r="S16" s="362"/>
      <c r="T16" s="362"/>
      <c r="U16" s="790"/>
      <c r="V16" s="775"/>
      <c r="W16" s="781"/>
      <c r="X16" s="110">
        <v>1</v>
      </c>
    </row>
    <row r="17" spans="1:24" s="80" customFormat="1" ht="63.6" customHeight="1" x14ac:dyDescent="0.25">
      <c r="A17" s="937">
        <v>2</v>
      </c>
      <c r="B17" s="904" t="s">
        <v>56</v>
      </c>
      <c r="C17" s="904" t="s">
        <v>147</v>
      </c>
      <c r="D17" s="904" t="s">
        <v>153</v>
      </c>
      <c r="E17" s="904" t="s">
        <v>161</v>
      </c>
      <c r="F17" s="985">
        <v>45653</v>
      </c>
      <c r="G17" s="988" t="s">
        <v>162</v>
      </c>
      <c r="H17" s="901">
        <v>24254.1</v>
      </c>
      <c r="I17" s="991">
        <f>IF(X17 = 33, H17 + SUM(S17:S22) - SUM(T17:T22) - SUM(P17:P22) - V17,0)</f>
        <v>0</v>
      </c>
      <c r="J17" s="994">
        <v>2308131994</v>
      </c>
      <c r="K17" s="997" t="s">
        <v>163</v>
      </c>
      <c r="L17" s="904" t="s">
        <v>147</v>
      </c>
      <c r="M17" s="904" t="s">
        <v>224</v>
      </c>
      <c r="N17" s="572">
        <v>45688</v>
      </c>
      <c r="O17" s="898" t="s">
        <v>164</v>
      </c>
      <c r="P17" s="561">
        <v>4042.35</v>
      </c>
      <c r="Q17" s="562">
        <v>45702</v>
      </c>
      <c r="R17" s="563"/>
      <c r="S17" s="564"/>
      <c r="T17" s="564"/>
      <c r="U17" s="901"/>
      <c r="V17" s="979"/>
      <c r="W17" s="982"/>
      <c r="X17" s="80">
        <v>33</v>
      </c>
    </row>
    <row r="18" spans="1:24" s="110" customFormat="1" x14ac:dyDescent="0.25">
      <c r="A18" s="938"/>
      <c r="B18" s="905"/>
      <c r="C18" s="905"/>
      <c r="D18" s="905"/>
      <c r="E18" s="905"/>
      <c r="F18" s="986"/>
      <c r="G18" s="989"/>
      <c r="H18" s="902"/>
      <c r="I18" s="992"/>
      <c r="J18" s="995"/>
      <c r="K18" s="998"/>
      <c r="L18" s="905"/>
      <c r="M18" s="905"/>
      <c r="N18" s="573">
        <v>45716</v>
      </c>
      <c r="O18" s="899"/>
      <c r="P18" s="565">
        <v>4042.35</v>
      </c>
      <c r="Q18" s="566">
        <v>45720</v>
      </c>
      <c r="R18" s="567"/>
      <c r="S18" s="568"/>
      <c r="T18" s="568"/>
      <c r="U18" s="902"/>
      <c r="V18" s="980"/>
      <c r="W18" s="983"/>
      <c r="X18" s="110">
        <v>33</v>
      </c>
    </row>
    <row r="19" spans="1:24" s="110" customFormat="1" x14ac:dyDescent="0.25">
      <c r="A19" s="938"/>
      <c r="B19" s="905"/>
      <c r="C19" s="905"/>
      <c r="D19" s="905"/>
      <c r="E19" s="905"/>
      <c r="F19" s="986"/>
      <c r="G19" s="989"/>
      <c r="H19" s="902"/>
      <c r="I19" s="992"/>
      <c r="J19" s="995"/>
      <c r="K19" s="998"/>
      <c r="L19" s="905"/>
      <c r="M19" s="905"/>
      <c r="N19" s="573">
        <v>45747</v>
      </c>
      <c r="O19" s="899"/>
      <c r="P19" s="565">
        <v>4042.35</v>
      </c>
      <c r="Q19" s="566">
        <v>45754</v>
      </c>
      <c r="R19" s="567"/>
      <c r="S19" s="568"/>
      <c r="T19" s="568"/>
      <c r="U19" s="902"/>
      <c r="V19" s="980"/>
      <c r="W19" s="983"/>
      <c r="X19" s="110">
        <v>33</v>
      </c>
    </row>
    <row r="20" spans="1:24" s="110" customFormat="1" x14ac:dyDescent="0.25">
      <c r="A20" s="938"/>
      <c r="B20" s="905"/>
      <c r="C20" s="905"/>
      <c r="D20" s="905"/>
      <c r="E20" s="905"/>
      <c r="F20" s="986"/>
      <c r="G20" s="989"/>
      <c r="H20" s="902"/>
      <c r="I20" s="992"/>
      <c r="J20" s="995"/>
      <c r="K20" s="998"/>
      <c r="L20" s="905"/>
      <c r="M20" s="905"/>
      <c r="N20" s="573">
        <v>45777</v>
      </c>
      <c r="O20" s="899"/>
      <c r="P20" s="565">
        <v>4042.35</v>
      </c>
      <c r="Q20" s="566">
        <v>45789</v>
      </c>
      <c r="R20" s="567"/>
      <c r="S20" s="568"/>
      <c r="T20" s="568"/>
      <c r="U20" s="902"/>
      <c r="V20" s="980"/>
      <c r="W20" s="983"/>
      <c r="X20" s="110">
        <v>33</v>
      </c>
    </row>
    <row r="21" spans="1:24" s="110" customFormat="1" x14ac:dyDescent="0.25">
      <c r="A21" s="938"/>
      <c r="B21" s="905"/>
      <c r="C21" s="905"/>
      <c r="D21" s="905"/>
      <c r="E21" s="905"/>
      <c r="F21" s="986"/>
      <c r="G21" s="989"/>
      <c r="H21" s="902"/>
      <c r="I21" s="992"/>
      <c r="J21" s="995"/>
      <c r="K21" s="998"/>
      <c r="L21" s="905"/>
      <c r="M21" s="905"/>
      <c r="N21" s="573">
        <v>45808</v>
      </c>
      <c r="O21" s="899"/>
      <c r="P21" s="565">
        <v>4042.35</v>
      </c>
      <c r="Q21" s="566">
        <v>45814</v>
      </c>
      <c r="R21" s="567"/>
      <c r="S21" s="568"/>
      <c r="T21" s="568"/>
      <c r="U21" s="902"/>
      <c r="V21" s="980"/>
      <c r="W21" s="983"/>
      <c r="X21" s="110">
        <v>33</v>
      </c>
    </row>
    <row r="22" spans="1:24" s="110" customFormat="1" x14ac:dyDescent="0.25">
      <c r="A22" s="939"/>
      <c r="B22" s="906"/>
      <c r="C22" s="906"/>
      <c r="D22" s="906"/>
      <c r="E22" s="906"/>
      <c r="F22" s="987"/>
      <c r="G22" s="990"/>
      <c r="H22" s="903"/>
      <c r="I22" s="993"/>
      <c r="J22" s="996"/>
      <c r="K22" s="999"/>
      <c r="L22" s="906"/>
      <c r="M22" s="906"/>
      <c r="N22" s="574">
        <v>45838</v>
      </c>
      <c r="O22" s="900"/>
      <c r="P22" s="569">
        <v>4042.35</v>
      </c>
      <c r="Q22" s="570"/>
      <c r="R22" s="571"/>
      <c r="S22" s="569"/>
      <c r="T22" s="569"/>
      <c r="U22" s="903"/>
      <c r="V22" s="981"/>
      <c r="W22" s="984"/>
      <c r="X22" s="110">
        <v>33</v>
      </c>
    </row>
    <row r="23" spans="1:24" s="80" customFormat="1" ht="54" customHeight="1" x14ac:dyDescent="0.25">
      <c r="A23" s="684">
        <v>3</v>
      </c>
      <c r="B23" s="657" t="s">
        <v>56</v>
      </c>
      <c r="C23" s="657" t="s">
        <v>147</v>
      </c>
      <c r="D23" s="657" t="s">
        <v>153</v>
      </c>
      <c r="E23" s="657" t="s">
        <v>165</v>
      </c>
      <c r="F23" s="663">
        <v>45657</v>
      </c>
      <c r="G23" s="666" t="s">
        <v>166</v>
      </c>
      <c r="H23" s="669">
        <v>24000</v>
      </c>
      <c r="I23" s="672">
        <f>IF(X23 = 34, H23 + SUM(S23:S28) - SUM(T23:T28) - SUM(P23:P28) - V23,0)</f>
        <v>12000</v>
      </c>
      <c r="J23" s="675">
        <v>2353002302</v>
      </c>
      <c r="K23" s="678" t="s">
        <v>167</v>
      </c>
      <c r="L23" s="657" t="s">
        <v>147</v>
      </c>
      <c r="M23" s="657" t="s">
        <v>194</v>
      </c>
      <c r="N23" s="594">
        <v>45688</v>
      </c>
      <c r="O23" s="681" t="s">
        <v>196</v>
      </c>
      <c r="P23" s="582">
        <v>2000</v>
      </c>
      <c r="Q23" s="583">
        <v>45695</v>
      </c>
      <c r="R23" s="584"/>
      <c r="S23" s="585"/>
      <c r="T23" s="585"/>
      <c r="U23" s="669"/>
      <c r="V23" s="654"/>
      <c r="W23" s="660"/>
      <c r="X23" s="80">
        <v>34</v>
      </c>
    </row>
    <row r="24" spans="1:24" s="110" customFormat="1" x14ac:dyDescent="0.25">
      <c r="A24" s="685"/>
      <c r="B24" s="658"/>
      <c r="C24" s="658"/>
      <c r="D24" s="658"/>
      <c r="E24" s="658"/>
      <c r="F24" s="664"/>
      <c r="G24" s="667"/>
      <c r="H24" s="670"/>
      <c r="I24" s="673"/>
      <c r="J24" s="676"/>
      <c r="K24" s="679"/>
      <c r="L24" s="658"/>
      <c r="M24" s="658"/>
      <c r="N24" s="595">
        <v>45716</v>
      </c>
      <c r="O24" s="682"/>
      <c r="P24" s="586">
        <v>2000</v>
      </c>
      <c r="Q24" s="587">
        <v>45720</v>
      </c>
      <c r="R24" s="588"/>
      <c r="S24" s="589"/>
      <c r="T24" s="589"/>
      <c r="U24" s="670"/>
      <c r="V24" s="655"/>
      <c r="W24" s="661"/>
      <c r="X24" s="110">
        <v>34</v>
      </c>
    </row>
    <row r="25" spans="1:24" s="110" customFormat="1" x14ac:dyDescent="0.25">
      <c r="A25" s="685"/>
      <c r="B25" s="658"/>
      <c r="C25" s="658"/>
      <c r="D25" s="658"/>
      <c r="E25" s="658"/>
      <c r="F25" s="664"/>
      <c r="G25" s="667"/>
      <c r="H25" s="670"/>
      <c r="I25" s="673"/>
      <c r="J25" s="676"/>
      <c r="K25" s="679"/>
      <c r="L25" s="658"/>
      <c r="M25" s="658"/>
      <c r="N25" s="595">
        <v>45747</v>
      </c>
      <c r="O25" s="682"/>
      <c r="P25" s="586">
        <v>2000</v>
      </c>
      <c r="Q25" s="587">
        <v>45749</v>
      </c>
      <c r="R25" s="588"/>
      <c r="S25" s="589"/>
      <c r="T25" s="589"/>
      <c r="U25" s="670"/>
      <c r="V25" s="655"/>
      <c r="W25" s="661"/>
      <c r="X25" s="110">
        <v>34</v>
      </c>
    </row>
    <row r="26" spans="1:24" s="110" customFormat="1" x14ac:dyDescent="0.25">
      <c r="A26" s="685"/>
      <c r="B26" s="658"/>
      <c r="C26" s="658"/>
      <c r="D26" s="658"/>
      <c r="E26" s="658"/>
      <c r="F26" s="664"/>
      <c r="G26" s="667"/>
      <c r="H26" s="670"/>
      <c r="I26" s="673"/>
      <c r="J26" s="676"/>
      <c r="K26" s="679"/>
      <c r="L26" s="658"/>
      <c r="M26" s="658"/>
      <c r="N26" s="595">
        <v>45777</v>
      </c>
      <c r="O26" s="682"/>
      <c r="P26" s="586">
        <v>2000</v>
      </c>
      <c r="Q26" s="587">
        <v>45777</v>
      </c>
      <c r="R26" s="588"/>
      <c r="S26" s="589"/>
      <c r="T26" s="589"/>
      <c r="U26" s="670"/>
      <c r="V26" s="655"/>
      <c r="W26" s="661"/>
      <c r="X26" s="110">
        <v>34</v>
      </c>
    </row>
    <row r="27" spans="1:24" s="110" customFormat="1" x14ac:dyDescent="0.25">
      <c r="A27" s="685"/>
      <c r="B27" s="658"/>
      <c r="C27" s="658"/>
      <c r="D27" s="658"/>
      <c r="E27" s="658"/>
      <c r="F27" s="664"/>
      <c r="G27" s="667"/>
      <c r="H27" s="670"/>
      <c r="I27" s="673"/>
      <c r="J27" s="676"/>
      <c r="K27" s="679"/>
      <c r="L27" s="658"/>
      <c r="M27" s="658"/>
      <c r="N27" s="595">
        <v>45808</v>
      </c>
      <c r="O27" s="682"/>
      <c r="P27" s="586">
        <v>2000</v>
      </c>
      <c r="Q27" s="587">
        <v>45810</v>
      </c>
      <c r="R27" s="588"/>
      <c r="S27" s="589"/>
      <c r="T27" s="589"/>
      <c r="U27" s="670"/>
      <c r="V27" s="655"/>
      <c r="W27" s="661"/>
      <c r="X27" s="110">
        <v>34</v>
      </c>
    </row>
    <row r="28" spans="1:24" s="110" customFormat="1" x14ac:dyDescent="0.25">
      <c r="A28" s="686"/>
      <c r="B28" s="659"/>
      <c r="C28" s="659"/>
      <c r="D28" s="659"/>
      <c r="E28" s="659"/>
      <c r="F28" s="665"/>
      <c r="G28" s="668"/>
      <c r="H28" s="671"/>
      <c r="I28" s="674"/>
      <c r="J28" s="677"/>
      <c r="K28" s="680"/>
      <c r="L28" s="659"/>
      <c r="M28" s="659"/>
      <c r="N28" s="596">
        <v>45838</v>
      </c>
      <c r="O28" s="683"/>
      <c r="P28" s="591">
        <v>2000</v>
      </c>
      <c r="Q28" s="592"/>
      <c r="R28" s="593"/>
      <c r="S28" s="591"/>
      <c r="T28" s="591"/>
      <c r="U28" s="671"/>
      <c r="V28" s="656"/>
      <c r="W28" s="662"/>
      <c r="X28" s="110">
        <v>34</v>
      </c>
    </row>
    <row r="29" spans="1:24" s="80" customFormat="1" ht="72" customHeight="1" x14ac:dyDescent="0.25">
      <c r="A29" s="684">
        <v>4</v>
      </c>
      <c r="B29" s="657" t="s">
        <v>56</v>
      </c>
      <c r="C29" s="657" t="s">
        <v>147</v>
      </c>
      <c r="D29" s="657" t="s">
        <v>153</v>
      </c>
      <c r="E29" s="657" t="s">
        <v>168</v>
      </c>
      <c r="F29" s="663">
        <v>45657</v>
      </c>
      <c r="G29" s="666" t="s">
        <v>169</v>
      </c>
      <c r="H29" s="669">
        <v>36000</v>
      </c>
      <c r="I29" s="672">
        <f>IF(X29 = 35, H29 + SUM(S29:S34) - SUM(T29:T34) - SUM(P29:P34) - V29,0)</f>
        <v>18000</v>
      </c>
      <c r="J29" s="675">
        <v>2353002302</v>
      </c>
      <c r="K29" s="678" t="s">
        <v>167</v>
      </c>
      <c r="L29" s="657" t="s">
        <v>147</v>
      </c>
      <c r="M29" s="657" t="s">
        <v>194</v>
      </c>
      <c r="N29" s="594">
        <v>45688</v>
      </c>
      <c r="O29" s="681" t="s">
        <v>180</v>
      </c>
      <c r="P29" s="582">
        <v>3000</v>
      </c>
      <c r="Q29" s="583">
        <v>45695</v>
      </c>
      <c r="R29" s="584"/>
      <c r="S29" s="585"/>
      <c r="T29" s="585"/>
      <c r="U29" s="669"/>
      <c r="V29" s="654"/>
      <c r="W29" s="660"/>
      <c r="X29" s="80">
        <v>35</v>
      </c>
    </row>
    <row r="30" spans="1:24" s="110" customFormat="1" x14ac:dyDescent="0.25">
      <c r="A30" s="685"/>
      <c r="B30" s="658"/>
      <c r="C30" s="658"/>
      <c r="D30" s="658"/>
      <c r="E30" s="658"/>
      <c r="F30" s="664"/>
      <c r="G30" s="667"/>
      <c r="H30" s="670"/>
      <c r="I30" s="673"/>
      <c r="J30" s="676"/>
      <c r="K30" s="679"/>
      <c r="L30" s="658"/>
      <c r="M30" s="658"/>
      <c r="N30" s="595">
        <v>45716</v>
      </c>
      <c r="O30" s="682"/>
      <c r="P30" s="586">
        <v>3000</v>
      </c>
      <c r="Q30" s="587">
        <v>45720</v>
      </c>
      <c r="R30" s="588"/>
      <c r="S30" s="589"/>
      <c r="T30" s="589"/>
      <c r="U30" s="670"/>
      <c r="V30" s="655"/>
      <c r="W30" s="661"/>
      <c r="X30" s="110">
        <v>35</v>
      </c>
    </row>
    <row r="31" spans="1:24" s="110" customFormat="1" x14ac:dyDescent="0.25">
      <c r="A31" s="685"/>
      <c r="B31" s="658"/>
      <c r="C31" s="658"/>
      <c r="D31" s="658"/>
      <c r="E31" s="658"/>
      <c r="F31" s="664"/>
      <c r="G31" s="667"/>
      <c r="H31" s="670"/>
      <c r="I31" s="673"/>
      <c r="J31" s="676"/>
      <c r="K31" s="679"/>
      <c r="L31" s="658"/>
      <c r="M31" s="658"/>
      <c r="N31" s="595">
        <v>45747</v>
      </c>
      <c r="O31" s="682"/>
      <c r="P31" s="586">
        <v>3000</v>
      </c>
      <c r="Q31" s="587">
        <v>45749</v>
      </c>
      <c r="R31" s="588"/>
      <c r="S31" s="589"/>
      <c r="T31" s="589"/>
      <c r="U31" s="670"/>
      <c r="V31" s="655"/>
      <c r="W31" s="661"/>
      <c r="X31" s="110">
        <v>35</v>
      </c>
    </row>
    <row r="32" spans="1:24" s="110" customFormat="1" x14ac:dyDescent="0.25">
      <c r="A32" s="685"/>
      <c r="B32" s="658"/>
      <c r="C32" s="658"/>
      <c r="D32" s="658"/>
      <c r="E32" s="658"/>
      <c r="F32" s="664"/>
      <c r="G32" s="667"/>
      <c r="H32" s="670"/>
      <c r="I32" s="673"/>
      <c r="J32" s="676"/>
      <c r="K32" s="679"/>
      <c r="L32" s="658"/>
      <c r="M32" s="658"/>
      <c r="N32" s="595">
        <v>45777</v>
      </c>
      <c r="O32" s="682"/>
      <c r="P32" s="586">
        <v>3000</v>
      </c>
      <c r="Q32" s="587">
        <v>45777</v>
      </c>
      <c r="R32" s="588"/>
      <c r="S32" s="589"/>
      <c r="T32" s="589"/>
      <c r="U32" s="670"/>
      <c r="V32" s="655"/>
      <c r="W32" s="661"/>
      <c r="X32" s="110">
        <v>35</v>
      </c>
    </row>
    <row r="33" spans="1:24" s="110" customFormat="1" x14ac:dyDescent="0.25">
      <c r="A33" s="685"/>
      <c r="B33" s="658"/>
      <c r="C33" s="658"/>
      <c r="D33" s="658"/>
      <c r="E33" s="658"/>
      <c r="F33" s="664"/>
      <c r="G33" s="667"/>
      <c r="H33" s="670"/>
      <c r="I33" s="673"/>
      <c r="J33" s="676"/>
      <c r="K33" s="679"/>
      <c r="L33" s="658"/>
      <c r="M33" s="658"/>
      <c r="N33" s="595">
        <v>45808</v>
      </c>
      <c r="O33" s="682"/>
      <c r="P33" s="586">
        <v>3000</v>
      </c>
      <c r="Q33" s="587">
        <v>45810</v>
      </c>
      <c r="R33" s="588"/>
      <c r="S33" s="589"/>
      <c r="T33" s="589"/>
      <c r="U33" s="670"/>
      <c r="V33" s="655"/>
      <c r="W33" s="661"/>
      <c r="X33" s="110">
        <v>35</v>
      </c>
    </row>
    <row r="34" spans="1:24" s="110" customFormat="1" x14ac:dyDescent="0.25">
      <c r="A34" s="686"/>
      <c r="B34" s="659"/>
      <c r="C34" s="659"/>
      <c r="D34" s="659"/>
      <c r="E34" s="659"/>
      <c r="F34" s="665"/>
      <c r="G34" s="668"/>
      <c r="H34" s="671"/>
      <c r="I34" s="674"/>
      <c r="J34" s="677"/>
      <c r="K34" s="680"/>
      <c r="L34" s="659"/>
      <c r="M34" s="659"/>
      <c r="N34" s="596">
        <v>45838</v>
      </c>
      <c r="O34" s="683"/>
      <c r="P34" s="591">
        <v>3000</v>
      </c>
      <c r="Q34" s="592"/>
      <c r="R34" s="593"/>
      <c r="S34" s="591"/>
      <c r="T34" s="591"/>
      <c r="U34" s="671"/>
      <c r="V34" s="656"/>
      <c r="W34" s="662"/>
      <c r="X34" s="110">
        <v>35</v>
      </c>
    </row>
    <row r="35" spans="1:24" s="80" customFormat="1" ht="90" customHeight="1" x14ac:dyDescent="0.25">
      <c r="A35" s="684">
        <v>5</v>
      </c>
      <c r="B35" s="657" t="s">
        <v>56</v>
      </c>
      <c r="C35" s="657" t="s">
        <v>147</v>
      </c>
      <c r="D35" s="657" t="s">
        <v>153</v>
      </c>
      <c r="E35" s="657" t="s">
        <v>197</v>
      </c>
      <c r="F35" s="663">
        <v>45653</v>
      </c>
      <c r="G35" s="666" t="s">
        <v>170</v>
      </c>
      <c r="H35" s="669">
        <v>27331.200000000001</v>
      </c>
      <c r="I35" s="672">
        <f>IF(X35 = 36, H35 + SUM(S35:S40) - SUM(T35:T40) - SUM(P35:P40) - V35,0)</f>
        <v>13665.6</v>
      </c>
      <c r="J35" s="675">
        <v>2310163739</v>
      </c>
      <c r="K35" s="678" t="s">
        <v>171</v>
      </c>
      <c r="L35" s="657" t="s">
        <v>147</v>
      </c>
      <c r="M35" s="657" t="s">
        <v>194</v>
      </c>
      <c r="N35" s="594">
        <v>45688</v>
      </c>
      <c r="O35" s="681" t="s">
        <v>172</v>
      </c>
      <c r="P35" s="582">
        <v>2277.6</v>
      </c>
      <c r="Q35" s="583">
        <v>45709</v>
      </c>
      <c r="R35" s="584"/>
      <c r="S35" s="585"/>
      <c r="T35" s="585"/>
      <c r="U35" s="669"/>
      <c r="V35" s="654"/>
      <c r="W35" s="660"/>
      <c r="X35" s="80">
        <v>36</v>
      </c>
    </row>
    <row r="36" spans="1:24" s="110" customFormat="1" x14ac:dyDescent="0.25">
      <c r="A36" s="685"/>
      <c r="B36" s="658"/>
      <c r="C36" s="658"/>
      <c r="D36" s="658"/>
      <c r="E36" s="658"/>
      <c r="F36" s="664"/>
      <c r="G36" s="667"/>
      <c r="H36" s="670"/>
      <c r="I36" s="673"/>
      <c r="J36" s="676"/>
      <c r="K36" s="679"/>
      <c r="L36" s="658"/>
      <c r="M36" s="658"/>
      <c r="N36" s="595">
        <v>45716</v>
      </c>
      <c r="O36" s="682"/>
      <c r="P36" s="586">
        <v>2277.6</v>
      </c>
      <c r="Q36" s="587">
        <v>45716</v>
      </c>
      <c r="R36" s="588"/>
      <c r="S36" s="589"/>
      <c r="T36" s="589"/>
      <c r="U36" s="670"/>
      <c r="V36" s="655"/>
      <c r="W36" s="661"/>
      <c r="X36" s="110">
        <v>36</v>
      </c>
    </row>
    <row r="37" spans="1:24" s="110" customFormat="1" x14ac:dyDescent="0.25">
      <c r="A37" s="685"/>
      <c r="B37" s="658"/>
      <c r="C37" s="658"/>
      <c r="D37" s="658"/>
      <c r="E37" s="658"/>
      <c r="F37" s="664"/>
      <c r="G37" s="667"/>
      <c r="H37" s="670"/>
      <c r="I37" s="673"/>
      <c r="J37" s="676"/>
      <c r="K37" s="679"/>
      <c r="L37" s="658"/>
      <c r="M37" s="658"/>
      <c r="N37" s="595">
        <v>45747</v>
      </c>
      <c r="O37" s="682"/>
      <c r="P37" s="586">
        <v>2277.6</v>
      </c>
      <c r="Q37" s="587">
        <v>45749</v>
      </c>
      <c r="R37" s="588"/>
      <c r="S37" s="589"/>
      <c r="T37" s="589"/>
      <c r="U37" s="670"/>
      <c r="V37" s="655"/>
      <c r="W37" s="661"/>
      <c r="X37" s="110">
        <v>36</v>
      </c>
    </row>
    <row r="38" spans="1:24" s="110" customFormat="1" x14ac:dyDescent="0.25">
      <c r="A38" s="685"/>
      <c r="B38" s="658"/>
      <c r="C38" s="658"/>
      <c r="D38" s="658"/>
      <c r="E38" s="658"/>
      <c r="F38" s="664"/>
      <c r="G38" s="667"/>
      <c r="H38" s="670"/>
      <c r="I38" s="673"/>
      <c r="J38" s="676"/>
      <c r="K38" s="679"/>
      <c r="L38" s="658"/>
      <c r="M38" s="658"/>
      <c r="N38" s="595">
        <v>45777</v>
      </c>
      <c r="O38" s="682"/>
      <c r="P38" s="586">
        <v>2277.6</v>
      </c>
      <c r="Q38" s="587">
        <v>45777</v>
      </c>
      <c r="R38" s="588"/>
      <c r="S38" s="589"/>
      <c r="T38" s="589"/>
      <c r="U38" s="670"/>
      <c r="V38" s="655"/>
      <c r="W38" s="661"/>
      <c r="X38" s="110">
        <v>36</v>
      </c>
    </row>
    <row r="39" spans="1:24" s="110" customFormat="1" x14ac:dyDescent="0.25">
      <c r="A39" s="685"/>
      <c r="B39" s="658"/>
      <c r="C39" s="658"/>
      <c r="D39" s="658"/>
      <c r="E39" s="658"/>
      <c r="F39" s="664"/>
      <c r="G39" s="667"/>
      <c r="H39" s="670"/>
      <c r="I39" s="673"/>
      <c r="J39" s="676"/>
      <c r="K39" s="679"/>
      <c r="L39" s="658"/>
      <c r="M39" s="658"/>
      <c r="N39" s="595">
        <v>45807</v>
      </c>
      <c r="O39" s="682"/>
      <c r="P39" s="586">
        <v>2277.6</v>
      </c>
      <c r="Q39" s="587">
        <v>45814</v>
      </c>
      <c r="R39" s="588"/>
      <c r="S39" s="589"/>
      <c r="T39" s="589"/>
      <c r="U39" s="670"/>
      <c r="V39" s="655"/>
      <c r="W39" s="661"/>
      <c r="X39" s="110">
        <v>36</v>
      </c>
    </row>
    <row r="40" spans="1:24" s="110" customFormat="1" x14ac:dyDescent="0.25">
      <c r="A40" s="686"/>
      <c r="B40" s="659"/>
      <c r="C40" s="659"/>
      <c r="D40" s="659"/>
      <c r="E40" s="659"/>
      <c r="F40" s="665"/>
      <c r="G40" s="668"/>
      <c r="H40" s="671"/>
      <c r="I40" s="674"/>
      <c r="J40" s="677"/>
      <c r="K40" s="680"/>
      <c r="L40" s="659"/>
      <c r="M40" s="659"/>
      <c r="N40" s="596">
        <v>45838</v>
      </c>
      <c r="O40" s="683"/>
      <c r="P40" s="591">
        <v>2277.6</v>
      </c>
      <c r="Q40" s="592"/>
      <c r="R40" s="593"/>
      <c r="S40" s="591"/>
      <c r="T40" s="591"/>
      <c r="U40" s="671"/>
      <c r="V40" s="656"/>
      <c r="W40" s="662"/>
      <c r="X40" s="110">
        <v>36</v>
      </c>
    </row>
    <row r="41" spans="1:24" s="80" customFormat="1" ht="36" customHeight="1" x14ac:dyDescent="0.25">
      <c r="A41" s="139">
        <v>6</v>
      </c>
      <c r="B41" s="140" t="s">
        <v>56</v>
      </c>
      <c r="C41" s="140" t="s">
        <v>147</v>
      </c>
      <c r="D41" s="140" t="s">
        <v>153</v>
      </c>
      <c r="E41" s="140" t="s">
        <v>175</v>
      </c>
      <c r="F41" s="340">
        <v>45653</v>
      </c>
      <c r="G41" s="155" t="s">
        <v>176</v>
      </c>
      <c r="H41" s="143">
        <v>36000</v>
      </c>
      <c r="I41" s="153">
        <f>IF(X41 = 39, H41 + SUM(S41:S41) - SUM(T41:T41) - SUM(P41:P41) - V41,0)</f>
        <v>27000</v>
      </c>
      <c r="J41" s="152">
        <v>235306577600</v>
      </c>
      <c r="K41" s="156" t="s">
        <v>178</v>
      </c>
      <c r="L41" s="140" t="s">
        <v>147</v>
      </c>
      <c r="M41" s="140" t="s">
        <v>194</v>
      </c>
      <c r="N41" s="132">
        <v>45747</v>
      </c>
      <c r="O41" s="144" t="s">
        <v>207</v>
      </c>
      <c r="P41" s="319">
        <v>9000</v>
      </c>
      <c r="Q41" s="129">
        <v>45749</v>
      </c>
      <c r="R41" s="130"/>
      <c r="S41" s="131"/>
      <c r="T41" s="131"/>
      <c r="U41" s="143"/>
      <c r="V41" s="154"/>
      <c r="W41" s="142"/>
      <c r="X41" s="80">
        <v>39</v>
      </c>
    </row>
    <row r="42" spans="1:24" s="80" customFormat="1" ht="36" customHeight="1" x14ac:dyDescent="0.25">
      <c r="A42" s="910">
        <v>7</v>
      </c>
      <c r="B42" s="919" t="s">
        <v>56</v>
      </c>
      <c r="C42" s="919" t="s">
        <v>147</v>
      </c>
      <c r="D42" s="919" t="s">
        <v>153</v>
      </c>
      <c r="E42" s="919" t="s">
        <v>118</v>
      </c>
      <c r="F42" s="1006">
        <v>45653</v>
      </c>
      <c r="G42" s="925" t="s">
        <v>177</v>
      </c>
      <c r="H42" s="916">
        <v>47175.360000000001</v>
      </c>
      <c r="I42" s="928">
        <f>IF(X42 = 40, H42 + SUM(S42:S46) - SUM(T42:T46) - SUM(P42:P46) - V42,0)</f>
        <v>41477.360000000001</v>
      </c>
      <c r="J42" s="931">
        <v>2353023951</v>
      </c>
      <c r="K42" s="934" t="s">
        <v>179</v>
      </c>
      <c r="L42" s="919" t="s">
        <v>147</v>
      </c>
      <c r="M42" s="919" t="s">
        <v>194</v>
      </c>
      <c r="N42" s="417">
        <v>45685</v>
      </c>
      <c r="O42" s="913" t="s">
        <v>180</v>
      </c>
      <c r="P42" s="406">
        <v>1332</v>
      </c>
      <c r="Q42" s="407">
        <v>45688</v>
      </c>
      <c r="R42" s="408"/>
      <c r="S42" s="409"/>
      <c r="T42" s="409"/>
      <c r="U42" s="916"/>
      <c r="V42" s="1000"/>
      <c r="W42" s="1003"/>
      <c r="X42" s="80">
        <v>40</v>
      </c>
    </row>
    <row r="43" spans="1:24" s="110" customFormat="1" x14ac:dyDescent="0.25">
      <c r="A43" s="911"/>
      <c r="B43" s="920"/>
      <c r="C43" s="920"/>
      <c r="D43" s="920"/>
      <c r="E43" s="920"/>
      <c r="F43" s="1007"/>
      <c r="G43" s="926"/>
      <c r="H43" s="917"/>
      <c r="I43" s="929"/>
      <c r="J43" s="932"/>
      <c r="K43" s="935"/>
      <c r="L43" s="920"/>
      <c r="M43" s="920"/>
      <c r="N43" s="418">
        <v>45714</v>
      </c>
      <c r="O43" s="914"/>
      <c r="P43" s="410">
        <v>1258</v>
      </c>
      <c r="Q43" s="411">
        <v>45716</v>
      </c>
      <c r="R43" s="412"/>
      <c r="S43" s="413"/>
      <c r="T43" s="413"/>
      <c r="U43" s="917"/>
      <c r="V43" s="1001"/>
      <c r="W43" s="1004"/>
      <c r="X43" s="110">
        <v>40</v>
      </c>
    </row>
    <row r="44" spans="1:24" s="110" customFormat="1" x14ac:dyDescent="0.25">
      <c r="A44" s="911"/>
      <c r="B44" s="920"/>
      <c r="C44" s="920"/>
      <c r="D44" s="920"/>
      <c r="E44" s="920"/>
      <c r="F44" s="1007"/>
      <c r="G44" s="926"/>
      <c r="H44" s="917"/>
      <c r="I44" s="929"/>
      <c r="J44" s="932"/>
      <c r="K44" s="935"/>
      <c r="L44" s="920"/>
      <c r="M44" s="920"/>
      <c r="N44" s="418">
        <v>45743</v>
      </c>
      <c r="O44" s="914"/>
      <c r="P44" s="410">
        <v>1036</v>
      </c>
      <c r="Q44" s="411">
        <v>45749</v>
      </c>
      <c r="R44" s="412"/>
      <c r="S44" s="413"/>
      <c r="T44" s="413"/>
      <c r="U44" s="917"/>
      <c r="V44" s="1001"/>
      <c r="W44" s="1004"/>
      <c r="X44" s="110">
        <v>40</v>
      </c>
    </row>
    <row r="45" spans="1:24" s="110" customFormat="1" x14ac:dyDescent="0.25">
      <c r="A45" s="911"/>
      <c r="B45" s="920"/>
      <c r="C45" s="920"/>
      <c r="D45" s="920"/>
      <c r="E45" s="920"/>
      <c r="F45" s="1007"/>
      <c r="G45" s="926"/>
      <c r="H45" s="917"/>
      <c r="I45" s="929"/>
      <c r="J45" s="932"/>
      <c r="K45" s="935"/>
      <c r="L45" s="920"/>
      <c r="M45" s="920"/>
      <c r="N45" s="418">
        <v>45777</v>
      </c>
      <c r="O45" s="914"/>
      <c r="P45" s="410">
        <v>777</v>
      </c>
      <c r="Q45" s="411">
        <v>45789</v>
      </c>
      <c r="R45" s="412"/>
      <c r="S45" s="413"/>
      <c r="T45" s="413"/>
      <c r="U45" s="917"/>
      <c r="V45" s="1001"/>
      <c r="W45" s="1004"/>
      <c r="X45" s="110">
        <v>40</v>
      </c>
    </row>
    <row r="46" spans="1:24" s="110" customFormat="1" x14ac:dyDescent="0.25">
      <c r="A46" s="912"/>
      <c r="B46" s="921"/>
      <c r="C46" s="921"/>
      <c r="D46" s="921"/>
      <c r="E46" s="921"/>
      <c r="F46" s="1008"/>
      <c r="G46" s="927"/>
      <c r="H46" s="918"/>
      <c r="I46" s="930"/>
      <c r="J46" s="933"/>
      <c r="K46" s="936"/>
      <c r="L46" s="921"/>
      <c r="M46" s="921"/>
      <c r="N46" s="419">
        <v>45807</v>
      </c>
      <c r="O46" s="915"/>
      <c r="P46" s="576">
        <v>1295</v>
      </c>
      <c r="Q46" s="415">
        <v>45814</v>
      </c>
      <c r="R46" s="416"/>
      <c r="S46" s="414"/>
      <c r="T46" s="414"/>
      <c r="U46" s="918"/>
      <c r="V46" s="1002"/>
      <c r="W46" s="1005"/>
      <c r="X46" s="110">
        <v>40</v>
      </c>
    </row>
    <row r="47" spans="1:24" s="80" customFormat="1" ht="108" customHeight="1" x14ac:dyDescent="0.25">
      <c r="A47" s="141">
        <v>8</v>
      </c>
      <c r="B47" s="138" t="s">
        <v>56</v>
      </c>
      <c r="C47" s="138" t="s">
        <v>147</v>
      </c>
      <c r="D47" s="138" t="s">
        <v>153</v>
      </c>
      <c r="E47" s="138" t="s">
        <v>198</v>
      </c>
      <c r="F47" s="341">
        <v>45653</v>
      </c>
      <c r="G47" s="149" t="s">
        <v>282</v>
      </c>
      <c r="H47" s="145">
        <v>54000</v>
      </c>
      <c r="I47" s="150">
        <f>IF(X47 = 41, H47 + SUM(S47:S47) - SUM(T47:T47) - SUM(P47:P47) - V47,0)</f>
        <v>0</v>
      </c>
      <c r="J47" s="151">
        <v>2353017179</v>
      </c>
      <c r="K47" s="137" t="s">
        <v>181</v>
      </c>
      <c r="L47" s="138" t="s">
        <v>147</v>
      </c>
      <c r="M47" s="138" t="s">
        <v>194</v>
      </c>
      <c r="N47" s="136">
        <v>45688</v>
      </c>
      <c r="O47" s="148" t="s">
        <v>180</v>
      </c>
      <c r="P47" s="200">
        <v>6600</v>
      </c>
      <c r="Q47" s="133">
        <v>45695</v>
      </c>
      <c r="R47" s="134"/>
      <c r="S47" s="135"/>
      <c r="T47" s="135"/>
      <c r="U47" s="145" t="s">
        <v>242</v>
      </c>
      <c r="V47" s="146">
        <v>47400</v>
      </c>
      <c r="W47" s="147"/>
      <c r="X47" s="80">
        <v>41</v>
      </c>
    </row>
    <row r="48" spans="1:24" s="80" customFormat="1" ht="54" customHeight="1" x14ac:dyDescent="0.25">
      <c r="A48" s="1088">
        <v>9</v>
      </c>
      <c r="B48" s="1094" t="s">
        <v>56</v>
      </c>
      <c r="C48" s="1094" t="s">
        <v>147</v>
      </c>
      <c r="D48" s="1094" t="s">
        <v>153</v>
      </c>
      <c r="E48" s="1094" t="s">
        <v>199</v>
      </c>
      <c r="F48" s="1100">
        <v>45656</v>
      </c>
      <c r="G48" s="1102" t="s">
        <v>182</v>
      </c>
      <c r="H48" s="1092">
        <v>3600</v>
      </c>
      <c r="I48" s="1104">
        <f>IF(X48 = 42, H48 + SUM(S48:S49) - SUM(T48:T49) - SUM(P48:P49) - V48,0)</f>
        <v>1200</v>
      </c>
      <c r="J48" s="1106">
        <v>2369000660</v>
      </c>
      <c r="K48" s="1108" t="s">
        <v>183</v>
      </c>
      <c r="L48" s="1094" t="s">
        <v>147</v>
      </c>
      <c r="M48" s="1094" t="s">
        <v>194</v>
      </c>
      <c r="N48" s="559">
        <v>45747</v>
      </c>
      <c r="O48" s="1090" t="s">
        <v>180</v>
      </c>
      <c r="P48" s="552">
        <v>1200</v>
      </c>
      <c r="Q48" s="553">
        <v>45749</v>
      </c>
      <c r="R48" s="554"/>
      <c r="S48" s="555"/>
      <c r="T48" s="555"/>
      <c r="U48" s="1092"/>
      <c r="V48" s="1096"/>
      <c r="W48" s="1098"/>
      <c r="X48" s="80">
        <v>42</v>
      </c>
    </row>
    <row r="49" spans="1:24" s="110" customFormat="1" x14ac:dyDescent="0.25">
      <c r="A49" s="1089"/>
      <c r="B49" s="1095"/>
      <c r="C49" s="1095"/>
      <c r="D49" s="1095"/>
      <c r="E49" s="1095"/>
      <c r="F49" s="1101"/>
      <c r="G49" s="1103"/>
      <c r="H49" s="1093"/>
      <c r="I49" s="1105"/>
      <c r="J49" s="1107"/>
      <c r="K49" s="1109"/>
      <c r="L49" s="1095"/>
      <c r="M49" s="1095"/>
      <c r="N49" s="560">
        <v>45838</v>
      </c>
      <c r="O49" s="1091"/>
      <c r="P49" s="556">
        <v>1200</v>
      </c>
      <c r="Q49" s="557"/>
      <c r="R49" s="558"/>
      <c r="S49" s="556"/>
      <c r="T49" s="556"/>
      <c r="U49" s="1093"/>
      <c r="V49" s="1097"/>
      <c r="W49" s="1099"/>
      <c r="X49" s="110">
        <v>42</v>
      </c>
    </row>
    <row r="50" spans="1:24" s="80" customFormat="1" ht="36" customHeight="1" x14ac:dyDescent="0.25">
      <c r="A50" s="1009">
        <v>10</v>
      </c>
      <c r="B50" s="1018" t="s">
        <v>56</v>
      </c>
      <c r="C50" s="1018" t="s">
        <v>147</v>
      </c>
      <c r="D50" s="1018" t="s">
        <v>153</v>
      </c>
      <c r="E50" s="1018" t="s">
        <v>187</v>
      </c>
      <c r="F50" s="1027">
        <v>45653</v>
      </c>
      <c r="G50" s="1030" t="s">
        <v>184</v>
      </c>
      <c r="H50" s="1015">
        <v>4550</v>
      </c>
      <c r="I50" s="1033">
        <f>IF(X50 = 43, H50 + SUM(S50:S54) - SUM(T50:T54) - SUM(P50:P54) - V50,0)</f>
        <v>2561.0699999999997</v>
      </c>
      <c r="J50" s="1036">
        <v>7707049388</v>
      </c>
      <c r="K50" s="1039" t="s">
        <v>185</v>
      </c>
      <c r="L50" s="1018" t="s">
        <v>186</v>
      </c>
      <c r="M50" s="1018" t="s">
        <v>194</v>
      </c>
      <c r="N50" s="431">
        <v>45688</v>
      </c>
      <c r="O50" s="1012" t="s">
        <v>180</v>
      </c>
      <c r="P50" s="420">
        <v>396.05</v>
      </c>
      <c r="Q50" s="421">
        <v>45695</v>
      </c>
      <c r="R50" s="422"/>
      <c r="S50" s="423"/>
      <c r="T50" s="423"/>
      <c r="U50" s="1015"/>
      <c r="V50" s="1021"/>
      <c r="W50" s="1024"/>
      <c r="X50" s="80">
        <v>43</v>
      </c>
    </row>
    <row r="51" spans="1:24" s="110" customFormat="1" x14ac:dyDescent="0.25">
      <c r="A51" s="1010"/>
      <c r="B51" s="1019"/>
      <c r="C51" s="1019"/>
      <c r="D51" s="1019"/>
      <c r="E51" s="1019"/>
      <c r="F51" s="1028"/>
      <c r="G51" s="1031"/>
      <c r="H51" s="1016"/>
      <c r="I51" s="1034"/>
      <c r="J51" s="1037"/>
      <c r="K51" s="1040"/>
      <c r="L51" s="1019"/>
      <c r="M51" s="1019"/>
      <c r="N51" s="432">
        <v>45716</v>
      </c>
      <c r="O51" s="1013"/>
      <c r="P51" s="424">
        <v>390</v>
      </c>
      <c r="Q51" s="425">
        <v>45727</v>
      </c>
      <c r="R51" s="426"/>
      <c r="S51" s="427"/>
      <c r="T51" s="427"/>
      <c r="U51" s="1016"/>
      <c r="V51" s="1022"/>
      <c r="W51" s="1025"/>
      <c r="X51" s="110">
        <v>43</v>
      </c>
    </row>
    <row r="52" spans="1:24" s="110" customFormat="1" x14ac:dyDescent="0.25">
      <c r="A52" s="1010"/>
      <c r="B52" s="1019"/>
      <c r="C52" s="1019"/>
      <c r="D52" s="1019"/>
      <c r="E52" s="1019"/>
      <c r="F52" s="1028"/>
      <c r="G52" s="1031"/>
      <c r="H52" s="1016"/>
      <c r="I52" s="1034"/>
      <c r="J52" s="1037"/>
      <c r="K52" s="1040"/>
      <c r="L52" s="1019"/>
      <c r="M52" s="1019"/>
      <c r="N52" s="432">
        <v>45747</v>
      </c>
      <c r="O52" s="1013"/>
      <c r="P52" s="424">
        <v>396.48</v>
      </c>
      <c r="Q52" s="425">
        <v>45756</v>
      </c>
      <c r="R52" s="426"/>
      <c r="S52" s="427"/>
      <c r="T52" s="427"/>
      <c r="U52" s="1016"/>
      <c r="V52" s="1022"/>
      <c r="W52" s="1025"/>
      <c r="X52" s="110">
        <v>43</v>
      </c>
    </row>
    <row r="53" spans="1:24" s="110" customFormat="1" x14ac:dyDescent="0.25">
      <c r="A53" s="1010"/>
      <c r="B53" s="1019"/>
      <c r="C53" s="1019"/>
      <c r="D53" s="1019"/>
      <c r="E53" s="1019"/>
      <c r="F53" s="1028"/>
      <c r="G53" s="1031"/>
      <c r="H53" s="1016"/>
      <c r="I53" s="1034"/>
      <c r="J53" s="1037"/>
      <c r="K53" s="1040"/>
      <c r="L53" s="1019"/>
      <c r="M53" s="1019"/>
      <c r="N53" s="432">
        <v>45777</v>
      </c>
      <c r="O53" s="1013"/>
      <c r="P53" s="424">
        <v>403.2</v>
      </c>
      <c r="Q53" s="425">
        <v>45789</v>
      </c>
      <c r="R53" s="426"/>
      <c r="S53" s="427"/>
      <c r="T53" s="427"/>
      <c r="U53" s="1016"/>
      <c r="V53" s="1022"/>
      <c r="W53" s="1025"/>
      <c r="X53" s="110">
        <v>43</v>
      </c>
    </row>
    <row r="54" spans="1:24" s="110" customFormat="1" x14ac:dyDescent="0.25">
      <c r="A54" s="1011"/>
      <c r="B54" s="1020"/>
      <c r="C54" s="1020"/>
      <c r="D54" s="1020"/>
      <c r="E54" s="1020"/>
      <c r="F54" s="1029"/>
      <c r="G54" s="1032"/>
      <c r="H54" s="1017"/>
      <c r="I54" s="1035"/>
      <c r="J54" s="1038"/>
      <c r="K54" s="1041"/>
      <c r="L54" s="1020"/>
      <c r="M54" s="1020"/>
      <c r="N54" s="433">
        <v>45808</v>
      </c>
      <c r="O54" s="1014"/>
      <c r="P54" s="577">
        <v>403.2</v>
      </c>
      <c r="Q54" s="429">
        <v>45814</v>
      </c>
      <c r="R54" s="430"/>
      <c r="S54" s="428"/>
      <c r="T54" s="428"/>
      <c r="U54" s="1017"/>
      <c r="V54" s="1023"/>
      <c r="W54" s="1026"/>
      <c r="X54" s="110">
        <v>43</v>
      </c>
    </row>
    <row r="55" spans="1:24" s="80" customFormat="1" ht="42" customHeight="1" x14ac:dyDescent="0.25">
      <c r="A55" s="1064">
        <v>11</v>
      </c>
      <c r="B55" s="1070" t="s">
        <v>56</v>
      </c>
      <c r="C55" s="1070" t="s">
        <v>147</v>
      </c>
      <c r="D55" s="1070" t="s">
        <v>153</v>
      </c>
      <c r="E55" s="1070" t="s">
        <v>223</v>
      </c>
      <c r="F55" s="1076">
        <v>45653</v>
      </c>
      <c r="G55" s="1078" t="s">
        <v>189</v>
      </c>
      <c r="H55" s="1080">
        <v>13372.8</v>
      </c>
      <c r="I55" s="1082">
        <f>IF(X55 = 46, H55 + SUM(S55:S56) - SUM(T55:T56) - SUM(P55:P56) - V55,0)</f>
        <v>6686.4</v>
      </c>
      <c r="J55" s="1084">
        <v>2353018870</v>
      </c>
      <c r="K55" s="1086" t="s">
        <v>190</v>
      </c>
      <c r="L55" s="1070" t="s">
        <v>147</v>
      </c>
      <c r="M55" s="1070" t="s">
        <v>194</v>
      </c>
      <c r="N55" s="545">
        <v>45743</v>
      </c>
      <c r="O55" s="1066" t="s">
        <v>180</v>
      </c>
      <c r="P55" s="537">
        <v>3343.2</v>
      </c>
      <c r="Q55" s="538">
        <v>45749</v>
      </c>
      <c r="R55" s="539"/>
      <c r="S55" s="540"/>
      <c r="T55" s="540"/>
      <c r="U55" s="1068"/>
      <c r="V55" s="1072"/>
      <c r="W55" s="1074"/>
      <c r="X55" s="80">
        <v>46</v>
      </c>
    </row>
    <row r="56" spans="1:24" s="110" customFormat="1" x14ac:dyDescent="0.25">
      <c r="A56" s="1065"/>
      <c r="B56" s="1071"/>
      <c r="C56" s="1071"/>
      <c r="D56" s="1071"/>
      <c r="E56" s="1071"/>
      <c r="F56" s="1077"/>
      <c r="G56" s="1079"/>
      <c r="H56" s="1081"/>
      <c r="I56" s="1083"/>
      <c r="J56" s="1085"/>
      <c r="K56" s="1087"/>
      <c r="L56" s="1071"/>
      <c r="M56" s="1071"/>
      <c r="N56" s="546">
        <v>45835</v>
      </c>
      <c r="O56" s="1067"/>
      <c r="P56" s="541">
        <v>3343.2</v>
      </c>
      <c r="Q56" s="542"/>
      <c r="R56" s="543"/>
      <c r="S56" s="541"/>
      <c r="T56" s="541"/>
      <c r="U56" s="1069"/>
      <c r="V56" s="1073"/>
      <c r="W56" s="1075"/>
      <c r="X56" s="110">
        <v>46</v>
      </c>
    </row>
    <row r="57" spans="1:24" s="80" customFormat="1" ht="56.25" x14ac:dyDescent="0.25">
      <c r="A57" s="112">
        <v>12</v>
      </c>
      <c r="B57" s="109" t="s">
        <v>56</v>
      </c>
      <c r="C57" s="113" t="s">
        <v>147</v>
      </c>
      <c r="D57" s="109" t="s">
        <v>153</v>
      </c>
      <c r="E57" s="113" t="s">
        <v>36</v>
      </c>
      <c r="F57" s="342">
        <v>45656</v>
      </c>
      <c r="G57" s="114" t="s">
        <v>192</v>
      </c>
      <c r="H57" s="115">
        <v>15000</v>
      </c>
      <c r="I57" s="116">
        <f>IF(X57 = 47, H57 + SUM(S57:S57) - SUM(T57:T57) - SUM(P57:P57) - V57,0)</f>
        <v>12200</v>
      </c>
      <c r="J57" s="117">
        <v>2369007754</v>
      </c>
      <c r="K57" s="118" t="s">
        <v>191</v>
      </c>
      <c r="L57" s="113" t="s">
        <v>147</v>
      </c>
      <c r="M57" s="113" t="s">
        <v>194</v>
      </c>
      <c r="N57" s="121">
        <v>45826</v>
      </c>
      <c r="O57" s="111" t="s">
        <v>180</v>
      </c>
      <c r="P57" s="158">
        <v>2800</v>
      </c>
      <c r="Q57" s="114"/>
      <c r="R57" s="113"/>
      <c r="S57" s="115"/>
      <c r="T57" s="115"/>
      <c r="U57" s="115"/>
      <c r="V57" s="119"/>
      <c r="W57" s="120"/>
      <c r="X57" s="80">
        <v>47</v>
      </c>
    </row>
    <row r="58" spans="1:24" s="80" customFormat="1" ht="54" customHeight="1" x14ac:dyDescent="0.25">
      <c r="A58" s="833">
        <v>13</v>
      </c>
      <c r="B58" s="877" t="s">
        <v>56</v>
      </c>
      <c r="C58" s="877" t="s">
        <v>147</v>
      </c>
      <c r="D58" s="877" t="s">
        <v>153</v>
      </c>
      <c r="E58" s="877" t="s">
        <v>200</v>
      </c>
      <c r="F58" s="880">
        <v>45656</v>
      </c>
      <c r="G58" s="883" t="s">
        <v>188</v>
      </c>
      <c r="H58" s="886">
        <v>190094.52</v>
      </c>
      <c r="I58" s="889">
        <f>IF(X58 = 80, H58 + SUM(S58:S60) - SUM(T58:T60) - SUM(P58:P60) - V58,0)</f>
        <v>-1.4551915228366852E-11</v>
      </c>
      <c r="J58" s="892">
        <v>7743529527</v>
      </c>
      <c r="K58" s="895" t="s">
        <v>173</v>
      </c>
      <c r="L58" s="877" t="s">
        <v>147</v>
      </c>
      <c r="M58" s="877" t="s">
        <v>203</v>
      </c>
      <c r="N58" s="251">
        <v>45688</v>
      </c>
      <c r="O58" s="836" t="s">
        <v>208</v>
      </c>
      <c r="P58" s="240">
        <v>32205</v>
      </c>
      <c r="Q58" s="241">
        <v>45701</v>
      </c>
      <c r="R58" s="242"/>
      <c r="S58" s="243"/>
      <c r="T58" s="243"/>
      <c r="U58" s="839" t="s">
        <v>281</v>
      </c>
      <c r="V58" s="940">
        <v>76839.520000000004</v>
      </c>
      <c r="W58" s="943"/>
      <c r="X58" s="80">
        <v>80</v>
      </c>
    </row>
    <row r="59" spans="1:24" s="110" customFormat="1" x14ac:dyDescent="0.25">
      <c r="A59" s="834"/>
      <c r="B59" s="878"/>
      <c r="C59" s="878"/>
      <c r="D59" s="878"/>
      <c r="E59" s="878"/>
      <c r="F59" s="881"/>
      <c r="G59" s="884"/>
      <c r="H59" s="887"/>
      <c r="I59" s="890"/>
      <c r="J59" s="893"/>
      <c r="K59" s="896"/>
      <c r="L59" s="878"/>
      <c r="M59" s="878"/>
      <c r="N59" s="252">
        <v>45716</v>
      </c>
      <c r="O59" s="837"/>
      <c r="P59" s="244">
        <v>47216</v>
      </c>
      <c r="Q59" s="245">
        <v>45723</v>
      </c>
      <c r="R59" s="246"/>
      <c r="S59" s="247"/>
      <c r="T59" s="247"/>
      <c r="U59" s="840"/>
      <c r="V59" s="941"/>
      <c r="W59" s="944"/>
      <c r="X59" s="110">
        <v>80</v>
      </c>
    </row>
    <row r="60" spans="1:24" s="110" customFormat="1" x14ac:dyDescent="0.25">
      <c r="A60" s="835"/>
      <c r="B60" s="879"/>
      <c r="C60" s="879"/>
      <c r="D60" s="879"/>
      <c r="E60" s="879"/>
      <c r="F60" s="882"/>
      <c r="G60" s="885"/>
      <c r="H60" s="888"/>
      <c r="I60" s="891"/>
      <c r="J60" s="894"/>
      <c r="K60" s="897"/>
      <c r="L60" s="879"/>
      <c r="M60" s="879"/>
      <c r="N60" s="253">
        <v>45747</v>
      </c>
      <c r="O60" s="838"/>
      <c r="P60" s="320">
        <v>33834</v>
      </c>
      <c r="Q60" s="249">
        <v>45756</v>
      </c>
      <c r="R60" s="250"/>
      <c r="S60" s="248"/>
      <c r="T60" s="248"/>
      <c r="U60" s="841"/>
      <c r="V60" s="942"/>
      <c r="W60" s="945"/>
      <c r="X60" s="110">
        <v>80</v>
      </c>
    </row>
    <row r="61" spans="1:24" s="80" customFormat="1" ht="54" customHeight="1" x14ac:dyDescent="0.25">
      <c r="A61" s="684">
        <v>14</v>
      </c>
      <c r="B61" s="657" t="s">
        <v>56</v>
      </c>
      <c r="C61" s="657" t="s">
        <v>147</v>
      </c>
      <c r="D61" s="657" t="s">
        <v>153</v>
      </c>
      <c r="E61" s="657" t="s">
        <v>129</v>
      </c>
      <c r="F61" s="663">
        <v>45672</v>
      </c>
      <c r="G61" s="666" t="s">
        <v>201</v>
      </c>
      <c r="H61" s="669">
        <v>18000</v>
      </c>
      <c r="I61" s="672">
        <f>IF(X61 = 81, H61 + SUM(S61:S66) - SUM(T61:T66) - SUM(P61:P66) - V61,0)</f>
        <v>9000</v>
      </c>
      <c r="J61" s="675">
        <v>231107998282</v>
      </c>
      <c r="K61" s="678" t="s">
        <v>202</v>
      </c>
      <c r="L61" s="657" t="s">
        <v>147</v>
      </c>
      <c r="M61" s="657" t="s">
        <v>194</v>
      </c>
      <c r="N61" s="594">
        <v>45688</v>
      </c>
      <c r="O61" s="681" t="s">
        <v>180</v>
      </c>
      <c r="P61" s="582">
        <v>1500</v>
      </c>
      <c r="Q61" s="583">
        <v>45695</v>
      </c>
      <c r="R61" s="584"/>
      <c r="S61" s="585"/>
      <c r="T61" s="585"/>
      <c r="U61" s="669"/>
      <c r="V61" s="654"/>
      <c r="W61" s="660"/>
      <c r="X61" s="80">
        <v>81</v>
      </c>
    </row>
    <row r="62" spans="1:24" s="110" customFormat="1" x14ac:dyDescent="0.25">
      <c r="A62" s="685"/>
      <c r="B62" s="658"/>
      <c r="C62" s="658"/>
      <c r="D62" s="658"/>
      <c r="E62" s="658"/>
      <c r="F62" s="664"/>
      <c r="G62" s="667"/>
      <c r="H62" s="670"/>
      <c r="I62" s="673"/>
      <c r="J62" s="676"/>
      <c r="K62" s="679"/>
      <c r="L62" s="658"/>
      <c r="M62" s="658"/>
      <c r="N62" s="595">
        <v>45733</v>
      </c>
      <c r="O62" s="682"/>
      <c r="P62" s="586">
        <v>1500</v>
      </c>
      <c r="Q62" s="587">
        <v>45741</v>
      </c>
      <c r="R62" s="588"/>
      <c r="S62" s="589"/>
      <c r="T62" s="589"/>
      <c r="U62" s="670"/>
      <c r="V62" s="655"/>
      <c r="W62" s="661"/>
      <c r="X62" s="110">
        <v>81</v>
      </c>
    </row>
    <row r="63" spans="1:24" s="110" customFormat="1" x14ac:dyDescent="0.25">
      <c r="A63" s="685"/>
      <c r="B63" s="658"/>
      <c r="C63" s="658"/>
      <c r="D63" s="658"/>
      <c r="E63" s="658"/>
      <c r="F63" s="664"/>
      <c r="G63" s="667"/>
      <c r="H63" s="670"/>
      <c r="I63" s="673"/>
      <c r="J63" s="676"/>
      <c r="K63" s="679"/>
      <c r="L63" s="658"/>
      <c r="M63" s="658"/>
      <c r="N63" s="595">
        <v>45747</v>
      </c>
      <c r="O63" s="682"/>
      <c r="P63" s="586">
        <v>1500</v>
      </c>
      <c r="Q63" s="587">
        <v>45749</v>
      </c>
      <c r="R63" s="588"/>
      <c r="S63" s="589"/>
      <c r="T63" s="589"/>
      <c r="U63" s="670"/>
      <c r="V63" s="655"/>
      <c r="W63" s="661"/>
      <c r="X63" s="110">
        <v>81</v>
      </c>
    </row>
    <row r="64" spans="1:24" s="110" customFormat="1" x14ac:dyDescent="0.25">
      <c r="A64" s="685"/>
      <c r="B64" s="658"/>
      <c r="C64" s="658"/>
      <c r="D64" s="658"/>
      <c r="E64" s="658"/>
      <c r="F64" s="664"/>
      <c r="G64" s="667"/>
      <c r="H64" s="670"/>
      <c r="I64" s="673"/>
      <c r="J64" s="676"/>
      <c r="K64" s="679"/>
      <c r="L64" s="658"/>
      <c r="M64" s="658"/>
      <c r="N64" s="595">
        <v>45777</v>
      </c>
      <c r="O64" s="682"/>
      <c r="P64" s="590">
        <v>1500</v>
      </c>
      <c r="Q64" s="587">
        <v>45777</v>
      </c>
      <c r="R64" s="588"/>
      <c r="S64" s="589"/>
      <c r="T64" s="589"/>
      <c r="U64" s="670"/>
      <c r="V64" s="655"/>
      <c r="W64" s="661"/>
      <c r="X64" s="110">
        <v>81</v>
      </c>
    </row>
    <row r="65" spans="1:24" s="110" customFormat="1" x14ac:dyDescent="0.25">
      <c r="A65" s="685"/>
      <c r="B65" s="658"/>
      <c r="C65" s="658"/>
      <c r="D65" s="658"/>
      <c r="E65" s="658"/>
      <c r="F65" s="664"/>
      <c r="G65" s="667"/>
      <c r="H65" s="670"/>
      <c r="I65" s="673"/>
      <c r="J65" s="676"/>
      <c r="K65" s="679"/>
      <c r="L65" s="658"/>
      <c r="M65" s="658"/>
      <c r="N65" s="595">
        <v>45806</v>
      </c>
      <c r="O65" s="682"/>
      <c r="P65" s="589">
        <v>1500</v>
      </c>
      <c r="Q65" s="587"/>
      <c r="R65" s="588"/>
      <c r="S65" s="589"/>
      <c r="T65" s="589"/>
      <c r="U65" s="670"/>
      <c r="V65" s="655"/>
      <c r="W65" s="661"/>
      <c r="X65" s="110">
        <v>81</v>
      </c>
    </row>
    <row r="66" spans="1:24" s="110" customFormat="1" x14ac:dyDescent="0.25">
      <c r="A66" s="686"/>
      <c r="B66" s="659"/>
      <c r="C66" s="659"/>
      <c r="D66" s="659"/>
      <c r="E66" s="659"/>
      <c r="F66" s="665"/>
      <c r="G66" s="668"/>
      <c r="H66" s="671"/>
      <c r="I66" s="674"/>
      <c r="J66" s="677"/>
      <c r="K66" s="680"/>
      <c r="L66" s="659"/>
      <c r="M66" s="659"/>
      <c r="N66" s="596">
        <v>45838</v>
      </c>
      <c r="O66" s="683"/>
      <c r="P66" s="591">
        <v>1500</v>
      </c>
      <c r="Q66" s="592"/>
      <c r="R66" s="593"/>
      <c r="S66" s="591"/>
      <c r="T66" s="591"/>
      <c r="U66" s="671"/>
      <c r="V66" s="656"/>
      <c r="W66" s="662"/>
      <c r="X66" s="110">
        <v>81</v>
      </c>
    </row>
    <row r="67" spans="1:24" s="80" customFormat="1" ht="36" customHeight="1" x14ac:dyDescent="0.25">
      <c r="A67" s="860">
        <v>15</v>
      </c>
      <c r="B67" s="863" t="s">
        <v>56</v>
      </c>
      <c r="C67" s="863" t="s">
        <v>147</v>
      </c>
      <c r="D67" s="863" t="s">
        <v>153</v>
      </c>
      <c r="E67" s="863" t="s">
        <v>204</v>
      </c>
      <c r="F67" s="973">
        <v>45672</v>
      </c>
      <c r="G67" s="976" t="s">
        <v>205</v>
      </c>
      <c r="H67" s="964">
        <v>2340</v>
      </c>
      <c r="I67" s="866">
        <f>IF(X67 = 82, H67 + SUM(S67:S71) - SUM(T67:T71) - SUM(P67:P71) - V67,0)</f>
        <v>1995</v>
      </c>
      <c r="J67" s="869">
        <v>7703383783</v>
      </c>
      <c r="K67" s="872" t="s">
        <v>206</v>
      </c>
      <c r="L67" s="863" t="s">
        <v>147</v>
      </c>
      <c r="M67" s="863" t="s">
        <v>194</v>
      </c>
      <c r="N67" s="514">
        <v>45688</v>
      </c>
      <c r="O67" s="961" t="s">
        <v>209</v>
      </c>
      <c r="P67" s="503">
        <v>69</v>
      </c>
      <c r="Q67" s="504">
        <v>45706</v>
      </c>
      <c r="R67" s="505"/>
      <c r="S67" s="506"/>
      <c r="T67" s="506"/>
      <c r="U67" s="964"/>
      <c r="V67" s="967"/>
      <c r="W67" s="970"/>
      <c r="X67" s="80">
        <v>82</v>
      </c>
    </row>
    <row r="68" spans="1:24" s="110" customFormat="1" x14ac:dyDescent="0.25">
      <c r="A68" s="861"/>
      <c r="B68" s="864"/>
      <c r="C68" s="864"/>
      <c r="D68" s="864"/>
      <c r="E68" s="864"/>
      <c r="F68" s="974"/>
      <c r="G68" s="977"/>
      <c r="H68" s="965"/>
      <c r="I68" s="867"/>
      <c r="J68" s="870"/>
      <c r="K68" s="873"/>
      <c r="L68" s="864"/>
      <c r="M68" s="864"/>
      <c r="N68" s="515">
        <v>45716</v>
      </c>
      <c r="O68" s="962"/>
      <c r="P68" s="507">
        <v>69</v>
      </c>
      <c r="Q68" s="508">
        <v>45733</v>
      </c>
      <c r="R68" s="509"/>
      <c r="S68" s="510"/>
      <c r="T68" s="510"/>
      <c r="U68" s="965"/>
      <c r="V68" s="968"/>
      <c r="W68" s="971"/>
      <c r="X68" s="110">
        <v>82</v>
      </c>
    </row>
    <row r="69" spans="1:24" s="110" customFormat="1" x14ac:dyDescent="0.25">
      <c r="A69" s="861"/>
      <c r="B69" s="864"/>
      <c r="C69" s="864"/>
      <c r="D69" s="864"/>
      <c r="E69" s="864"/>
      <c r="F69" s="974"/>
      <c r="G69" s="977"/>
      <c r="H69" s="965"/>
      <c r="I69" s="867"/>
      <c r="J69" s="870"/>
      <c r="K69" s="873"/>
      <c r="L69" s="864"/>
      <c r="M69" s="864"/>
      <c r="N69" s="515">
        <v>45747</v>
      </c>
      <c r="O69" s="962"/>
      <c r="P69" s="507">
        <v>69</v>
      </c>
      <c r="Q69" s="508">
        <v>45763</v>
      </c>
      <c r="R69" s="509"/>
      <c r="S69" s="510"/>
      <c r="T69" s="510"/>
      <c r="U69" s="965"/>
      <c r="V69" s="968"/>
      <c r="W69" s="971"/>
      <c r="X69" s="110">
        <v>82</v>
      </c>
    </row>
    <row r="70" spans="1:24" s="110" customFormat="1" x14ac:dyDescent="0.25">
      <c r="A70" s="861"/>
      <c r="B70" s="864"/>
      <c r="C70" s="864"/>
      <c r="D70" s="864"/>
      <c r="E70" s="864"/>
      <c r="F70" s="974"/>
      <c r="G70" s="977"/>
      <c r="H70" s="965"/>
      <c r="I70" s="867"/>
      <c r="J70" s="870"/>
      <c r="K70" s="873"/>
      <c r="L70" s="864"/>
      <c r="M70" s="864"/>
      <c r="N70" s="515">
        <v>45777</v>
      </c>
      <c r="O70" s="962"/>
      <c r="P70" s="507">
        <v>69</v>
      </c>
      <c r="Q70" s="508">
        <v>45798</v>
      </c>
      <c r="R70" s="509"/>
      <c r="S70" s="510"/>
      <c r="T70" s="510"/>
      <c r="U70" s="965"/>
      <c r="V70" s="968"/>
      <c r="W70" s="971"/>
      <c r="X70" s="110">
        <v>82</v>
      </c>
    </row>
    <row r="71" spans="1:24" s="110" customFormat="1" x14ac:dyDescent="0.25">
      <c r="A71" s="862"/>
      <c r="B71" s="865"/>
      <c r="C71" s="865"/>
      <c r="D71" s="865"/>
      <c r="E71" s="865"/>
      <c r="F71" s="975"/>
      <c r="G71" s="978"/>
      <c r="H71" s="966"/>
      <c r="I71" s="868"/>
      <c r="J71" s="871"/>
      <c r="K71" s="874"/>
      <c r="L71" s="865"/>
      <c r="M71" s="865"/>
      <c r="N71" s="516">
        <v>45808</v>
      </c>
      <c r="O71" s="963"/>
      <c r="P71" s="580">
        <v>69</v>
      </c>
      <c r="Q71" s="512">
        <v>45824</v>
      </c>
      <c r="R71" s="513"/>
      <c r="S71" s="511"/>
      <c r="T71" s="511"/>
      <c r="U71" s="966"/>
      <c r="V71" s="969"/>
      <c r="W71" s="972"/>
      <c r="X71" s="110">
        <v>82</v>
      </c>
    </row>
    <row r="72" spans="1:24" s="80" customFormat="1" ht="36" customHeight="1" x14ac:dyDescent="0.25">
      <c r="A72" s="842">
        <v>16</v>
      </c>
      <c r="B72" s="845" t="s">
        <v>56</v>
      </c>
      <c r="C72" s="845" t="s">
        <v>147</v>
      </c>
      <c r="D72" s="845" t="s">
        <v>153</v>
      </c>
      <c r="E72" s="845" t="s">
        <v>225</v>
      </c>
      <c r="F72" s="952">
        <v>45653</v>
      </c>
      <c r="G72" s="955" t="s">
        <v>226</v>
      </c>
      <c r="H72" s="857">
        <v>31680</v>
      </c>
      <c r="I72" s="958">
        <f>IF(X72 = 85, H72 + SUM(S72:S74) - SUM(T72:T74) - SUM(P72:P74) - V72,0)</f>
        <v>0</v>
      </c>
      <c r="J72" s="848">
        <v>235300582900</v>
      </c>
      <c r="K72" s="851" t="s">
        <v>158</v>
      </c>
      <c r="L72" s="845" t="s">
        <v>147</v>
      </c>
      <c r="M72" s="845" t="s">
        <v>229</v>
      </c>
      <c r="N72" s="265">
        <v>45688</v>
      </c>
      <c r="O72" s="854" t="s">
        <v>180</v>
      </c>
      <c r="P72" s="254">
        <v>5112</v>
      </c>
      <c r="Q72" s="255">
        <v>45702</v>
      </c>
      <c r="R72" s="256"/>
      <c r="S72" s="257"/>
      <c r="T72" s="257"/>
      <c r="U72" s="857" t="s">
        <v>281</v>
      </c>
      <c r="V72" s="946">
        <v>16434</v>
      </c>
      <c r="W72" s="949"/>
      <c r="X72" s="80">
        <v>85</v>
      </c>
    </row>
    <row r="73" spans="1:24" s="110" customFormat="1" x14ac:dyDescent="0.25">
      <c r="A73" s="843"/>
      <c r="B73" s="846"/>
      <c r="C73" s="846"/>
      <c r="D73" s="846"/>
      <c r="E73" s="846"/>
      <c r="F73" s="953"/>
      <c r="G73" s="956"/>
      <c r="H73" s="858"/>
      <c r="I73" s="959"/>
      <c r="J73" s="849"/>
      <c r="K73" s="852"/>
      <c r="L73" s="846"/>
      <c r="M73" s="846"/>
      <c r="N73" s="267">
        <v>45728</v>
      </c>
      <c r="O73" s="855"/>
      <c r="P73" s="258">
        <v>5256</v>
      </c>
      <c r="Q73" s="259">
        <v>45733</v>
      </c>
      <c r="R73" s="260"/>
      <c r="S73" s="261"/>
      <c r="T73" s="261"/>
      <c r="U73" s="858"/>
      <c r="V73" s="947"/>
      <c r="W73" s="950"/>
      <c r="X73" s="110">
        <v>85</v>
      </c>
    </row>
    <row r="74" spans="1:24" s="110" customFormat="1" x14ac:dyDescent="0.25">
      <c r="A74" s="844"/>
      <c r="B74" s="847"/>
      <c r="C74" s="847"/>
      <c r="D74" s="847"/>
      <c r="E74" s="847"/>
      <c r="F74" s="954"/>
      <c r="G74" s="957"/>
      <c r="H74" s="859"/>
      <c r="I74" s="960"/>
      <c r="J74" s="850"/>
      <c r="K74" s="853"/>
      <c r="L74" s="847"/>
      <c r="M74" s="847"/>
      <c r="N74" s="266">
        <v>45756</v>
      </c>
      <c r="O74" s="856"/>
      <c r="P74" s="324">
        <v>4878</v>
      </c>
      <c r="Q74" s="263">
        <v>45763</v>
      </c>
      <c r="R74" s="264"/>
      <c r="S74" s="262"/>
      <c r="T74" s="262"/>
      <c r="U74" s="859"/>
      <c r="V74" s="948"/>
      <c r="W74" s="951"/>
      <c r="X74" s="110">
        <v>85</v>
      </c>
    </row>
    <row r="75" spans="1:24" s="80" customFormat="1" ht="36" customHeight="1" x14ac:dyDescent="0.25">
      <c r="A75" s="830">
        <v>17</v>
      </c>
      <c r="B75" s="824" t="s">
        <v>56</v>
      </c>
      <c r="C75" s="824" t="s">
        <v>147</v>
      </c>
      <c r="D75" s="824" t="s">
        <v>153</v>
      </c>
      <c r="E75" s="824" t="s">
        <v>227</v>
      </c>
      <c r="F75" s="806">
        <v>45653</v>
      </c>
      <c r="G75" s="809" t="s">
        <v>226</v>
      </c>
      <c r="H75" s="812">
        <v>109854</v>
      </c>
      <c r="I75" s="815">
        <f>IF(X75 = 86, H75 + SUM(S75:S77) - SUM(T75:T77) - SUM(P75:P77) - V75,0)</f>
        <v>3.637978807091713E-12</v>
      </c>
      <c r="J75" s="818">
        <v>235300582900</v>
      </c>
      <c r="K75" s="821" t="s">
        <v>158</v>
      </c>
      <c r="L75" s="824" t="s">
        <v>147</v>
      </c>
      <c r="M75" s="824" t="s">
        <v>230</v>
      </c>
      <c r="N75" s="169">
        <v>45688</v>
      </c>
      <c r="O75" s="827" t="s">
        <v>180</v>
      </c>
      <c r="P75" s="201">
        <v>87010</v>
      </c>
      <c r="Q75" s="171">
        <v>45702</v>
      </c>
      <c r="R75" s="172"/>
      <c r="S75" s="170"/>
      <c r="T75" s="170"/>
      <c r="U75" s="812" t="s">
        <v>261</v>
      </c>
      <c r="V75" s="800">
        <v>14085.8</v>
      </c>
      <c r="W75" s="803"/>
      <c r="X75" s="80">
        <v>86</v>
      </c>
    </row>
    <row r="76" spans="1:24" s="110" customFormat="1" x14ac:dyDescent="0.25">
      <c r="A76" s="831"/>
      <c r="B76" s="825"/>
      <c r="C76" s="825"/>
      <c r="D76" s="825"/>
      <c r="E76" s="825"/>
      <c r="F76" s="807"/>
      <c r="G76" s="810"/>
      <c r="H76" s="813"/>
      <c r="I76" s="816"/>
      <c r="J76" s="819"/>
      <c r="K76" s="822"/>
      <c r="L76" s="825"/>
      <c r="M76" s="825"/>
      <c r="N76" s="177">
        <v>45688</v>
      </c>
      <c r="O76" s="828"/>
      <c r="P76" s="202">
        <v>3608.8</v>
      </c>
      <c r="Q76" s="179">
        <v>45695</v>
      </c>
      <c r="R76" s="180"/>
      <c r="S76" s="178"/>
      <c r="T76" s="178"/>
      <c r="U76" s="813"/>
      <c r="V76" s="801"/>
      <c r="W76" s="804"/>
      <c r="X76" s="110">
        <v>86</v>
      </c>
    </row>
    <row r="77" spans="1:24" s="110" customFormat="1" x14ac:dyDescent="0.25">
      <c r="A77" s="832"/>
      <c r="B77" s="826"/>
      <c r="C77" s="826"/>
      <c r="D77" s="826"/>
      <c r="E77" s="826"/>
      <c r="F77" s="808"/>
      <c r="G77" s="811"/>
      <c r="H77" s="814"/>
      <c r="I77" s="817"/>
      <c r="J77" s="820"/>
      <c r="K77" s="823"/>
      <c r="L77" s="826"/>
      <c r="M77" s="826"/>
      <c r="N77" s="173">
        <v>45688</v>
      </c>
      <c r="O77" s="829"/>
      <c r="P77" s="203">
        <v>5149.3999999999996</v>
      </c>
      <c r="Q77" s="175">
        <v>45706</v>
      </c>
      <c r="R77" s="176"/>
      <c r="S77" s="174"/>
      <c r="T77" s="174"/>
      <c r="U77" s="814"/>
      <c r="V77" s="802"/>
      <c r="W77" s="805"/>
      <c r="X77" s="110">
        <v>86</v>
      </c>
    </row>
    <row r="78" spans="1:24" s="80" customFormat="1" ht="56.25" x14ac:dyDescent="0.25">
      <c r="A78" s="160">
        <v>18</v>
      </c>
      <c r="B78" s="109" t="s">
        <v>56</v>
      </c>
      <c r="C78" s="157" t="s">
        <v>147</v>
      </c>
      <c r="D78" s="109" t="s">
        <v>153</v>
      </c>
      <c r="E78" s="161" t="s">
        <v>228</v>
      </c>
      <c r="F78" s="343">
        <v>45672</v>
      </c>
      <c r="G78" s="162" t="s">
        <v>226</v>
      </c>
      <c r="H78" s="163">
        <v>10472</v>
      </c>
      <c r="I78" s="164">
        <f>IF(X78 = 87, H78 + SUM(S78:S78) - SUM(T78:T78) - SUM(P78:P78) - V78,0)</f>
        <v>0</v>
      </c>
      <c r="J78" s="165">
        <v>235300582900</v>
      </c>
      <c r="K78" s="166" t="s">
        <v>158</v>
      </c>
      <c r="L78" s="157" t="s">
        <v>147</v>
      </c>
      <c r="M78" s="161" t="s">
        <v>230</v>
      </c>
      <c r="N78" s="168">
        <v>45688</v>
      </c>
      <c r="O78" s="111" t="s">
        <v>180</v>
      </c>
      <c r="P78" s="204">
        <v>9394</v>
      </c>
      <c r="Q78" s="162">
        <v>45706</v>
      </c>
      <c r="R78" s="161"/>
      <c r="S78" s="163"/>
      <c r="T78" s="163"/>
      <c r="U78" s="163" t="s">
        <v>261</v>
      </c>
      <c r="V78" s="167">
        <v>1078</v>
      </c>
      <c r="W78" s="159"/>
      <c r="X78" s="80">
        <v>87</v>
      </c>
    </row>
    <row r="79" spans="1:24" s="80" customFormat="1" ht="108" customHeight="1" x14ac:dyDescent="0.25">
      <c r="A79" s="687">
        <v>19</v>
      </c>
      <c r="B79" s="696" t="s">
        <v>56</v>
      </c>
      <c r="C79" s="696" t="s">
        <v>147</v>
      </c>
      <c r="D79" s="696" t="s">
        <v>153</v>
      </c>
      <c r="E79" s="696" t="s">
        <v>243</v>
      </c>
      <c r="F79" s="705">
        <v>45688</v>
      </c>
      <c r="G79" s="708" t="s">
        <v>282</v>
      </c>
      <c r="H79" s="693">
        <v>62208</v>
      </c>
      <c r="I79" s="711">
        <f>IF(X79 = 88, H79 + SUM(S79:S82) - SUM(T79:T82) - SUM(P79:P82) - V79,0)</f>
        <v>33372</v>
      </c>
      <c r="J79" s="714">
        <v>2353017179</v>
      </c>
      <c r="K79" s="717" t="s">
        <v>181</v>
      </c>
      <c r="L79" s="696" t="s">
        <v>147</v>
      </c>
      <c r="M79" s="696" t="s">
        <v>244</v>
      </c>
      <c r="N79" s="499">
        <v>45716</v>
      </c>
      <c r="O79" s="690" t="s">
        <v>180</v>
      </c>
      <c r="P79" s="488">
        <v>7776</v>
      </c>
      <c r="Q79" s="489">
        <v>45721</v>
      </c>
      <c r="R79" s="490"/>
      <c r="S79" s="491"/>
      <c r="T79" s="491"/>
      <c r="U79" s="693"/>
      <c r="V79" s="699"/>
      <c r="W79" s="702"/>
      <c r="X79" s="80">
        <v>88</v>
      </c>
    </row>
    <row r="80" spans="1:24" s="110" customFormat="1" x14ac:dyDescent="0.25">
      <c r="A80" s="688"/>
      <c r="B80" s="697"/>
      <c r="C80" s="697"/>
      <c r="D80" s="697"/>
      <c r="E80" s="697"/>
      <c r="F80" s="706"/>
      <c r="G80" s="709"/>
      <c r="H80" s="694"/>
      <c r="I80" s="712"/>
      <c r="J80" s="715"/>
      <c r="K80" s="718"/>
      <c r="L80" s="697"/>
      <c r="M80" s="697"/>
      <c r="N80" s="500">
        <v>45747</v>
      </c>
      <c r="O80" s="691"/>
      <c r="P80" s="492">
        <v>7128</v>
      </c>
      <c r="Q80" s="493">
        <v>45756</v>
      </c>
      <c r="R80" s="494"/>
      <c r="S80" s="495"/>
      <c r="T80" s="495"/>
      <c r="U80" s="694"/>
      <c r="V80" s="700"/>
      <c r="W80" s="703"/>
      <c r="X80" s="110">
        <v>88</v>
      </c>
    </row>
    <row r="81" spans="1:24" s="110" customFormat="1" x14ac:dyDescent="0.25">
      <c r="A81" s="688"/>
      <c r="B81" s="697"/>
      <c r="C81" s="697"/>
      <c r="D81" s="697"/>
      <c r="E81" s="697"/>
      <c r="F81" s="706"/>
      <c r="G81" s="709"/>
      <c r="H81" s="694"/>
      <c r="I81" s="712"/>
      <c r="J81" s="715"/>
      <c r="K81" s="718"/>
      <c r="L81" s="697"/>
      <c r="M81" s="697"/>
      <c r="N81" s="500">
        <v>45777</v>
      </c>
      <c r="O81" s="691"/>
      <c r="P81" s="492">
        <v>7776</v>
      </c>
      <c r="Q81" s="493">
        <v>45797</v>
      </c>
      <c r="R81" s="494"/>
      <c r="S81" s="495"/>
      <c r="T81" s="495"/>
      <c r="U81" s="694"/>
      <c r="V81" s="700"/>
      <c r="W81" s="703"/>
      <c r="X81" s="110">
        <v>88</v>
      </c>
    </row>
    <row r="82" spans="1:24" s="110" customFormat="1" x14ac:dyDescent="0.25">
      <c r="A82" s="689"/>
      <c r="B82" s="698"/>
      <c r="C82" s="698"/>
      <c r="D82" s="698"/>
      <c r="E82" s="698"/>
      <c r="F82" s="707"/>
      <c r="G82" s="710"/>
      <c r="H82" s="695"/>
      <c r="I82" s="713"/>
      <c r="J82" s="716"/>
      <c r="K82" s="719"/>
      <c r="L82" s="698"/>
      <c r="M82" s="698"/>
      <c r="N82" s="501">
        <v>45808</v>
      </c>
      <c r="O82" s="692"/>
      <c r="P82" s="579">
        <v>6156</v>
      </c>
      <c r="Q82" s="497">
        <v>45814</v>
      </c>
      <c r="R82" s="498"/>
      <c r="S82" s="496"/>
      <c r="T82" s="496"/>
      <c r="U82" s="695"/>
      <c r="V82" s="701"/>
      <c r="W82" s="704"/>
      <c r="X82" s="110">
        <v>88</v>
      </c>
    </row>
    <row r="83" spans="1:24" s="80" customFormat="1" ht="75" x14ac:dyDescent="0.25">
      <c r="A83" s="212">
        <v>20</v>
      </c>
      <c r="B83" s="109" t="s">
        <v>56</v>
      </c>
      <c r="C83" s="161" t="s">
        <v>147</v>
      </c>
      <c r="D83" s="109" t="s">
        <v>153</v>
      </c>
      <c r="E83" s="214" t="s">
        <v>256</v>
      </c>
      <c r="F83" s="344">
        <v>45713</v>
      </c>
      <c r="G83" s="217" t="s">
        <v>257</v>
      </c>
      <c r="H83" s="213">
        <v>31000</v>
      </c>
      <c r="I83" s="218">
        <f>IF(X83 = 89, H83 + SUM(S83:S83) - SUM(T83:T83) - SUM(P83:P83) - V83,0)</f>
        <v>0</v>
      </c>
      <c r="J83" s="219">
        <v>2311204586</v>
      </c>
      <c r="K83" s="220" t="s">
        <v>258</v>
      </c>
      <c r="L83" s="214" t="s">
        <v>147</v>
      </c>
      <c r="M83" s="214" t="s">
        <v>259</v>
      </c>
      <c r="N83" s="224">
        <v>45713</v>
      </c>
      <c r="O83" s="168" t="s">
        <v>260</v>
      </c>
      <c r="P83" s="223">
        <v>31000</v>
      </c>
      <c r="Q83" s="217">
        <v>45716</v>
      </c>
      <c r="R83" s="214"/>
      <c r="S83" s="213"/>
      <c r="T83" s="213"/>
      <c r="U83" s="213"/>
      <c r="V83" s="215"/>
      <c r="W83" s="216"/>
      <c r="X83" s="80">
        <v>89</v>
      </c>
    </row>
    <row r="84" spans="1:24" s="80" customFormat="1" ht="36" customHeight="1" x14ac:dyDescent="0.25">
      <c r="A84" s="720">
        <v>21</v>
      </c>
      <c r="B84" s="729" t="s">
        <v>56</v>
      </c>
      <c r="C84" s="729" t="s">
        <v>147</v>
      </c>
      <c r="D84" s="729" t="s">
        <v>153</v>
      </c>
      <c r="E84" s="729" t="s">
        <v>262</v>
      </c>
      <c r="F84" s="738">
        <v>45688</v>
      </c>
      <c r="G84" s="741" t="s">
        <v>226</v>
      </c>
      <c r="H84" s="726">
        <v>488382</v>
      </c>
      <c r="I84" s="744">
        <f>IF(X84 = 90, H84 + SUM(S84:S99) - SUM(T84:T99) - SUM(P84:P99) - V84,0)</f>
        <v>0</v>
      </c>
      <c r="J84" s="747">
        <v>235300582900</v>
      </c>
      <c r="K84" s="750" t="s">
        <v>158</v>
      </c>
      <c r="L84" s="729" t="s">
        <v>147</v>
      </c>
      <c r="M84" s="729" t="s">
        <v>263</v>
      </c>
      <c r="N84" s="387">
        <v>45728</v>
      </c>
      <c r="O84" s="723" t="s">
        <v>180</v>
      </c>
      <c r="P84" s="376">
        <v>9702</v>
      </c>
      <c r="Q84" s="377">
        <v>45733</v>
      </c>
      <c r="R84" s="378"/>
      <c r="S84" s="379"/>
      <c r="T84" s="379"/>
      <c r="U84" s="726" t="s">
        <v>354</v>
      </c>
      <c r="V84" s="732">
        <v>102743</v>
      </c>
      <c r="W84" s="735"/>
      <c r="X84" s="80">
        <v>90</v>
      </c>
    </row>
    <row r="85" spans="1:24" s="110" customFormat="1" x14ac:dyDescent="0.25">
      <c r="A85" s="721"/>
      <c r="B85" s="730"/>
      <c r="C85" s="730"/>
      <c r="D85" s="730"/>
      <c r="E85" s="730"/>
      <c r="F85" s="739"/>
      <c r="G85" s="742"/>
      <c r="H85" s="727"/>
      <c r="I85" s="745"/>
      <c r="J85" s="748"/>
      <c r="K85" s="751"/>
      <c r="L85" s="730"/>
      <c r="M85" s="730"/>
      <c r="N85" s="388">
        <v>45728</v>
      </c>
      <c r="O85" s="724"/>
      <c r="P85" s="380">
        <v>79464</v>
      </c>
      <c r="Q85" s="381">
        <v>45733</v>
      </c>
      <c r="R85" s="382"/>
      <c r="S85" s="383"/>
      <c r="T85" s="383"/>
      <c r="U85" s="727"/>
      <c r="V85" s="733"/>
      <c r="W85" s="736"/>
      <c r="X85" s="110">
        <v>90</v>
      </c>
    </row>
    <row r="86" spans="1:24" s="110" customFormat="1" x14ac:dyDescent="0.25">
      <c r="A86" s="721"/>
      <c r="B86" s="730"/>
      <c r="C86" s="730"/>
      <c r="D86" s="730"/>
      <c r="E86" s="730"/>
      <c r="F86" s="739"/>
      <c r="G86" s="742"/>
      <c r="H86" s="727"/>
      <c r="I86" s="745"/>
      <c r="J86" s="748"/>
      <c r="K86" s="751"/>
      <c r="L86" s="730"/>
      <c r="M86" s="730"/>
      <c r="N86" s="388">
        <v>45728</v>
      </c>
      <c r="O86" s="724"/>
      <c r="P86" s="380">
        <v>4869.3999999999996</v>
      </c>
      <c r="Q86" s="381">
        <v>45733</v>
      </c>
      <c r="R86" s="382"/>
      <c r="S86" s="383"/>
      <c r="T86" s="383"/>
      <c r="U86" s="727"/>
      <c r="V86" s="733"/>
      <c r="W86" s="736"/>
      <c r="X86" s="110">
        <v>90</v>
      </c>
    </row>
    <row r="87" spans="1:24" s="110" customFormat="1" x14ac:dyDescent="0.25">
      <c r="A87" s="721"/>
      <c r="B87" s="730"/>
      <c r="C87" s="730"/>
      <c r="D87" s="730"/>
      <c r="E87" s="730"/>
      <c r="F87" s="739"/>
      <c r="G87" s="742"/>
      <c r="H87" s="727"/>
      <c r="I87" s="745"/>
      <c r="J87" s="748"/>
      <c r="K87" s="751"/>
      <c r="L87" s="730"/>
      <c r="M87" s="730"/>
      <c r="N87" s="388">
        <v>45728</v>
      </c>
      <c r="O87" s="724"/>
      <c r="P87" s="380">
        <v>1943.2</v>
      </c>
      <c r="Q87" s="381">
        <v>45733</v>
      </c>
      <c r="R87" s="382"/>
      <c r="S87" s="383"/>
      <c r="T87" s="383"/>
      <c r="U87" s="727"/>
      <c r="V87" s="733"/>
      <c r="W87" s="736"/>
      <c r="X87" s="110">
        <v>90</v>
      </c>
    </row>
    <row r="88" spans="1:24" s="110" customFormat="1" x14ac:dyDescent="0.25">
      <c r="A88" s="721"/>
      <c r="B88" s="730"/>
      <c r="C88" s="730"/>
      <c r="D88" s="730"/>
      <c r="E88" s="730"/>
      <c r="F88" s="739"/>
      <c r="G88" s="742"/>
      <c r="H88" s="727"/>
      <c r="I88" s="745"/>
      <c r="J88" s="748"/>
      <c r="K88" s="751"/>
      <c r="L88" s="730"/>
      <c r="M88" s="730"/>
      <c r="N88" s="388">
        <v>45756</v>
      </c>
      <c r="O88" s="724"/>
      <c r="P88" s="380">
        <v>8162</v>
      </c>
      <c r="Q88" s="381">
        <v>45763</v>
      </c>
      <c r="R88" s="382"/>
      <c r="S88" s="383"/>
      <c r="T88" s="383"/>
      <c r="U88" s="727"/>
      <c r="V88" s="733"/>
      <c r="W88" s="736"/>
      <c r="X88" s="110">
        <v>90</v>
      </c>
    </row>
    <row r="89" spans="1:24" s="110" customFormat="1" x14ac:dyDescent="0.25">
      <c r="A89" s="721"/>
      <c r="B89" s="730"/>
      <c r="C89" s="730"/>
      <c r="D89" s="730"/>
      <c r="E89" s="730"/>
      <c r="F89" s="739"/>
      <c r="G89" s="742"/>
      <c r="H89" s="727"/>
      <c r="I89" s="745"/>
      <c r="J89" s="748"/>
      <c r="K89" s="751"/>
      <c r="L89" s="730"/>
      <c r="M89" s="730"/>
      <c r="N89" s="388">
        <v>45756</v>
      </c>
      <c r="O89" s="724"/>
      <c r="P89" s="380">
        <v>76538</v>
      </c>
      <c r="Q89" s="381">
        <v>45763</v>
      </c>
      <c r="R89" s="382"/>
      <c r="S89" s="383"/>
      <c r="T89" s="383"/>
      <c r="U89" s="727"/>
      <c r="V89" s="733"/>
      <c r="W89" s="736"/>
      <c r="X89" s="110">
        <v>90</v>
      </c>
    </row>
    <row r="90" spans="1:24" s="110" customFormat="1" x14ac:dyDescent="0.25">
      <c r="A90" s="721"/>
      <c r="B90" s="730"/>
      <c r="C90" s="730"/>
      <c r="D90" s="730"/>
      <c r="E90" s="730"/>
      <c r="F90" s="739"/>
      <c r="G90" s="742"/>
      <c r="H90" s="727"/>
      <c r="I90" s="745"/>
      <c r="J90" s="748"/>
      <c r="K90" s="751"/>
      <c r="L90" s="730"/>
      <c r="M90" s="730"/>
      <c r="N90" s="388">
        <v>45756</v>
      </c>
      <c r="O90" s="724"/>
      <c r="P90" s="380">
        <v>1943.2</v>
      </c>
      <c r="Q90" s="381">
        <v>45763</v>
      </c>
      <c r="R90" s="382"/>
      <c r="S90" s="383"/>
      <c r="T90" s="383"/>
      <c r="U90" s="727"/>
      <c r="V90" s="733"/>
      <c r="W90" s="736"/>
      <c r="X90" s="110">
        <v>90</v>
      </c>
    </row>
    <row r="91" spans="1:24" s="110" customFormat="1" x14ac:dyDescent="0.25">
      <c r="A91" s="721"/>
      <c r="B91" s="730"/>
      <c r="C91" s="730"/>
      <c r="D91" s="730"/>
      <c r="E91" s="730"/>
      <c r="F91" s="739"/>
      <c r="G91" s="742"/>
      <c r="H91" s="727"/>
      <c r="I91" s="745"/>
      <c r="J91" s="748"/>
      <c r="K91" s="751"/>
      <c r="L91" s="730"/>
      <c r="M91" s="730"/>
      <c r="N91" s="388">
        <v>45756</v>
      </c>
      <c r="O91" s="724"/>
      <c r="P91" s="380">
        <v>3903.2</v>
      </c>
      <c r="Q91" s="381">
        <v>45763</v>
      </c>
      <c r="R91" s="382"/>
      <c r="S91" s="383"/>
      <c r="T91" s="383"/>
      <c r="U91" s="727"/>
      <c r="V91" s="733"/>
      <c r="W91" s="736"/>
      <c r="X91" s="110">
        <v>90</v>
      </c>
    </row>
    <row r="92" spans="1:24" s="110" customFormat="1" x14ac:dyDescent="0.25">
      <c r="A92" s="721"/>
      <c r="B92" s="730"/>
      <c r="C92" s="730"/>
      <c r="D92" s="730"/>
      <c r="E92" s="730"/>
      <c r="F92" s="739"/>
      <c r="G92" s="742"/>
      <c r="H92" s="727"/>
      <c r="I92" s="745"/>
      <c r="J92" s="748"/>
      <c r="K92" s="751"/>
      <c r="L92" s="730"/>
      <c r="M92" s="730"/>
      <c r="N92" s="388">
        <v>45790</v>
      </c>
      <c r="O92" s="724"/>
      <c r="P92" s="380">
        <v>4879</v>
      </c>
      <c r="Q92" s="381">
        <v>45798</v>
      </c>
      <c r="R92" s="382"/>
      <c r="S92" s="383"/>
      <c r="T92" s="383"/>
      <c r="U92" s="727"/>
      <c r="V92" s="733"/>
      <c r="W92" s="736"/>
      <c r="X92" s="110">
        <v>90</v>
      </c>
    </row>
    <row r="93" spans="1:24" s="110" customFormat="1" x14ac:dyDescent="0.25">
      <c r="A93" s="721"/>
      <c r="B93" s="730"/>
      <c r="C93" s="730"/>
      <c r="D93" s="730"/>
      <c r="E93" s="730"/>
      <c r="F93" s="739"/>
      <c r="G93" s="742"/>
      <c r="H93" s="727"/>
      <c r="I93" s="745"/>
      <c r="J93" s="748"/>
      <c r="K93" s="751"/>
      <c r="L93" s="730"/>
      <c r="M93" s="730"/>
      <c r="N93" s="388">
        <v>45790</v>
      </c>
      <c r="O93" s="724"/>
      <c r="P93" s="380">
        <v>3053.6</v>
      </c>
      <c r="Q93" s="381">
        <v>45799</v>
      </c>
      <c r="R93" s="382"/>
      <c r="S93" s="383"/>
      <c r="T93" s="383"/>
      <c r="U93" s="727"/>
      <c r="V93" s="733"/>
      <c r="W93" s="736"/>
      <c r="X93" s="110">
        <v>90</v>
      </c>
    </row>
    <row r="94" spans="1:24" s="110" customFormat="1" x14ac:dyDescent="0.25">
      <c r="A94" s="721"/>
      <c r="B94" s="730"/>
      <c r="C94" s="730"/>
      <c r="D94" s="730"/>
      <c r="E94" s="730"/>
      <c r="F94" s="739"/>
      <c r="G94" s="742"/>
      <c r="H94" s="727"/>
      <c r="I94" s="745"/>
      <c r="J94" s="748"/>
      <c r="K94" s="751"/>
      <c r="L94" s="730"/>
      <c r="M94" s="730"/>
      <c r="N94" s="388">
        <v>45790</v>
      </c>
      <c r="O94" s="724"/>
      <c r="P94" s="380">
        <v>104104</v>
      </c>
      <c r="Q94" s="381">
        <v>45798</v>
      </c>
      <c r="R94" s="382"/>
      <c r="S94" s="383"/>
      <c r="T94" s="383"/>
      <c r="U94" s="727"/>
      <c r="V94" s="733"/>
      <c r="W94" s="736"/>
      <c r="X94" s="110">
        <v>90</v>
      </c>
    </row>
    <row r="95" spans="1:24" s="110" customFormat="1" x14ac:dyDescent="0.25">
      <c r="A95" s="721"/>
      <c r="B95" s="730"/>
      <c r="C95" s="730"/>
      <c r="D95" s="730"/>
      <c r="E95" s="730"/>
      <c r="F95" s="739"/>
      <c r="G95" s="742"/>
      <c r="H95" s="727"/>
      <c r="I95" s="745"/>
      <c r="J95" s="748"/>
      <c r="K95" s="751"/>
      <c r="L95" s="730"/>
      <c r="M95" s="730"/>
      <c r="N95" s="388">
        <v>45790</v>
      </c>
      <c r="O95" s="724"/>
      <c r="P95" s="380">
        <v>10626</v>
      </c>
      <c r="Q95" s="381">
        <v>45798</v>
      </c>
      <c r="R95" s="382"/>
      <c r="S95" s="383"/>
      <c r="T95" s="383"/>
      <c r="U95" s="727"/>
      <c r="V95" s="733"/>
      <c r="W95" s="736"/>
      <c r="X95" s="110">
        <v>90</v>
      </c>
    </row>
    <row r="96" spans="1:24" s="110" customFormat="1" x14ac:dyDescent="0.25">
      <c r="A96" s="721"/>
      <c r="B96" s="730"/>
      <c r="C96" s="730"/>
      <c r="D96" s="730"/>
      <c r="E96" s="730"/>
      <c r="F96" s="739"/>
      <c r="G96" s="742"/>
      <c r="H96" s="727"/>
      <c r="I96" s="745"/>
      <c r="J96" s="748"/>
      <c r="K96" s="751"/>
      <c r="L96" s="730"/>
      <c r="M96" s="730"/>
      <c r="N96" s="388">
        <v>45807</v>
      </c>
      <c r="O96" s="724"/>
      <c r="P96" s="380">
        <v>3206.2</v>
      </c>
      <c r="Q96" s="381">
        <v>45818</v>
      </c>
      <c r="R96" s="382"/>
      <c r="S96" s="383"/>
      <c r="T96" s="383"/>
      <c r="U96" s="727"/>
      <c r="V96" s="733"/>
      <c r="W96" s="736"/>
      <c r="X96" s="110">
        <v>90</v>
      </c>
    </row>
    <row r="97" spans="1:24" s="110" customFormat="1" x14ac:dyDescent="0.25">
      <c r="A97" s="721"/>
      <c r="B97" s="730"/>
      <c r="C97" s="730"/>
      <c r="D97" s="730"/>
      <c r="E97" s="730"/>
      <c r="F97" s="739"/>
      <c r="G97" s="742"/>
      <c r="H97" s="727"/>
      <c r="I97" s="745"/>
      <c r="J97" s="748"/>
      <c r="K97" s="751"/>
      <c r="L97" s="730"/>
      <c r="M97" s="730"/>
      <c r="N97" s="388">
        <v>45807</v>
      </c>
      <c r="O97" s="724"/>
      <c r="P97" s="380">
        <v>1943.2</v>
      </c>
      <c r="Q97" s="381">
        <v>45814</v>
      </c>
      <c r="R97" s="382"/>
      <c r="S97" s="383"/>
      <c r="T97" s="383"/>
      <c r="U97" s="727"/>
      <c r="V97" s="733"/>
      <c r="W97" s="736"/>
      <c r="X97" s="110">
        <v>90</v>
      </c>
    </row>
    <row r="98" spans="1:24" s="110" customFormat="1" x14ac:dyDescent="0.25">
      <c r="A98" s="721"/>
      <c r="B98" s="730"/>
      <c r="C98" s="730"/>
      <c r="D98" s="730"/>
      <c r="E98" s="730"/>
      <c r="F98" s="739"/>
      <c r="G98" s="742"/>
      <c r="H98" s="727"/>
      <c r="I98" s="745"/>
      <c r="J98" s="748"/>
      <c r="K98" s="751"/>
      <c r="L98" s="730"/>
      <c r="M98" s="730"/>
      <c r="N98" s="388">
        <v>45807</v>
      </c>
      <c r="O98" s="724"/>
      <c r="P98" s="380">
        <v>63294</v>
      </c>
      <c r="Q98" s="381">
        <v>45814</v>
      </c>
      <c r="R98" s="382"/>
      <c r="S98" s="383"/>
      <c r="T98" s="383"/>
      <c r="U98" s="727"/>
      <c r="V98" s="733"/>
      <c r="W98" s="736"/>
      <c r="X98" s="110">
        <v>90</v>
      </c>
    </row>
    <row r="99" spans="1:24" s="110" customFormat="1" x14ac:dyDescent="0.25">
      <c r="A99" s="722"/>
      <c r="B99" s="731"/>
      <c r="C99" s="731"/>
      <c r="D99" s="731"/>
      <c r="E99" s="731"/>
      <c r="F99" s="740"/>
      <c r="G99" s="743"/>
      <c r="H99" s="728"/>
      <c r="I99" s="746"/>
      <c r="J99" s="749"/>
      <c r="K99" s="752"/>
      <c r="L99" s="731"/>
      <c r="M99" s="731"/>
      <c r="N99" s="389">
        <v>45807</v>
      </c>
      <c r="O99" s="725"/>
      <c r="P99" s="578">
        <v>8008</v>
      </c>
      <c r="Q99" s="385">
        <v>45814</v>
      </c>
      <c r="R99" s="386"/>
      <c r="S99" s="384"/>
      <c r="T99" s="384"/>
      <c r="U99" s="728"/>
      <c r="V99" s="734"/>
      <c r="W99" s="737"/>
      <c r="X99" s="110">
        <v>90</v>
      </c>
    </row>
    <row r="100" spans="1:24" s="80" customFormat="1" ht="54" customHeight="1" x14ac:dyDescent="0.25">
      <c r="A100" s="1042">
        <v>22</v>
      </c>
      <c r="B100" s="1048" t="s">
        <v>56</v>
      </c>
      <c r="C100" s="1048" t="s">
        <v>147</v>
      </c>
      <c r="D100" s="1048" t="s">
        <v>153</v>
      </c>
      <c r="E100" s="1048" t="s">
        <v>264</v>
      </c>
      <c r="F100" s="1054">
        <v>45748</v>
      </c>
      <c r="G100" s="1056" t="s">
        <v>188</v>
      </c>
      <c r="H100" s="1046">
        <v>145276.79999999999</v>
      </c>
      <c r="I100" s="1058">
        <f>IF(X100 = 91, H100 + SUM(S100:S101) - SUM(T100:T101) - SUM(P100:P101) - V100,0)</f>
        <v>76448.799999999988</v>
      </c>
      <c r="J100" s="1060">
        <v>7743529527</v>
      </c>
      <c r="K100" s="1062" t="s">
        <v>173</v>
      </c>
      <c r="L100" s="1048" t="s">
        <v>147</v>
      </c>
      <c r="M100" s="1048" t="s">
        <v>265</v>
      </c>
      <c r="N100" s="448">
        <v>45777</v>
      </c>
      <c r="O100" s="1044" t="s">
        <v>208</v>
      </c>
      <c r="P100" s="435">
        <v>36944</v>
      </c>
      <c r="Q100" s="436">
        <v>45789</v>
      </c>
      <c r="R100" s="437"/>
      <c r="S100" s="438"/>
      <c r="T100" s="438"/>
      <c r="U100" s="1046"/>
      <c r="V100" s="1050"/>
      <c r="W100" s="1052"/>
      <c r="X100" s="80">
        <v>91</v>
      </c>
    </row>
    <row r="101" spans="1:24" s="110" customFormat="1" x14ac:dyDescent="0.25">
      <c r="A101" s="1043"/>
      <c r="B101" s="1049"/>
      <c r="C101" s="1049"/>
      <c r="D101" s="1049"/>
      <c r="E101" s="1049"/>
      <c r="F101" s="1055"/>
      <c r="G101" s="1057"/>
      <c r="H101" s="1047"/>
      <c r="I101" s="1059"/>
      <c r="J101" s="1061"/>
      <c r="K101" s="1063"/>
      <c r="L101" s="1049"/>
      <c r="M101" s="1049"/>
      <c r="N101" s="449">
        <v>45808</v>
      </c>
      <c r="O101" s="1045"/>
      <c r="P101" s="456">
        <v>31884</v>
      </c>
      <c r="Q101" s="445">
        <v>45814</v>
      </c>
      <c r="R101" s="446"/>
      <c r="S101" s="444"/>
      <c r="T101" s="444"/>
      <c r="U101" s="1047"/>
      <c r="V101" s="1051"/>
      <c r="W101" s="1053"/>
      <c r="X101" s="110">
        <v>91</v>
      </c>
    </row>
    <row r="102" spans="1:24" s="80" customFormat="1" ht="72" customHeight="1" x14ac:dyDescent="0.25">
      <c r="A102" s="273">
        <v>23</v>
      </c>
      <c r="B102" s="270" t="s">
        <v>56</v>
      </c>
      <c r="C102" s="270" t="s">
        <v>147</v>
      </c>
      <c r="D102" s="270" t="s">
        <v>153</v>
      </c>
      <c r="E102" s="270" t="s">
        <v>266</v>
      </c>
      <c r="F102" s="345">
        <v>45714</v>
      </c>
      <c r="G102" s="269" t="s">
        <v>267</v>
      </c>
      <c r="H102" s="271">
        <v>6698.9</v>
      </c>
      <c r="I102" s="274">
        <f>IF(X102 = 92, H102 + SUM(S102:S102) - SUM(T102:T102) - SUM(P102:P102) - V102,0)</f>
        <v>0</v>
      </c>
      <c r="J102" s="275">
        <v>7706526550</v>
      </c>
      <c r="K102" s="276" t="s">
        <v>268</v>
      </c>
      <c r="L102" s="270" t="s">
        <v>147</v>
      </c>
      <c r="M102" s="270" t="s">
        <v>269</v>
      </c>
      <c r="N102" s="272">
        <v>45730</v>
      </c>
      <c r="O102" s="272" t="s">
        <v>180</v>
      </c>
      <c r="P102" s="268">
        <v>6698.9</v>
      </c>
      <c r="Q102" s="269">
        <v>45741</v>
      </c>
      <c r="R102" s="270"/>
      <c r="S102" s="271"/>
      <c r="T102" s="271"/>
      <c r="U102" s="271"/>
      <c r="V102" s="277"/>
      <c r="W102" s="278"/>
      <c r="X102" s="80">
        <v>92</v>
      </c>
    </row>
    <row r="103" spans="1:24" s="80" customFormat="1" ht="75" x14ac:dyDescent="0.25">
      <c r="A103" s="279">
        <v>24</v>
      </c>
      <c r="B103" s="270" t="s">
        <v>56</v>
      </c>
      <c r="C103" s="270" t="s">
        <v>283</v>
      </c>
      <c r="D103" s="270" t="s">
        <v>153</v>
      </c>
      <c r="E103" s="280" t="s">
        <v>36</v>
      </c>
      <c r="F103" s="346">
        <v>45756</v>
      </c>
      <c r="G103" s="282" t="s">
        <v>277</v>
      </c>
      <c r="H103" s="283">
        <v>5100</v>
      </c>
      <c r="I103" s="284">
        <f>IF(X103 = 93, H103 + SUM(S103:S103) - SUM(T103:T103) - SUM(P103:P103) - V103,0)</f>
        <v>0</v>
      </c>
      <c r="J103" s="285">
        <v>2309084120</v>
      </c>
      <c r="K103" s="286" t="s">
        <v>278</v>
      </c>
      <c r="L103" s="280" t="s">
        <v>147</v>
      </c>
      <c r="M103" s="280" t="s">
        <v>279</v>
      </c>
      <c r="N103" s="281">
        <v>45758</v>
      </c>
      <c r="O103" s="272" t="s">
        <v>280</v>
      </c>
      <c r="P103" s="321">
        <v>5100</v>
      </c>
      <c r="Q103" s="282">
        <v>45763</v>
      </c>
      <c r="R103" s="280"/>
      <c r="S103" s="283"/>
      <c r="T103" s="283"/>
      <c r="U103" s="283"/>
      <c r="V103" s="287"/>
      <c r="W103" s="288"/>
      <c r="X103" s="80">
        <v>93</v>
      </c>
    </row>
    <row r="104" spans="1:24" s="80" customFormat="1" ht="75" x14ac:dyDescent="0.25">
      <c r="A104" s="292">
        <v>25</v>
      </c>
      <c r="B104" s="289" t="s">
        <v>56</v>
      </c>
      <c r="C104" s="293" t="s">
        <v>147</v>
      </c>
      <c r="D104" s="289" t="s">
        <v>153</v>
      </c>
      <c r="E104" s="293" t="s">
        <v>284</v>
      </c>
      <c r="F104" s="347">
        <v>45758</v>
      </c>
      <c r="G104" s="294" t="s">
        <v>285</v>
      </c>
      <c r="H104" s="295">
        <v>89783</v>
      </c>
      <c r="I104" s="296">
        <f>IF(X104 = 94, H104 + SUM(S104:S104) - SUM(T104:T104) - SUM(P104:P104) - V104,0)</f>
        <v>0</v>
      </c>
      <c r="J104" s="297">
        <v>7329022201</v>
      </c>
      <c r="K104" s="298" t="s">
        <v>286</v>
      </c>
      <c r="L104" s="293" t="s">
        <v>147</v>
      </c>
      <c r="M104" s="293" t="s">
        <v>287</v>
      </c>
      <c r="N104" s="300">
        <v>45762</v>
      </c>
      <c r="O104" s="291" t="s">
        <v>280</v>
      </c>
      <c r="P104" s="323">
        <v>89783</v>
      </c>
      <c r="Q104" s="294">
        <v>45772</v>
      </c>
      <c r="R104" s="293"/>
      <c r="S104" s="295"/>
      <c r="T104" s="295"/>
      <c r="U104" s="295"/>
      <c r="V104" s="299"/>
      <c r="W104" s="290"/>
      <c r="X104" s="80">
        <v>94</v>
      </c>
    </row>
    <row r="105" spans="1:24" s="80" customFormat="1" ht="54" customHeight="1" x14ac:dyDescent="0.25">
      <c r="A105" s="753">
        <v>26</v>
      </c>
      <c r="B105" s="759" t="s">
        <v>56</v>
      </c>
      <c r="C105" s="759" t="s">
        <v>147</v>
      </c>
      <c r="D105" s="759" t="s">
        <v>153</v>
      </c>
      <c r="E105" s="759" t="s">
        <v>318</v>
      </c>
      <c r="F105" s="755">
        <v>45747</v>
      </c>
      <c r="G105" s="765" t="s">
        <v>319</v>
      </c>
      <c r="H105" s="757">
        <v>19040</v>
      </c>
      <c r="I105" s="767">
        <f>IF(X105 = 96, H105 + SUM(S105:S106) - SUM(T105:T106) - SUM(P105:P106) - V105,0)</f>
        <v>0</v>
      </c>
      <c r="J105" s="769">
        <v>235300582900</v>
      </c>
      <c r="K105" s="771" t="s">
        <v>158</v>
      </c>
      <c r="L105" s="759" t="s">
        <v>147</v>
      </c>
      <c r="M105" s="759" t="s">
        <v>320</v>
      </c>
      <c r="N105" s="374">
        <v>45790</v>
      </c>
      <c r="O105" s="755" t="s">
        <v>280</v>
      </c>
      <c r="P105" s="405">
        <v>9016</v>
      </c>
      <c r="Q105" s="369">
        <v>45798</v>
      </c>
      <c r="R105" s="370"/>
      <c r="S105" s="368"/>
      <c r="T105" s="368"/>
      <c r="U105" s="757" t="s">
        <v>353</v>
      </c>
      <c r="V105" s="761">
        <v>4564</v>
      </c>
      <c r="W105" s="763"/>
      <c r="X105" s="80">
        <v>96</v>
      </c>
    </row>
    <row r="106" spans="1:24" s="110" customFormat="1" x14ac:dyDescent="0.25">
      <c r="A106" s="754"/>
      <c r="B106" s="760"/>
      <c r="C106" s="760"/>
      <c r="D106" s="760"/>
      <c r="E106" s="760"/>
      <c r="F106" s="756"/>
      <c r="G106" s="766"/>
      <c r="H106" s="758"/>
      <c r="I106" s="768"/>
      <c r="J106" s="770"/>
      <c r="K106" s="772"/>
      <c r="L106" s="760"/>
      <c r="M106" s="760"/>
      <c r="N106" s="375">
        <v>45807</v>
      </c>
      <c r="O106" s="756"/>
      <c r="P106" s="575">
        <v>5460</v>
      </c>
      <c r="Q106" s="372">
        <v>45814</v>
      </c>
      <c r="R106" s="373"/>
      <c r="S106" s="371"/>
      <c r="T106" s="371"/>
      <c r="U106" s="758"/>
      <c r="V106" s="762"/>
      <c r="W106" s="764"/>
      <c r="X106" s="110">
        <v>96</v>
      </c>
    </row>
    <row r="107" spans="1:24" x14ac:dyDescent="0.25">
      <c r="X107" s="2">
        <v>97</v>
      </c>
    </row>
  </sheetData>
  <sheetProtection algorithmName="SHA-512" hashValue="BifDtKPObTHYz9iJ8XpZU/m6q6KP2YB6LFa4GcBW/rqSyFchhwma1j3tYyRI1fGZIXR7KpIHMR47TByrJp2kIw==" saltValue="Itee8FQJ8tFrNnq4uJUT5A==" spinCount="100000" sheet="1" objects="1" scenarios="1" formatCells="0" formatColumns="0" formatRows="0"/>
  <mergeCells count="309">
    <mergeCell ref="A48:A49"/>
    <mergeCell ref="O48:O49"/>
    <mergeCell ref="U48:U49"/>
    <mergeCell ref="B48:B49"/>
    <mergeCell ref="V48:V49"/>
    <mergeCell ref="C48:C49"/>
    <mergeCell ref="W48:W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A55:A56"/>
    <mergeCell ref="O55:O56"/>
    <mergeCell ref="U55:U56"/>
    <mergeCell ref="B55:B56"/>
    <mergeCell ref="V55:V56"/>
    <mergeCell ref="C55:C56"/>
    <mergeCell ref="W55:W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A100:A101"/>
    <mergeCell ref="O100:O101"/>
    <mergeCell ref="U100:U101"/>
    <mergeCell ref="B100:B101"/>
    <mergeCell ref="V100:V101"/>
    <mergeCell ref="C100:C101"/>
    <mergeCell ref="W100:W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V42:V46"/>
    <mergeCell ref="C42:C46"/>
    <mergeCell ref="W42:W46"/>
    <mergeCell ref="M42:M46"/>
    <mergeCell ref="D42:D46"/>
    <mergeCell ref="E42:E46"/>
    <mergeCell ref="F42:F46"/>
    <mergeCell ref="A50:A54"/>
    <mergeCell ref="O50:O54"/>
    <mergeCell ref="U50:U54"/>
    <mergeCell ref="B50:B54"/>
    <mergeCell ref="V50:V54"/>
    <mergeCell ref="C50:C54"/>
    <mergeCell ref="W50:W54"/>
    <mergeCell ref="D50:D54"/>
    <mergeCell ref="E50:E54"/>
    <mergeCell ref="F50:F54"/>
    <mergeCell ref="G50:G54"/>
    <mergeCell ref="H50:H54"/>
    <mergeCell ref="I50:I54"/>
    <mergeCell ref="J50:J54"/>
    <mergeCell ref="K50:K54"/>
    <mergeCell ref="L50:L54"/>
    <mergeCell ref="M50:M54"/>
    <mergeCell ref="V17:V22"/>
    <mergeCell ref="W17:W22"/>
    <mergeCell ref="E17:E22"/>
    <mergeCell ref="F17:F22"/>
    <mergeCell ref="G17:G22"/>
    <mergeCell ref="H17:H22"/>
    <mergeCell ref="I17:I22"/>
    <mergeCell ref="J17:J22"/>
    <mergeCell ref="K17:K22"/>
    <mergeCell ref="L17:L22"/>
    <mergeCell ref="M17:M22"/>
    <mergeCell ref="V58:V60"/>
    <mergeCell ref="C58:C60"/>
    <mergeCell ref="W58:W60"/>
    <mergeCell ref="D58:D60"/>
    <mergeCell ref="M58:M60"/>
    <mergeCell ref="V72:V74"/>
    <mergeCell ref="C72:C74"/>
    <mergeCell ref="W72:W74"/>
    <mergeCell ref="D72:D74"/>
    <mergeCell ref="E72:E74"/>
    <mergeCell ref="F72:F74"/>
    <mergeCell ref="G72:G74"/>
    <mergeCell ref="H72:H74"/>
    <mergeCell ref="I72:I74"/>
    <mergeCell ref="O67:O71"/>
    <mergeCell ref="U67:U71"/>
    <mergeCell ref="V67:V71"/>
    <mergeCell ref="C67:C71"/>
    <mergeCell ref="W67:W71"/>
    <mergeCell ref="D67:D71"/>
    <mergeCell ref="E67:E71"/>
    <mergeCell ref="F67:F71"/>
    <mergeCell ref="G67:G71"/>
    <mergeCell ref="H67:H71"/>
    <mergeCell ref="A9:A16"/>
    <mergeCell ref="A42:A46"/>
    <mergeCell ref="O42:O46"/>
    <mergeCell ref="U42:U46"/>
    <mergeCell ref="B42:B46"/>
    <mergeCell ref="O9:O16"/>
    <mergeCell ref="U9:U16"/>
    <mergeCell ref="B9:B16"/>
    <mergeCell ref="G42:G46"/>
    <mergeCell ref="H42:H46"/>
    <mergeCell ref="I42:I46"/>
    <mergeCell ref="J42:J46"/>
    <mergeCell ref="K42:K46"/>
    <mergeCell ref="L42:L46"/>
    <mergeCell ref="A17:A22"/>
    <mergeCell ref="C17:C22"/>
    <mergeCell ref="D17:D22"/>
    <mergeCell ref="A35:A40"/>
    <mergeCell ref="B35:B40"/>
    <mergeCell ref="J35:J40"/>
    <mergeCell ref="K35:K40"/>
    <mergeCell ref="A23:A28"/>
    <mergeCell ref="A29:A34"/>
    <mergeCell ref="S2:U2"/>
    <mergeCell ref="F2:G2"/>
    <mergeCell ref="N2:O2"/>
    <mergeCell ref="B58:B60"/>
    <mergeCell ref="E58:E60"/>
    <mergeCell ref="F58:F60"/>
    <mergeCell ref="G58:G60"/>
    <mergeCell ref="H58:H60"/>
    <mergeCell ref="I58:I60"/>
    <mergeCell ref="J58:J60"/>
    <mergeCell ref="K58:K60"/>
    <mergeCell ref="L58:L60"/>
    <mergeCell ref="O17:O22"/>
    <mergeCell ref="U17:U22"/>
    <mergeCell ref="B17:B22"/>
    <mergeCell ref="B23:B28"/>
    <mergeCell ref="C23:C28"/>
    <mergeCell ref="B29:B34"/>
    <mergeCell ref="O35:O40"/>
    <mergeCell ref="U35:U40"/>
    <mergeCell ref="L72:L74"/>
    <mergeCell ref="M72:M74"/>
    <mergeCell ref="O72:O74"/>
    <mergeCell ref="U72:U74"/>
    <mergeCell ref="A67:A71"/>
    <mergeCell ref="B67:B71"/>
    <mergeCell ref="I67:I71"/>
    <mergeCell ref="J67:J71"/>
    <mergeCell ref="K67:K71"/>
    <mergeCell ref="L67:L71"/>
    <mergeCell ref="M67:M71"/>
    <mergeCell ref="W75:W77"/>
    <mergeCell ref="F75:F77"/>
    <mergeCell ref="G75:G77"/>
    <mergeCell ref="H75:H77"/>
    <mergeCell ref="I75:I77"/>
    <mergeCell ref="J75:J77"/>
    <mergeCell ref="K75:K77"/>
    <mergeCell ref="L75:L77"/>
    <mergeCell ref="M75:M77"/>
    <mergeCell ref="O75:O77"/>
    <mergeCell ref="U75:U77"/>
    <mergeCell ref="V9:V16"/>
    <mergeCell ref="C9:C16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A105:A106"/>
    <mergeCell ref="O105:O106"/>
    <mergeCell ref="U105:U106"/>
    <mergeCell ref="B105:B106"/>
    <mergeCell ref="V105:V106"/>
    <mergeCell ref="C105:C106"/>
    <mergeCell ref="W105:W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W84:W99"/>
    <mergeCell ref="D84:D99"/>
    <mergeCell ref="E84:E99"/>
    <mergeCell ref="F84:F99"/>
    <mergeCell ref="G84:G99"/>
    <mergeCell ref="H84:H99"/>
    <mergeCell ref="I84:I99"/>
    <mergeCell ref="J84:J99"/>
    <mergeCell ref="K84:K99"/>
    <mergeCell ref="L84:L99"/>
    <mergeCell ref="M84:M99"/>
    <mergeCell ref="L35:L40"/>
    <mergeCell ref="M35:M40"/>
    <mergeCell ref="O29:O34"/>
    <mergeCell ref="U29:U34"/>
    <mergeCell ref="V29:V34"/>
    <mergeCell ref="A84:A99"/>
    <mergeCell ref="O84:O99"/>
    <mergeCell ref="U84:U99"/>
    <mergeCell ref="B84:B99"/>
    <mergeCell ref="V84:V99"/>
    <mergeCell ref="C84:C99"/>
    <mergeCell ref="V75:V77"/>
    <mergeCell ref="D75:D77"/>
    <mergeCell ref="A75:A77"/>
    <mergeCell ref="B75:B77"/>
    <mergeCell ref="C75:C77"/>
    <mergeCell ref="E75:E77"/>
    <mergeCell ref="A58:A60"/>
    <mergeCell ref="O58:O60"/>
    <mergeCell ref="U58:U60"/>
    <mergeCell ref="A72:A74"/>
    <mergeCell ref="B72:B74"/>
    <mergeCell ref="J72:J74"/>
    <mergeCell ref="K72:K74"/>
    <mergeCell ref="W29:W34"/>
    <mergeCell ref="D29:D34"/>
    <mergeCell ref="E29:E34"/>
    <mergeCell ref="F29:F34"/>
    <mergeCell ref="G29:G34"/>
    <mergeCell ref="H29:H34"/>
    <mergeCell ref="I29:I34"/>
    <mergeCell ref="J29:J34"/>
    <mergeCell ref="K29:K34"/>
    <mergeCell ref="L29:L34"/>
    <mergeCell ref="M29:M34"/>
    <mergeCell ref="A79:A82"/>
    <mergeCell ref="O79:O82"/>
    <mergeCell ref="U79:U82"/>
    <mergeCell ref="B79:B82"/>
    <mergeCell ref="V79:V82"/>
    <mergeCell ref="C79:C82"/>
    <mergeCell ref="W79:W82"/>
    <mergeCell ref="D79:D82"/>
    <mergeCell ref="E79:E82"/>
    <mergeCell ref="F79:F82"/>
    <mergeCell ref="G79:G82"/>
    <mergeCell ref="H79:H82"/>
    <mergeCell ref="I79:I82"/>
    <mergeCell ref="J79:J82"/>
    <mergeCell ref="K79:K82"/>
    <mergeCell ref="L79:L82"/>
    <mergeCell ref="M79:M82"/>
    <mergeCell ref="A61:A66"/>
    <mergeCell ref="O61:O66"/>
    <mergeCell ref="U61:U66"/>
    <mergeCell ref="B61:B66"/>
    <mergeCell ref="V61:V66"/>
    <mergeCell ref="C61:C66"/>
    <mergeCell ref="W61:W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V35:V40"/>
    <mergeCell ref="C35:C40"/>
    <mergeCell ref="W23:W28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  <mergeCell ref="M23:M28"/>
    <mergeCell ref="O23:O28"/>
    <mergeCell ref="U23:U28"/>
    <mergeCell ref="V23:V28"/>
    <mergeCell ref="W35:W40"/>
    <mergeCell ref="D35:D40"/>
    <mergeCell ref="E35:E40"/>
    <mergeCell ref="F35:F40"/>
    <mergeCell ref="G35:G40"/>
    <mergeCell ref="H35:H40"/>
    <mergeCell ref="I35:I40"/>
    <mergeCell ref="C29:C34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8"/>
  <sheetViews>
    <sheetView showGridLines="0" topLeftCell="E1" zoomScale="50" zoomScaleNormal="50" workbookViewId="0">
      <pane ySplit="8" topLeftCell="A15" activePane="bottomLeft" state="frozen"/>
      <selection pane="bottomLeft" activeCell="N24" sqref="N24"/>
    </sheetView>
  </sheetViews>
  <sheetFormatPr defaultColWidth="0" defaultRowHeight="18.75" x14ac:dyDescent="0.25"/>
  <cols>
    <col min="1" max="1" width="8.425781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425781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5703125" style="10" customWidth="1"/>
    <col min="15" max="16" width="24.425781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875" t="s">
        <v>24</v>
      </c>
      <c r="F2" s="876"/>
      <c r="G2" s="75">
        <f>SUM(G9:G9999)</f>
        <v>1357561.54</v>
      </c>
      <c r="L2" s="1110" t="s">
        <v>137</v>
      </c>
      <c r="M2" s="1111"/>
      <c r="N2" s="66">
        <f>SUM(N9:N9999)</f>
        <v>1187214.02</v>
      </c>
      <c r="P2" s="65"/>
      <c r="Q2" s="650" t="s">
        <v>45</v>
      </c>
      <c r="R2" s="651"/>
      <c r="S2" s="652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127">
        <v>1</v>
      </c>
      <c r="B9" s="1118" t="s">
        <v>210</v>
      </c>
      <c r="C9" s="1118" t="s">
        <v>153</v>
      </c>
      <c r="D9" s="1118" t="s">
        <v>211</v>
      </c>
      <c r="E9" s="1136">
        <v>45649</v>
      </c>
      <c r="F9" s="1130" t="s">
        <v>212</v>
      </c>
      <c r="G9" s="1133">
        <v>774185.67</v>
      </c>
      <c r="H9" s="1112">
        <f>IF(V9 = 2, G9 + SUM(Q9:Q23) - SUM(R9:R23) - SUM(N9:N23) - T9,0)</f>
        <v>575943.84999999986</v>
      </c>
      <c r="I9" s="1115">
        <v>2308119595</v>
      </c>
      <c r="J9" s="1118" t="s">
        <v>213</v>
      </c>
      <c r="K9" s="1118" t="s">
        <v>194</v>
      </c>
      <c r="L9" s="525">
        <v>45688</v>
      </c>
      <c r="M9" s="1118" t="s">
        <v>214</v>
      </c>
      <c r="N9" s="517">
        <v>131391.35999999999</v>
      </c>
      <c r="O9" s="525">
        <v>45702</v>
      </c>
      <c r="P9" s="518"/>
      <c r="Q9" s="519"/>
      <c r="R9" s="519"/>
      <c r="S9" s="1130"/>
      <c r="T9" s="1133"/>
      <c r="U9" s="1139"/>
      <c r="V9" s="80">
        <v>2</v>
      </c>
    </row>
    <row r="10" spans="1:22" s="110" customFormat="1" x14ac:dyDescent="0.25">
      <c r="A10" s="1128"/>
      <c r="B10" s="1119"/>
      <c r="C10" s="1119"/>
      <c r="D10" s="1119"/>
      <c r="E10" s="1137"/>
      <c r="F10" s="1131"/>
      <c r="G10" s="1134"/>
      <c r="H10" s="1113"/>
      <c r="I10" s="1116"/>
      <c r="J10" s="1119"/>
      <c r="K10" s="1119"/>
      <c r="L10" s="526">
        <v>45689</v>
      </c>
      <c r="M10" s="1119"/>
      <c r="N10" s="520">
        <v>47789.14</v>
      </c>
      <c r="O10" s="526">
        <v>45701</v>
      </c>
      <c r="P10" s="521"/>
      <c r="Q10" s="522"/>
      <c r="R10" s="522"/>
      <c r="S10" s="1131"/>
      <c r="T10" s="1134"/>
      <c r="U10" s="1140"/>
      <c r="V10" s="110">
        <v>2</v>
      </c>
    </row>
    <row r="11" spans="1:22" s="110" customFormat="1" x14ac:dyDescent="0.25">
      <c r="A11" s="1128"/>
      <c r="B11" s="1119"/>
      <c r="C11" s="1119"/>
      <c r="D11" s="1119"/>
      <c r="E11" s="1137"/>
      <c r="F11" s="1131"/>
      <c r="G11" s="1134"/>
      <c r="H11" s="1113"/>
      <c r="I11" s="1116"/>
      <c r="J11" s="1119"/>
      <c r="K11" s="1119"/>
      <c r="L11" s="526">
        <v>45689</v>
      </c>
      <c r="M11" s="1119"/>
      <c r="N11" s="520">
        <v>57392.959999999999</v>
      </c>
      <c r="O11" s="526">
        <v>45702</v>
      </c>
      <c r="P11" s="521" t="s">
        <v>270</v>
      </c>
      <c r="Q11" s="522">
        <v>425814.33</v>
      </c>
      <c r="R11" s="522"/>
      <c r="S11" s="1131"/>
      <c r="T11" s="1134"/>
      <c r="U11" s="1140"/>
      <c r="V11" s="110">
        <v>2</v>
      </c>
    </row>
    <row r="12" spans="1:22" s="110" customFormat="1" x14ac:dyDescent="0.25">
      <c r="A12" s="1128"/>
      <c r="B12" s="1119"/>
      <c r="C12" s="1119"/>
      <c r="D12" s="1119"/>
      <c r="E12" s="1137"/>
      <c r="F12" s="1131"/>
      <c r="G12" s="1134"/>
      <c r="H12" s="1113"/>
      <c r="I12" s="1116"/>
      <c r="J12" s="1119"/>
      <c r="K12" s="1119"/>
      <c r="L12" s="526">
        <v>45716</v>
      </c>
      <c r="M12" s="1119"/>
      <c r="N12" s="520">
        <v>58771.25</v>
      </c>
      <c r="O12" s="526">
        <v>45734</v>
      </c>
      <c r="P12" s="521"/>
      <c r="Q12" s="522"/>
      <c r="R12" s="522"/>
      <c r="S12" s="1131"/>
      <c r="T12" s="1134"/>
      <c r="U12" s="1140"/>
      <c r="V12" s="110">
        <v>2</v>
      </c>
    </row>
    <row r="13" spans="1:22" s="110" customFormat="1" x14ac:dyDescent="0.25">
      <c r="A13" s="1128"/>
      <c r="B13" s="1119"/>
      <c r="C13" s="1119"/>
      <c r="D13" s="1119"/>
      <c r="E13" s="1137"/>
      <c r="F13" s="1131"/>
      <c r="G13" s="1134"/>
      <c r="H13" s="1113"/>
      <c r="I13" s="1116"/>
      <c r="J13" s="1119"/>
      <c r="K13" s="1119"/>
      <c r="L13" s="526">
        <v>45717</v>
      </c>
      <c r="M13" s="1119"/>
      <c r="N13" s="520">
        <v>43037.59</v>
      </c>
      <c r="O13" s="526">
        <v>45719</v>
      </c>
      <c r="P13" s="521"/>
      <c r="Q13" s="522"/>
      <c r="R13" s="522"/>
      <c r="S13" s="1131"/>
      <c r="T13" s="1134"/>
      <c r="U13" s="1140"/>
      <c r="V13" s="110">
        <v>2</v>
      </c>
    </row>
    <row r="14" spans="1:22" s="110" customFormat="1" x14ac:dyDescent="0.25">
      <c r="A14" s="1128"/>
      <c r="B14" s="1119"/>
      <c r="C14" s="1119"/>
      <c r="D14" s="1119"/>
      <c r="E14" s="1137"/>
      <c r="F14" s="1131"/>
      <c r="G14" s="1134"/>
      <c r="H14" s="1113"/>
      <c r="I14" s="1116"/>
      <c r="J14" s="1119"/>
      <c r="K14" s="1119"/>
      <c r="L14" s="526">
        <v>45717</v>
      </c>
      <c r="M14" s="1119"/>
      <c r="N14" s="520">
        <v>71393.53</v>
      </c>
      <c r="O14" s="526">
        <v>45734</v>
      </c>
      <c r="P14" s="521"/>
      <c r="Q14" s="522"/>
      <c r="R14" s="522"/>
      <c r="S14" s="1131"/>
      <c r="T14" s="1134"/>
      <c r="U14" s="1140"/>
      <c r="V14" s="110">
        <v>2</v>
      </c>
    </row>
    <row r="15" spans="1:22" s="110" customFormat="1" x14ac:dyDescent="0.25">
      <c r="A15" s="1128"/>
      <c r="B15" s="1119"/>
      <c r="C15" s="1119"/>
      <c r="D15" s="1119"/>
      <c r="E15" s="1137"/>
      <c r="F15" s="1131"/>
      <c r="G15" s="1134"/>
      <c r="H15" s="1113"/>
      <c r="I15" s="1116"/>
      <c r="J15" s="1119"/>
      <c r="K15" s="1119"/>
      <c r="L15" s="526">
        <v>45747</v>
      </c>
      <c r="M15" s="1119"/>
      <c r="N15" s="520">
        <v>3534.4</v>
      </c>
      <c r="O15" s="526">
        <v>45763</v>
      </c>
      <c r="P15" s="521"/>
      <c r="Q15" s="522"/>
      <c r="R15" s="522"/>
      <c r="S15" s="1131"/>
      <c r="T15" s="1134"/>
      <c r="U15" s="1140"/>
      <c r="V15" s="110">
        <v>2</v>
      </c>
    </row>
    <row r="16" spans="1:22" s="110" customFormat="1" x14ac:dyDescent="0.25">
      <c r="A16" s="1128"/>
      <c r="B16" s="1119"/>
      <c r="C16" s="1119"/>
      <c r="D16" s="1119"/>
      <c r="E16" s="1137"/>
      <c r="F16" s="1131"/>
      <c r="G16" s="1134"/>
      <c r="H16" s="1113"/>
      <c r="I16" s="1116"/>
      <c r="J16" s="1119"/>
      <c r="K16" s="1119"/>
      <c r="L16" s="526">
        <v>45748</v>
      </c>
      <c r="M16" s="1119"/>
      <c r="N16" s="520">
        <v>53545.15</v>
      </c>
      <c r="O16" s="526">
        <v>45748</v>
      </c>
      <c r="P16" s="521"/>
      <c r="Q16" s="522"/>
      <c r="R16" s="522"/>
      <c r="S16" s="1131"/>
      <c r="T16" s="1134"/>
      <c r="U16" s="1140"/>
      <c r="V16" s="110">
        <v>2</v>
      </c>
    </row>
    <row r="17" spans="1:22" s="110" customFormat="1" x14ac:dyDescent="0.25">
      <c r="A17" s="1128"/>
      <c r="B17" s="1119"/>
      <c r="C17" s="1119"/>
      <c r="D17" s="1119"/>
      <c r="E17" s="1137"/>
      <c r="F17" s="1131"/>
      <c r="G17" s="1134"/>
      <c r="H17" s="1113"/>
      <c r="I17" s="1116"/>
      <c r="J17" s="1119"/>
      <c r="K17" s="1119"/>
      <c r="L17" s="526">
        <v>45748</v>
      </c>
      <c r="M17" s="1119"/>
      <c r="N17" s="520">
        <v>47181</v>
      </c>
      <c r="O17" s="526">
        <v>45763</v>
      </c>
      <c r="P17" s="521"/>
      <c r="Q17" s="522"/>
      <c r="R17" s="522"/>
      <c r="S17" s="1131"/>
      <c r="T17" s="1134"/>
      <c r="U17" s="1140"/>
      <c r="V17" s="110">
        <v>2</v>
      </c>
    </row>
    <row r="18" spans="1:22" s="110" customFormat="1" x14ac:dyDescent="0.25">
      <c r="A18" s="1128"/>
      <c r="B18" s="1119"/>
      <c r="C18" s="1119"/>
      <c r="D18" s="1119"/>
      <c r="E18" s="1137"/>
      <c r="F18" s="1131"/>
      <c r="G18" s="1134"/>
      <c r="H18" s="1113"/>
      <c r="I18" s="1116"/>
      <c r="J18" s="1119"/>
      <c r="K18" s="1119"/>
      <c r="L18" s="526">
        <v>45778</v>
      </c>
      <c r="M18" s="1119"/>
      <c r="N18" s="520">
        <v>35385.760000000002</v>
      </c>
      <c r="O18" s="526">
        <v>45782</v>
      </c>
      <c r="P18" s="521"/>
      <c r="Q18" s="522"/>
      <c r="R18" s="522"/>
      <c r="S18" s="1131"/>
      <c r="T18" s="1134"/>
      <c r="U18" s="1140"/>
      <c r="V18" s="110">
        <v>2</v>
      </c>
    </row>
    <row r="19" spans="1:22" s="110" customFormat="1" x14ac:dyDescent="0.25">
      <c r="A19" s="1128"/>
      <c r="B19" s="1119"/>
      <c r="C19" s="1119"/>
      <c r="D19" s="1119"/>
      <c r="E19" s="1137"/>
      <c r="F19" s="1131"/>
      <c r="G19" s="1134"/>
      <c r="H19" s="1113"/>
      <c r="I19" s="1116"/>
      <c r="J19" s="1119"/>
      <c r="K19" s="1119"/>
      <c r="L19" s="526">
        <v>45778</v>
      </c>
      <c r="M19" s="1119"/>
      <c r="N19" s="520">
        <v>25606.9</v>
      </c>
      <c r="O19" s="526">
        <v>45791</v>
      </c>
      <c r="P19" s="521"/>
      <c r="Q19" s="522"/>
      <c r="R19" s="522"/>
      <c r="S19" s="1131"/>
      <c r="T19" s="1134"/>
      <c r="U19" s="1140"/>
      <c r="V19" s="110">
        <v>2</v>
      </c>
    </row>
    <row r="20" spans="1:22" s="110" customFormat="1" x14ac:dyDescent="0.25">
      <c r="A20" s="1128"/>
      <c r="B20" s="1119"/>
      <c r="C20" s="1119"/>
      <c r="D20" s="1119"/>
      <c r="E20" s="1137"/>
      <c r="F20" s="1131"/>
      <c r="G20" s="1134"/>
      <c r="H20" s="1113"/>
      <c r="I20" s="1116"/>
      <c r="J20" s="1119"/>
      <c r="K20" s="1119"/>
      <c r="L20" s="526">
        <v>45809</v>
      </c>
      <c r="M20" s="1119"/>
      <c r="N20" s="520">
        <v>19205.169999999998</v>
      </c>
      <c r="O20" s="526">
        <v>45810</v>
      </c>
      <c r="P20" s="521"/>
      <c r="Q20" s="522"/>
      <c r="R20" s="522"/>
      <c r="S20" s="1131"/>
      <c r="T20" s="1134"/>
      <c r="U20" s="1140"/>
      <c r="V20" s="110">
        <v>2</v>
      </c>
    </row>
    <row r="21" spans="1:22" s="110" customFormat="1" x14ac:dyDescent="0.25">
      <c r="A21" s="1128"/>
      <c r="B21" s="1119"/>
      <c r="C21" s="1119"/>
      <c r="D21" s="1119"/>
      <c r="E21" s="1137"/>
      <c r="F21" s="1131"/>
      <c r="G21" s="1134"/>
      <c r="H21" s="1113"/>
      <c r="I21" s="1116"/>
      <c r="J21" s="1119"/>
      <c r="K21" s="1119"/>
      <c r="L21" s="526">
        <v>45809</v>
      </c>
      <c r="M21" s="1119"/>
      <c r="N21" s="520">
        <v>16420.03</v>
      </c>
      <c r="O21" s="526">
        <v>45828</v>
      </c>
      <c r="P21" s="521"/>
      <c r="Q21" s="522"/>
      <c r="R21" s="522"/>
      <c r="S21" s="1131"/>
      <c r="T21" s="1134"/>
      <c r="U21" s="1140"/>
      <c r="V21" s="110">
        <v>2</v>
      </c>
    </row>
    <row r="22" spans="1:22" s="110" customFormat="1" x14ac:dyDescent="0.25">
      <c r="A22" s="1128"/>
      <c r="B22" s="1119"/>
      <c r="C22" s="1119"/>
      <c r="D22" s="1119"/>
      <c r="E22" s="1137"/>
      <c r="F22" s="1131"/>
      <c r="G22" s="1134"/>
      <c r="H22" s="1113"/>
      <c r="I22" s="1116"/>
      <c r="J22" s="1119"/>
      <c r="K22" s="1119"/>
      <c r="L22" s="526">
        <v>45838</v>
      </c>
      <c r="M22" s="1119"/>
      <c r="N22" s="522"/>
      <c r="O22" s="526"/>
      <c r="P22" s="521"/>
      <c r="Q22" s="522"/>
      <c r="R22" s="522"/>
      <c r="S22" s="1131"/>
      <c r="T22" s="1134"/>
      <c r="U22" s="1140"/>
      <c r="V22" s="110">
        <v>2</v>
      </c>
    </row>
    <row r="23" spans="1:22" s="110" customFormat="1" x14ac:dyDescent="0.25">
      <c r="A23" s="1129"/>
      <c r="B23" s="1120"/>
      <c r="C23" s="1120"/>
      <c r="D23" s="1120"/>
      <c r="E23" s="1138"/>
      <c r="F23" s="1132"/>
      <c r="G23" s="1135"/>
      <c r="H23" s="1114"/>
      <c r="I23" s="1117"/>
      <c r="J23" s="1120"/>
      <c r="K23" s="1120"/>
      <c r="L23" s="527">
        <v>45839</v>
      </c>
      <c r="M23" s="1120"/>
      <c r="N23" s="523">
        <v>13401.91</v>
      </c>
      <c r="O23" s="527"/>
      <c r="P23" s="524"/>
      <c r="Q23" s="523"/>
      <c r="R23" s="523"/>
      <c r="S23" s="1132"/>
      <c r="T23" s="1135"/>
      <c r="U23" s="1141"/>
      <c r="V23" s="110">
        <v>2</v>
      </c>
    </row>
    <row r="24" spans="1:22" s="80" customFormat="1" ht="54" customHeight="1" x14ac:dyDescent="0.25">
      <c r="A24" s="1121">
        <v>2</v>
      </c>
      <c r="B24" s="1123" t="s">
        <v>297</v>
      </c>
      <c r="C24" s="1123" t="s">
        <v>153</v>
      </c>
      <c r="D24" s="1123" t="s">
        <v>236</v>
      </c>
      <c r="E24" s="1144">
        <v>45708</v>
      </c>
      <c r="F24" s="1125" t="s">
        <v>237</v>
      </c>
      <c r="G24" s="1146">
        <v>498597.22</v>
      </c>
      <c r="H24" s="1148">
        <f>IF(V24 = 3, G24 + SUM(Q24:Q25) - SUM(R24:R25) - SUM(N24:N25) - T24,0)</f>
        <v>-5.8207660913467407E-11</v>
      </c>
      <c r="I24" s="1150">
        <v>7715995942</v>
      </c>
      <c r="J24" s="1123" t="s">
        <v>239</v>
      </c>
      <c r="K24" s="1123" t="s">
        <v>240</v>
      </c>
      <c r="L24" s="229">
        <v>45749</v>
      </c>
      <c r="M24" s="1123" t="s">
        <v>241</v>
      </c>
      <c r="N24" s="314">
        <v>401134.14</v>
      </c>
      <c r="O24" s="229">
        <v>45772</v>
      </c>
      <c r="P24" s="225"/>
      <c r="Q24" s="226"/>
      <c r="R24" s="226"/>
      <c r="S24" s="1125"/>
      <c r="T24" s="1146"/>
      <c r="U24" s="1142"/>
      <c r="V24" s="80">
        <v>3</v>
      </c>
    </row>
    <row r="25" spans="1:22" s="110" customFormat="1" x14ac:dyDescent="0.25">
      <c r="A25" s="1122"/>
      <c r="B25" s="1124"/>
      <c r="C25" s="1124"/>
      <c r="D25" s="1124"/>
      <c r="E25" s="1145"/>
      <c r="F25" s="1126"/>
      <c r="G25" s="1147"/>
      <c r="H25" s="1149"/>
      <c r="I25" s="1151"/>
      <c r="J25" s="1124"/>
      <c r="K25" s="1124"/>
      <c r="L25" s="230">
        <v>45781</v>
      </c>
      <c r="M25" s="1124"/>
      <c r="N25" s="402">
        <v>97463.08</v>
      </c>
      <c r="O25" s="230">
        <v>45806</v>
      </c>
      <c r="P25" s="228"/>
      <c r="Q25" s="227"/>
      <c r="R25" s="227"/>
      <c r="S25" s="1126"/>
      <c r="T25" s="1147"/>
      <c r="U25" s="1143"/>
      <c r="V25" s="110">
        <v>3</v>
      </c>
    </row>
    <row r="26" spans="1:22" s="80" customFormat="1" ht="75" x14ac:dyDescent="0.25">
      <c r="A26" s="198">
        <v>3</v>
      </c>
      <c r="B26" s="190" t="s">
        <v>298</v>
      </c>
      <c r="C26" s="190" t="s">
        <v>153</v>
      </c>
      <c r="D26" s="190" t="s">
        <v>238</v>
      </c>
      <c r="E26" s="199">
        <v>45713</v>
      </c>
      <c r="F26" s="196" t="s">
        <v>237</v>
      </c>
      <c r="G26" s="192">
        <v>64560.65</v>
      </c>
      <c r="H26" s="193">
        <f>IF(V26 = 4, G26 + SUM(Q26:Q26) - SUM(R26:R26) - SUM(N26:N26) - T26,0)</f>
        <v>0</v>
      </c>
      <c r="I26" s="197">
        <v>7715995942</v>
      </c>
      <c r="J26" s="195" t="s">
        <v>239</v>
      </c>
      <c r="K26" s="195" t="s">
        <v>294</v>
      </c>
      <c r="L26" s="199">
        <v>45781</v>
      </c>
      <c r="M26" s="195" t="s">
        <v>241</v>
      </c>
      <c r="N26" s="403">
        <v>64560.65</v>
      </c>
      <c r="O26" s="199">
        <v>45806</v>
      </c>
      <c r="P26" s="191"/>
      <c r="Q26" s="192"/>
      <c r="R26" s="192"/>
      <c r="S26" s="191"/>
      <c r="T26" s="192"/>
      <c r="U26" s="194"/>
      <c r="V26" s="80">
        <v>4</v>
      </c>
    </row>
    <row r="27" spans="1:22" s="80" customFormat="1" ht="75" x14ac:dyDescent="0.25">
      <c r="A27" s="315">
        <v>4</v>
      </c>
      <c r="B27" s="309" t="s">
        <v>296</v>
      </c>
      <c r="C27" s="190" t="s">
        <v>153</v>
      </c>
      <c r="D27" s="309" t="s">
        <v>293</v>
      </c>
      <c r="E27" s="317">
        <v>45771</v>
      </c>
      <c r="F27" s="196" t="s">
        <v>237</v>
      </c>
      <c r="G27" s="312">
        <v>20218</v>
      </c>
      <c r="H27" s="313">
        <f>IF(V27 = 5, G27 + SUM(Q27:Q27) - SUM(R27:R27) - SUM(N27:N27) - T27,0)</f>
        <v>20218</v>
      </c>
      <c r="I27" s="316">
        <v>7715995942</v>
      </c>
      <c r="J27" s="195" t="s">
        <v>239</v>
      </c>
      <c r="K27" s="309" t="s">
        <v>295</v>
      </c>
      <c r="L27" s="317"/>
      <c r="M27" s="195" t="s">
        <v>241</v>
      </c>
      <c r="N27" s="312"/>
      <c r="O27" s="317"/>
      <c r="P27" s="311"/>
      <c r="Q27" s="312"/>
      <c r="R27" s="312"/>
      <c r="S27" s="311"/>
      <c r="T27" s="312"/>
      <c r="U27" s="310"/>
      <c r="V27" s="80">
        <v>5</v>
      </c>
    </row>
    <row r="28" spans="1:22" x14ac:dyDescent="0.25">
      <c r="V28" s="2">
        <v>6</v>
      </c>
    </row>
  </sheetData>
  <sheetProtection algorithmName="SHA-512" hashValue="OwP8vZQaxgTWZhs3O8c0oyFM6vilbYUD1+sA4X6Byr06hnXgowc0D05QBmja63bz4ficPqmLLoiNm497aplYhA==" saltValue="F+oq75kJgeKam+9V2B+Bgg==" spinCount="100000" sheet="1" objects="1" scenarios="1" formatCells="0" formatColumns="0" formatRows="0"/>
  <mergeCells count="33">
    <mergeCell ref="U9:U23"/>
    <mergeCell ref="U24:U25"/>
    <mergeCell ref="D24:D25"/>
    <mergeCell ref="E24:E25"/>
    <mergeCell ref="F24:F25"/>
    <mergeCell ref="G24:G25"/>
    <mergeCell ref="H24:H25"/>
    <mergeCell ref="I24:I25"/>
    <mergeCell ref="J24:J25"/>
    <mergeCell ref="K24:K25"/>
    <mergeCell ref="T24:T25"/>
    <mergeCell ref="M9:M23"/>
    <mergeCell ref="S9:S23"/>
    <mergeCell ref="T9:T23"/>
    <mergeCell ref="D9:D23"/>
    <mergeCell ref="J9:J23"/>
    <mergeCell ref="A9:A23"/>
    <mergeCell ref="B9:B23"/>
    <mergeCell ref="C9:C23"/>
    <mergeCell ref="F9:F23"/>
    <mergeCell ref="G9:G23"/>
    <mergeCell ref="E9:E23"/>
    <mergeCell ref="A24:A25"/>
    <mergeCell ref="M24:M25"/>
    <mergeCell ref="S24:S25"/>
    <mergeCell ref="B24:B25"/>
    <mergeCell ref="C24:C25"/>
    <mergeCell ref="Q2:S2"/>
    <mergeCell ref="E2:F2"/>
    <mergeCell ref="L2:M2"/>
    <mergeCell ref="H9:H23"/>
    <mergeCell ref="I9:I23"/>
    <mergeCell ref="K9:K2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5"/>
  <sheetViews>
    <sheetView showGridLines="0" zoomScale="50" zoomScaleNormal="50" workbookViewId="0">
      <pane ySplit="8" topLeftCell="A9" activePane="bottomLeft" state="frozen"/>
      <selection pane="bottomLeft" activeCell="A14" sqref="A14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5703125" style="3" customWidth="1"/>
    <col min="4" max="6" width="33.5703125" style="3" customWidth="1"/>
    <col min="7" max="8" width="22.42578125" style="10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42578125" style="11" customWidth="1"/>
    <col min="21" max="21" width="27.570312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570312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75" t="s">
        <v>139</v>
      </c>
      <c r="F2" s="876"/>
      <c r="G2" s="77">
        <f>SUM(G9:G9999)</f>
        <v>1339144.2</v>
      </c>
      <c r="O2" s="875" t="s">
        <v>24</v>
      </c>
      <c r="P2" s="876"/>
      <c r="Q2" s="75">
        <f>SUM(Q9:Q9999)</f>
        <v>1272465</v>
      </c>
      <c r="T2" s="650" t="s">
        <v>137</v>
      </c>
      <c r="U2" s="652"/>
      <c r="V2" s="66">
        <f>SUM(V9:V9999)</f>
        <v>674200.8</v>
      </c>
      <c r="X2" s="65"/>
      <c r="Y2" s="650" t="s">
        <v>45</v>
      </c>
      <c r="Z2" s="651"/>
      <c r="AA2" s="652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35" customHeight="1" x14ac:dyDescent="0.25">
      <c r="A9" s="1152">
        <v>1</v>
      </c>
      <c r="B9" s="1155" t="s">
        <v>56</v>
      </c>
      <c r="C9" s="1155" t="s">
        <v>215</v>
      </c>
      <c r="D9" s="1155" t="s">
        <v>153</v>
      </c>
      <c r="E9" s="1155" t="s">
        <v>216</v>
      </c>
      <c r="F9" s="1155" t="s">
        <v>150</v>
      </c>
      <c r="G9" s="1164">
        <v>740880</v>
      </c>
      <c r="H9" s="1167">
        <f>IF(AD9 = 1, G9 - Q9,0)</f>
        <v>66679.199999999953</v>
      </c>
      <c r="I9" s="1164">
        <v>2</v>
      </c>
      <c r="J9" s="1164">
        <v>0</v>
      </c>
      <c r="K9" s="1155" t="s">
        <v>174</v>
      </c>
      <c r="L9" s="1155" t="s">
        <v>217</v>
      </c>
      <c r="M9" s="1155" t="s">
        <v>216</v>
      </c>
      <c r="N9" s="1176">
        <v>45649</v>
      </c>
      <c r="O9" s="1155" t="s">
        <v>193</v>
      </c>
      <c r="P9" s="1155" t="s">
        <v>151</v>
      </c>
      <c r="Q9" s="1164">
        <v>674200.8</v>
      </c>
      <c r="R9" s="1167">
        <f>IF(AD9 = 1, Q9 + SUM(Y9:Y13) - SUM(Z9:Z13) - SUM(V9:V13) - AB9,0)</f>
        <v>0</v>
      </c>
      <c r="S9" s="1155" t="s">
        <v>218</v>
      </c>
      <c r="T9" s="398">
        <v>45692</v>
      </c>
      <c r="U9" s="1158" t="s">
        <v>152</v>
      </c>
      <c r="V9" s="390">
        <v>142178.4</v>
      </c>
      <c r="W9" s="401">
        <v>45700</v>
      </c>
      <c r="X9" s="391"/>
      <c r="Y9" s="392"/>
      <c r="Z9" s="392"/>
      <c r="AA9" s="1161"/>
      <c r="AB9" s="1170"/>
      <c r="AC9" s="1173"/>
      <c r="AD9" s="80">
        <v>1</v>
      </c>
    </row>
    <row r="10" spans="1:30" s="110" customFormat="1" x14ac:dyDescent="0.25">
      <c r="A10" s="1153"/>
      <c r="B10" s="1156"/>
      <c r="C10" s="1156"/>
      <c r="D10" s="1156"/>
      <c r="E10" s="1156"/>
      <c r="F10" s="1156"/>
      <c r="G10" s="1165"/>
      <c r="H10" s="1168"/>
      <c r="I10" s="1165"/>
      <c r="J10" s="1165"/>
      <c r="K10" s="1156"/>
      <c r="L10" s="1156"/>
      <c r="M10" s="1156"/>
      <c r="N10" s="1177"/>
      <c r="O10" s="1156"/>
      <c r="P10" s="1156"/>
      <c r="Q10" s="1165"/>
      <c r="R10" s="1168"/>
      <c r="S10" s="1156"/>
      <c r="T10" s="399">
        <v>45720</v>
      </c>
      <c r="U10" s="1159"/>
      <c r="V10" s="393">
        <v>128419.2</v>
      </c>
      <c r="W10" s="399">
        <v>45722</v>
      </c>
      <c r="X10" s="394"/>
      <c r="Y10" s="395"/>
      <c r="Z10" s="395"/>
      <c r="AA10" s="1162"/>
      <c r="AB10" s="1171"/>
      <c r="AC10" s="1174"/>
      <c r="AD10" s="110">
        <v>1</v>
      </c>
    </row>
    <row r="11" spans="1:30" s="110" customFormat="1" x14ac:dyDescent="0.25">
      <c r="A11" s="1153"/>
      <c r="B11" s="1156"/>
      <c r="C11" s="1156"/>
      <c r="D11" s="1156"/>
      <c r="E11" s="1156"/>
      <c r="F11" s="1156"/>
      <c r="G11" s="1165"/>
      <c r="H11" s="1168"/>
      <c r="I11" s="1165"/>
      <c r="J11" s="1165"/>
      <c r="K11" s="1156"/>
      <c r="L11" s="1156"/>
      <c r="M11" s="1156"/>
      <c r="N11" s="1177"/>
      <c r="O11" s="1156"/>
      <c r="P11" s="1156"/>
      <c r="Q11" s="1165"/>
      <c r="R11" s="1168"/>
      <c r="S11" s="1156"/>
      <c r="T11" s="399">
        <v>45750</v>
      </c>
      <c r="U11" s="1159"/>
      <c r="V11" s="393">
        <v>142178.4</v>
      </c>
      <c r="W11" s="399">
        <v>45754</v>
      </c>
      <c r="X11" s="394"/>
      <c r="Y11" s="395"/>
      <c r="Z11" s="395"/>
      <c r="AA11" s="1162"/>
      <c r="AB11" s="1171"/>
      <c r="AC11" s="1174"/>
      <c r="AD11" s="110">
        <v>1</v>
      </c>
    </row>
    <row r="12" spans="1:30" s="110" customFormat="1" x14ac:dyDescent="0.25">
      <c r="A12" s="1153"/>
      <c r="B12" s="1156"/>
      <c r="C12" s="1156"/>
      <c r="D12" s="1156"/>
      <c r="E12" s="1156"/>
      <c r="F12" s="1156"/>
      <c r="G12" s="1165"/>
      <c r="H12" s="1168"/>
      <c r="I12" s="1165"/>
      <c r="J12" s="1165"/>
      <c r="K12" s="1156"/>
      <c r="L12" s="1156"/>
      <c r="M12" s="1156"/>
      <c r="N12" s="1177"/>
      <c r="O12" s="1156"/>
      <c r="P12" s="1156"/>
      <c r="Q12" s="1165"/>
      <c r="R12" s="1168"/>
      <c r="S12" s="1156"/>
      <c r="T12" s="399">
        <v>45781</v>
      </c>
      <c r="U12" s="1159"/>
      <c r="V12" s="393">
        <v>137592</v>
      </c>
      <c r="W12" s="399">
        <v>45782</v>
      </c>
      <c r="X12" s="394"/>
      <c r="Y12" s="395"/>
      <c r="Z12" s="395"/>
      <c r="AA12" s="1162"/>
      <c r="AB12" s="1171"/>
      <c r="AC12" s="1174"/>
      <c r="AD12" s="110">
        <v>1</v>
      </c>
    </row>
    <row r="13" spans="1:30" s="110" customFormat="1" x14ac:dyDescent="0.25">
      <c r="A13" s="1154"/>
      <c r="B13" s="1157"/>
      <c r="C13" s="1157"/>
      <c r="D13" s="1157"/>
      <c r="E13" s="1157"/>
      <c r="F13" s="1157"/>
      <c r="G13" s="1166"/>
      <c r="H13" s="1169"/>
      <c r="I13" s="1166"/>
      <c r="J13" s="1166"/>
      <c r="K13" s="1157"/>
      <c r="L13" s="1157"/>
      <c r="M13" s="1157"/>
      <c r="N13" s="1178"/>
      <c r="O13" s="1157"/>
      <c r="P13" s="1157"/>
      <c r="Q13" s="1166"/>
      <c r="R13" s="1169"/>
      <c r="S13" s="1157"/>
      <c r="T13" s="400">
        <v>45805</v>
      </c>
      <c r="U13" s="1160"/>
      <c r="V13" s="434">
        <v>123832.8</v>
      </c>
      <c r="W13" s="400">
        <v>45811</v>
      </c>
      <c r="X13" s="397"/>
      <c r="Y13" s="396"/>
      <c r="Z13" s="396"/>
      <c r="AA13" s="1163"/>
      <c r="AB13" s="1172"/>
      <c r="AC13" s="1175"/>
      <c r="AD13" s="110">
        <v>1</v>
      </c>
    </row>
    <row r="14" spans="1:30" s="80" customFormat="1" ht="93.75" x14ac:dyDescent="0.25">
      <c r="A14" s="547">
        <v>2</v>
      </c>
      <c r="B14" s="548" t="s">
        <v>56</v>
      </c>
      <c r="C14" s="548" t="s">
        <v>348</v>
      </c>
      <c r="D14" s="548" t="s">
        <v>153</v>
      </c>
      <c r="E14" s="548" t="s">
        <v>349</v>
      </c>
      <c r="F14" s="548" t="s">
        <v>350</v>
      </c>
      <c r="G14" s="544">
        <v>598264.19999999995</v>
      </c>
      <c r="H14" s="549">
        <f>IF(AD14 = 4, G14 - Q14,0)</f>
        <v>0</v>
      </c>
      <c r="I14" s="544">
        <v>2</v>
      </c>
      <c r="J14" s="544">
        <v>0</v>
      </c>
      <c r="K14" s="548" t="s">
        <v>174</v>
      </c>
      <c r="L14" s="548" t="s">
        <v>351</v>
      </c>
      <c r="M14" s="548" t="s">
        <v>349</v>
      </c>
      <c r="N14" s="551">
        <v>45838</v>
      </c>
      <c r="O14" s="548" t="s">
        <v>157</v>
      </c>
      <c r="P14" s="548" t="s">
        <v>158</v>
      </c>
      <c r="Q14" s="544">
        <v>598264.19999999995</v>
      </c>
      <c r="R14" s="549">
        <f>IF(AD14 = 4, Q14 + SUM(Y14:Y14) - SUM(Z14:Z14) - SUM(V14:V14) - AB14,0)</f>
        <v>598264.19999999995</v>
      </c>
      <c r="S14" s="548" t="s">
        <v>352</v>
      </c>
      <c r="T14" s="551"/>
      <c r="U14" s="550" t="s">
        <v>152</v>
      </c>
      <c r="V14" s="544"/>
      <c r="W14" s="551"/>
      <c r="X14" s="548"/>
      <c r="Y14" s="544"/>
      <c r="Z14" s="544"/>
      <c r="AA14" s="550"/>
      <c r="AB14" s="544"/>
      <c r="AC14" s="548"/>
      <c r="AD14" s="80">
        <v>4</v>
      </c>
    </row>
    <row r="15" spans="1:30" x14ac:dyDescent="0.25">
      <c r="AD15" s="2">
        <v>5</v>
      </c>
    </row>
  </sheetData>
  <sheetProtection algorithmName="SHA-512" hashValue="zDXlt/+J1zt7XpxF4TLR5BzGrqUWxfIwhXn7xgrGWgkCtTKTZcZDIYXeYCxHY8wDvXVvuFb98U0cuj27blJFnQ==" saltValue="EVUMhU9w492z1+YJSV+Pcw==" spinCount="100000" sheet="1" objects="1" scenarios="1" formatCells="0" formatColumns="0" formatRows="0"/>
  <mergeCells count="27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U9:U13"/>
    <mergeCell ref="AA9:AA13"/>
    <mergeCell ref="E2:F2"/>
    <mergeCell ref="O2:P2"/>
    <mergeCell ref="Y2:AA2"/>
    <mergeCell ref="T2:U2"/>
    <mergeCell ref="Q9:Q13"/>
    <mergeCell ref="R9:R13"/>
    <mergeCell ref="S9:S1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8"/>
  <sheetViews>
    <sheetView showGridLines="0" tabSelected="1" topLeftCell="O1" zoomScale="50" zoomScaleNormal="50" workbookViewId="0">
      <pane ySplit="8" topLeftCell="A9" activePane="bottomLeft" state="frozen"/>
      <selection pane="bottomLeft" activeCell="V9" sqref="V9:V17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5703125" style="3" customWidth="1"/>
    <col min="7" max="7" width="22.42578125" style="10" customWidth="1"/>
    <col min="8" max="8" width="22.42578125" style="2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425781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75" t="s">
        <v>139</v>
      </c>
      <c r="F2" s="876"/>
      <c r="G2" s="77">
        <f>SUM(G9:G9999)</f>
        <v>847247.54</v>
      </c>
      <c r="H2" s="10"/>
      <c r="O2" s="875" t="s">
        <v>24</v>
      </c>
      <c r="P2" s="876"/>
      <c r="Q2" s="75">
        <f>SUM(Q9:Q9999)</f>
        <v>847247.54</v>
      </c>
      <c r="T2" s="650" t="s">
        <v>137</v>
      </c>
      <c r="U2" s="652"/>
      <c r="V2" s="66">
        <f>SUM(V9:V9999)</f>
        <v>792072.19</v>
      </c>
      <c r="X2" s="65"/>
      <c r="Y2" s="650" t="s">
        <v>45</v>
      </c>
      <c r="Z2" s="651"/>
      <c r="AA2" s="652"/>
      <c r="AB2" s="67">
        <f>SUM(AB9:AB9999)</f>
        <v>55175.35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22" t="s">
        <v>36</v>
      </c>
      <c r="B8" s="122"/>
      <c r="C8" s="122" t="s">
        <v>73</v>
      </c>
      <c r="D8" s="122" t="s">
        <v>74</v>
      </c>
      <c r="E8" s="122" t="s">
        <v>71</v>
      </c>
      <c r="F8" s="122" t="s">
        <v>72</v>
      </c>
      <c r="G8" s="123">
        <v>15500.01</v>
      </c>
      <c r="H8" s="123">
        <f t="shared" ref="H8" si="0">G8-Q8</f>
        <v>6725</v>
      </c>
      <c r="I8" s="124">
        <v>6</v>
      </c>
      <c r="J8" s="124">
        <v>0</v>
      </c>
      <c r="K8" s="122" t="s">
        <v>75</v>
      </c>
      <c r="L8" s="122" t="s">
        <v>76</v>
      </c>
      <c r="M8" s="122" t="s">
        <v>77</v>
      </c>
      <c r="N8" s="125">
        <v>43655</v>
      </c>
      <c r="O8" s="122" t="s">
        <v>79</v>
      </c>
      <c r="P8" s="122" t="s">
        <v>78</v>
      </c>
      <c r="Q8" s="123">
        <v>8775.01</v>
      </c>
      <c r="R8" s="123">
        <f>Q8-V8</f>
        <v>0</v>
      </c>
      <c r="S8" s="122" t="s">
        <v>80</v>
      </c>
      <c r="T8" s="125">
        <v>43677</v>
      </c>
      <c r="U8" s="122" t="s">
        <v>81</v>
      </c>
      <c r="V8" s="123">
        <v>8775.01</v>
      </c>
      <c r="W8" s="125">
        <v>43696</v>
      </c>
      <c r="X8" s="122"/>
      <c r="Y8" s="122"/>
      <c r="Z8" s="122"/>
      <c r="AA8" s="122"/>
      <c r="AB8" s="123"/>
      <c r="AC8" s="126" t="s">
        <v>64</v>
      </c>
    </row>
    <row r="9" spans="1:30" s="80" customFormat="1" ht="54.6" customHeight="1" x14ac:dyDescent="0.25">
      <c r="A9" s="1191">
        <v>1</v>
      </c>
      <c r="B9" s="1185" t="s">
        <v>56</v>
      </c>
      <c r="C9" s="1185" t="s">
        <v>219</v>
      </c>
      <c r="D9" s="1185" t="s">
        <v>153</v>
      </c>
      <c r="E9" s="1185" t="s">
        <v>220</v>
      </c>
      <c r="F9" s="1185" t="s">
        <v>160</v>
      </c>
      <c r="G9" s="1179">
        <v>847247.54</v>
      </c>
      <c r="H9" s="1183">
        <f>IF(AD9 = 1, G9 - Q9,0)</f>
        <v>0</v>
      </c>
      <c r="I9" s="1179">
        <v>1</v>
      </c>
      <c r="J9" s="1179">
        <v>0</v>
      </c>
      <c r="K9" s="1185" t="s">
        <v>174</v>
      </c>
      <c r="L9" s="1187" t="s">
        <v>222</v>
      </c>
      <c r="M9" s="1185" t="s">
        <v>156</v>
      </c>
      <c r="N9" s="1189">
        <v>45642</v>
      </c>
      <c r="O9" s="1185" t="s">
        <v>157</v>
      </c>
      <c r="P9" s="1185" t="s">
        <v>158</v>
      </c>
      <c r="Q9" s="1179">
        <v>847247.54</v>
      </c>
      <c r="R9" s="1183">
        <f>IF(AD9 = 1, Q9 + SUM(Y9:Y17) - SUM(Z9:Z17) - SUM(V9:V17) - AB9,0)</f>
        <v>9.4587448984384537E-11</v>
      </c>
      <c r="S9" s="1185" t="s">
        <v>221</v>
      </c>
      <c r="T9" s="486">
        <v>45681</v>
      </c>
      <c r="U9" s="1185" t="s">
        <v>159</v>
      </c>
      <c r="V9" s="480">
        <v>65390.78</v>
      </c>
      <c r="W9" s="486">
        <v>45712</v>
      </c>
      <c r="X9" s="481"/>
      <c r="Y9" s="482"/>
      <c r="Z9" s="482"/>
      <c r="AA9" s="1185" t="s">
        <v>341</v>
      </c>
      <c r="AB9" s="1179">
        <v>55175.35</v>
      </c>
      <c r="AC9" s="1181"/>
      <c r="AD9" s="80">
        <v>1</v>
      </c>
    </row>
    <row r="10" spans="1:30" s="110" customFormat="1" x14ac:dyDescent="0.25">
      <c r="A10" s="1192"/>
      <c r="B10" s="1186"/>
      <c r="C10" s="1186"/>
      <c r="D10" s="1186"/>
      <c r="E10" s="1186"/>
      <c r="F10" s="1186"/>
      <c r="G10" s="1180"/>
      <c r="H10" s="1184"/>
      <c r="I10" s="1180"/>
      <c r="J10" s="1180"/>
      <c r="K10" s="1186"/>
      <c r="L10" s="1188"/>
      <c r="M10" s="1186"/>
      <c r="N10" s="1190"/>
      <c r="O10" s="1186"/>
      <c r="P10" s="1186"/>
      <c r="Q10" s="1180"/>
      <c r="R10" s="1184"/>
      <c r="S10" s="1186"/>
      <c r="T10" s="487">
        <v>45695</v>
      </c>
      <c r="U10" s="1186"/>
      <c r="V10" s="483">
        <v>95675.45</v>
      </c>
      <c r="W10" s="487">
        <v>45712</v>
      </c>
      <c r="X10" s="484"/>
      <c r="Y10" s="485"/>
      <c r="Z10" s="485"/>
      <c r="AA10" s="1186"/>
      <c r="AB10" s="1180"/>
      <c r="AC10" s="1182"/>
      <c r="AD10" s="110">
        <v>1</v>
      </c>
    </row>
    <row r="11" spans="1:30" s="110" customFormat="1" x14ac:dyDescent="0.25">
      <c r="A11" s="1192"/>
      <c r="B11" s="1186"/>
      <c r="C11" s="1186"/>
      <c r="D11" s="1186"/>
      <c r="E11" s="1186"/>
      <c r="F11" s="1186"/>
      <c r="G11" s="1180"/>
      <c r="H11" s="1184"/>
      <c r="I11" s="1180"/>
      <c r="J11" s="1180"/>
      <c r="K11" s="1186"/>
      <c r="L11" s="1188"/>
      <c r="M11" s="1186"/>
      <c r="N11" s="1190"/>
      <c r="O11" s="1186"/>
      <c r="P11" s="1186"/>
      <c r="Q11" s="1180"/>
      <c r="R11" s="1184"/>
      <c r="S11" s="1186"/>
      <c r="T11" s="487">
        <v>45709</v>
      </c>
      <c r="U11" s="1186"/>
      <c r="V11" s="483">
        <v>81512.47</v>
      </c>
      <c r="W11" s="487">
        <v>45716</v>
      </c>
      <c r="X11" s="484"/>
      <c r="Y11" s="485"/>
      <c r="Z11" s="485"/>
      <c r="AA11" s="1186"/>
      <c r="AB11" s="1180"/>
      <c r="AC11" s="1182"/>
      <c r="AD11" s="110">
        <v>1</v>
      </c>
    </row>
    <row r="12" spans="1:30" s="110" customFormat="1" x14ac:dyDescent="0.25">
      <c r="A12" s="1192"/>
      <c r="B12" s="1186"/>
      <c r="C12" s="1186"/>
      <c r="D12" s="1186"/>
      <c r="E12" s="1186"/>
      <c r="F12" s="1186"/>
      <c r="G12" s="1180"/>
      <c r="H12" s="1184"/>
      <c r="I12" s="1180"/>
      <c r="J12" s="1180"/>
      <c r="K12" s="1186"/>
      <c r="L12" s="1188"/>
      <c r="M12" s="1186"/>
      <c r="N12" s="1190"/>
      <c r="O12" s="1186"/>
      <c r="P12" s="1186"/>
      <c r="Q12" s="1180"/>
      <c r="R12" s="1184"/>
      <c r="S12" s="1186"/>
      <c r="T12" s="487">
        <v>45722</v>
      </c>
      <c r="U12" s="1186"/>
      <c r="V12" s="483">
        <v>65993.460000000006</v>
      </c>
      <c r="W12" s="487">
        <v>45728</v>
      </c>
      <c r="X12" s="484"/>
      <c r="Y12" s="485"/>
      <c r="Z12" s="485"/>
      <c r="AA12" s="1186"/>
      <c r="AB12" s="1180"/>
      <c r="AC12" s="1182"/>
      <c r="AD12" s="110">
        <v>1</v>
      </c>
    </row>
    <row r="13" spans="1:30" s="110" customFormat="1" x14ac:dyDescent="0.25">
      <c r="A13" s="1192"/>
      <c r="B13" s="1186"/>
      <c r="C13" s="1186"/>
      <c r="D13" s="1186"/>
      <c r="E13" s="1186"/>
      <c r="F13" s="1186"/>
      <c r="G13" s="1180"/>
      <c r="H13" s="1184"/>
      <c r="I13" s="1180"/>
      <c r="J13" s="1180"/>
      <c r="K13" s="1186"/>
      <c r="L13" s="1188"/>
      <c r="M13" s="1186"/>
      <c r="N13" s="1190"/>
      <c r="O13" s="1186"/>
      <c r="P13" s="1186"/>
      <c r="Q13" s="1180"/>
      <c r="R13" s="1184"/>
      <c r="S13" s="1186"/>
      <c r="T13" s="487">
        <v>45737</v>
      </c>
      <c r="U13" s="1186"/>
      <c r="V13" s="483">
        <v>87689.94</v>
      </c>
      <c r="W13" s="487">
        <v>45749</v>
      </c>
      <c r="X13" s="484"/>
      <c r="Y13" s="485"/>
      <c r="Z13" s="485"/>
      <c r="AA13" s="1186"/>
      <c r="AB13" s="1180"/>
      <c r="AC13" s="1182"/>
      <c r="AD13" s="110">
        <v>1</v>
      </c>
    </row>
    <row r="14" spans="1:30" s="110" customFormat="1" x14ac:dyDescent="0.25">
      <c r="A14" s="1192"/>
      <c r="B14" s="1186"/>
      <c r="C14" s="1186"/>
      <c r="D14" s="1186"/>
      <c r="E14" s="1186"/>
      <c r="F14" s="1186"/>
      <c r="G14" s="1180"/>
      <c r="H14" s="1184"/>
      <c r="I14" s="1180"/>
      <c r="J14" s="1180"/>
      <c r="K14" s="1186"/>
      <c r="L14" s="1188"/>
      <c r="M14" s="1186"/>
      <c r="N14" s="1190"/>
      <c r="O14" s="1186"/>
      <c r="P14" s="1186"/>
      <c r="Q14" s="1180"/>
      <c r="R14" s="1184"/>
      <c r="S14" s="1186"/>
      <c r="T14" s="487">
        <v>45754</v>
      </c>
      <c r="U14" s="1186"/>
      <c r="V14" s="483">
        <v>61172.02</v>
      </c>
      <c r="W14" s="487">
        <v>45762</v>
      </c>
      <c r="X14" s="484"/>
      <c r="Y14" s="485"/>
      <c r="Z14" s="485"/>
      <c r="AA14" s="1186"/>
      <c r="AB14" s="1180"/>
      <c r="AC14" s="1182"/>
      <c r="AD14" s="110">
        <v>1</v>
      </c>
    </row>
    <row r="15" spans="1:30" s="110" customFormat="1" x14ac:dyDescent="0.25">
      <c r="A15" s="1192"/>
      <c r="B15" s="1186"/>
      <c r="C15" s="1186"/>
      <c r="D15" s="1186"/>
      <c r="E15" s="1186"/>
      <c r="F15" s="1186"/>
      <c r="G15" s="1180"/>
      <c r="H15" s="1184"/>
      <c r="I15" s="1180"/>
      <c r="J15" s="1180"/>
      <c r="K15" s="1186"/>
      <c r="L15" s="1188"/>
      <c r="M15" s="1186"/>
      <c r="N15" s="1190"/>
      <c r="O15" s="1186"/>
      <c r="P15" s="1186"/>
      <c r="Q15" s="1180"/>
      <c r="R15" s="1184"/>
      <c r="S15" s="1186"/>
      <c r="T15" s="487">
        <v>45761</v>
      </c>
      <c r="U15" s="1186"/>
      <c r="V15" s="483">
        <v>88141.95</v>
      </c>
      <c r="W15" s="487">
        <v>45762</v>
      </c>
      <c r="X15" s="484"/>
      <c r="Y15" s="485"/>
      <c r="Z15" s="485"/>
      <c r="AA15" s="1186"/>
      <c r="AB15" s="1180"/>
      <c r="AC15" s="1182"/>
      <c r="AD15" s="110">
        <v>1</v>
      </c>
    </row>
    <row r="16" spans="1:30" s="110" customFormat="1" x14ac:dyDescent="0.25">
      <c r="A16" s="1192"/>
      <c r="B16" s="1186"/>
      <c r="C16" s="1186"/>
      <c r="D16" s="1186"/>
      <c r="E16" s="1186"/>
      <c r="F16" s="1186"/>
      <c r="G16" s="1180"/>
      <c r="H16" s="1184"/>
      <c r="I16" s="1180"/>
      <c r="J16" s="1180"/>
      <c r="K16" s="1186"/>
      <c r="L16" s="1188"/>
      <c r="M16" s="1186"/>
      <c r="N16" s="1190"/>
      <c r="O16" s="1186"/>
      <c r="P16" s="1186"/>
      <c r="Q16" s="1180"/>
      <c r="R16" s="1184"/>
      <c r="S16" s="1186"/>
      <c r="T16" s="487">
        <v>45790</v>
      </c>
      <c r="U16" s="1186"/>
      <c r="V16" s="483">
        <v>116467.91</v>
      </c>
      <c r="W16" s="487">
        <v>45791</v>
      </c>
      <c r="X16" s="484"/>
      <c r="Y16" s="485"/>
      <c r="Z16" s="485"/>
      <c r="AA16" s="1186"/>
      <c r="AB16" s="1180"/>
      <c r="AC16" s="1182"/>
      <c r="AD16" s="110">
        <v>1</v>
      </c>
    </row>
    <row r="17" spans="1:30" s="110" customFormat="1" x14ac:dyDescent="0.25">
      <c r="A17" s="1192"/>
      <c r="B17" s="1186"/>
      <c r="C17" s="1186"/>
      <c r="D17" s="1186"/>
      <c r="E17" s="1186"/>
      <c r="F17" s="1186"/>
      <c r="G17" s="1180"/>
      <c r="H17" s="1184"/>
      <c r="I17" s="1180"/>
      <c r="J17" s="1180"/>
      <c r="K17" s="1186"/>
      <c r="L17" s="1188"/>
      <c r="M17" s="1186"/>
      <c r="N17" s="1190"/>
      <c r="O17" s="1186"/>
      <c r="P17" s="1186"/>
      <c r="Q17" s="1180"/>
      <c r="R17" s="1184"/>
      <c r="S17" s="1186"/>
      <c r="T17" s="487">
        <v>45807</v>
      </c>
      <c r="U17" s="1186"/>
      <c r="V17" s="483">
        <v>130028.21</v>
      </c>
      <c r="W17" s="487">
        <v>45811</v>
      </c>
      <c r="X17" s="484"/>
      <c r="Y17" s="485"/>
      <c r="Z17" s="485"/>
      <c r="AA17" s="1186"/>
      <c r="AB17" s="1180"/>
      <c r="AC17" s="1182"/>
      <c r="AD17" s="110">
        <v>1</v>
      </c>
    </row>
    <row r="18" spans="1:30" x14ac:dyDescent="0.25">
      <c r="AD18" s="2">
        <v>3</v>
      </c>
    </row>
  </sheetData>
  <sheetProtection algorithmName="SHA-512" hashValue="HKhN/+1TD4RaHdhdtyONDZ1e+TJ66YDYl6vgWoG5lA8DZePLj2Wf8OCmZfzCeDW8Uv1yy505gLrGxped/vD7kQ==" saltValue="+aLdnMKexFYZ3y5mLq3V/g==" spinCount="100000" sheet="1" objects="1" scenarios="1" formatCells="0" formatColumns="0" formatRows="0"/>
  <mergeCells count="27">
    <mergeCell ref="R9:R17"/>
    <mergeCell ref="S9:S17"/>
    <mergeCell ref="A9:A17"/>
    <mergeCell ref="U9:U17"/>
    <mergeCell ref="AA9:AA17"/>
    <mergeCell ref="B9:B17"/>
    <mergeCell ref="C9:C17"/>
    <mergeCell ref="D9:D17"/>
    <mergeCell ref="E9:E17"/>
    <mergeCell ref="F9:F17"/>
    <mergeCell ref="G9:G17"/>
    <mergeCell ref="AB9:AB17"/>
    <mergeCell ref="AC9:AC17"/>
    <mergeCell ref="E2:F2"/>
    <mergeCell ref="O2:P2"/>
    <mergeCell ref="Y2:AA2"/>
    <mergeCell ref="T2:U2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8"/>
  <sheetViews>
    <sheetView showGridLines="0" topLeftCell="M1" zoomScale="50" zoomScaleNormal="50" workbookViewId="0">
      <pane ySplit="8" topLeftCell="A9" activePane="bottomLeft" state="frozen"/>
      <selection pane="bottomLeft" activeCell="V9" sqref="V9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42578125" style="2" customWidth="1"/>
    <col min="4" max="6" width="33.5703125" style="2" customWidth="1"/>
    <col min="7" max="8" width="22.42578125" style="2" customWidth="1"/>
    <col min="9" max="9" width="24.42578125" style="2" customWidth="1"/>
    <col min="10" max="10" width="28.42578125" style="2" customWidth="1"/>
    <col min="11" max="12" width="19.5703125" style="2" customWidth="1"/>
    <col min="13" max="13" width="25.570312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425781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875" t="s">
        <v>139</v>
      </c>
      <c r="F2" s="876"/>
      <c r="G2" s="77">
        <f>SUM(G9:G9999)</f>
        <v>1098720</v>
      </c>
      <c r="H2" s="10"/>
      <c r="O2" s="875" t="s">
        <v>24</v>
      </c>
      <c r="P2" s="876"/>
      <c r="Q2" s="75">
        <f>SUM(Q9:Q9999)</f>
        <v>994080</v>
      </c>
      <c r="T2" s="650" t="s">
        <v>137</v>
      </c>
      <c r="U2" s="652"/>
      <c r="V2" s="66">
        <f>SUM(V9:V9999)</f>
        <v>18240</v>
      </c>
      <c r="X2" s="65"/>
      <c r="Y2" s="650" t="s">
        <v>45</v>
      </c>
      <c r="Z2" s="651"/>
      <c r="AA2" s="652"/>
      <c r="AB2" s="67">
        <f>SUM(AB9:AB9999)</f>
        <v>0</v>
      </c>
    </row>
    <row r="4" spans="1:30" ht="39.950000000000003" customHeight="1" x14ac:dyDescent="0.25">
      <c r="P4" s="649"/>
      <c r="Q4" s="649"/>
      <c r="R4" s="649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s="80" customFormat="1" ht="93.75" x14ac:dyDescent="0.25">
      <c r="A9" s="472">
        <v>1</v>
      </c>
      <c r="B9" s="467" t="s">
        <v>56</v>
      </c>
      <c r="C9" s="467" t="s">
        <v>335</v>
      </c>
      <c r="D9" s="467" t="s">
        <v>153</v>
      </c>
      <c r="E9" s="467" t="s">
        <v>336</v>
      </c>
      <c r="F9" s="467" t="s">
        <v>150</v>
      </c>
      <c r="G9" s="466">
        <v>1098720</v>
      </c>
      <c r="H9" s="469">
        <f>IF(AD9 = 2, G9 - Q9,0)</f>
        <v>104640</v>
      </c>
      <c r="I9" s="466">
        <v>2</v>
      </c>
      <c r="J9" s="466">
        <v>0</v>
      </c>
      <c r="K9" s="467" t="s">
        <v>283</v>
      </c>
      <c r="L9" s="467" t="s">
        <v>337</v>
      </c>
      <c r="M9" s="467" t="s">
        <v>338</v>
      </c>
      <c r="N9" s="473">
        <v>45800</v>
      </c>
      <c r="O9" s="471">
        <v>2304067057</v>
      </c>
      <c r="P9" s="467" t="s">
        <v>151</v>
      </c>
      <c r="Q9" s="466">
        <v>994080</v>
      </c>
      <c r="R9" s="469">
        <f>IF(AD9 = 2, Q9 + SUM(Y9:Y9) - SUM(Z9:Z9) - SUM(V9:V9) - AB9,0)</f>
        <v>975840</v>
      </c>
      <c r="S9" s="467" t="s">
        <v>339</v>
      </c>
      <c r="T9" s="473" t="s">
        <v>340</v>
      </c>
      <c r="U9" s="467" t="s">
        <v>152</v>
      </c>
      <c r="V9" s="456">
        <v>18240</v>
      </c>
      <c r="W9" s="473">
        <v>45814</v>
      </c>
      <c r="X9" s="467"/>
      <c r="Y9" s="466"/>
      <c r="Z9" s="466"/>
      <c r="AA9" s="467"/>
      <c r="AB9" s="466"/>
      <c r="AC9" s="468"/>
      <c r="AD9" s="80">
        <v>2</v>
      </c>
    </row>
    <row r="10" spans="1:30" hidden="1" x14ac:dyDescent="0.25">
      <c r="A10" s="474"/>
      <c r="B10" s="475"/>
      <c r="C10" s="475"/>
      <c r="D10" s="475"/>
      <c r="E10" s="475"/>
      <c r="F10" s="475"/>
      <c r="G10" s="478"/>
      <c r="H10" s="479">
        <f>IF(AD10 = 4, G10 - Q10,0)</f>
        <v>0</v>
      </c>
      <c r="I10" s="478"/>
      <c r="J10" s="478"/>
      <c r="K10" s="475"/>
      <c r="L10" s="475"/>
      <c r="M10" s="476"/>
      <c r="N10" s="477"/>
      <c r="O10" s="475"/>
      <c r="P10" s="475"/>
      <c r="Q10" s="478"/>
      <c r="R10" s="479">
        <f>IF(AD10 = 4, Q10 + SUM(Y10:Y10) - SUM(Z10:Z10) - SUM(V10:V10) - AB10,0)</f>
        <v>0</v>
      </c>
      <c r="S10" s="475"/>
      <c r="T10" s="477"/>
      <c r="U10" s="475"/>
      <c r="V10" s="478"/>
      <c r="W10" s="477"/>
      <c r="X10" s="475"/>
      <c r="Y10" s="478"/>
      <c r="Z10" s="478"/>
      <c r="AA10" s="475"/>
      <c r="AB10" s="478"/>
      <c r="AC10" s="475"/>
      <c r="AD10" s="2">
        <v>4</v>
      </c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  <row r="18" spans="13:13" hidden="1" x14ac:dyDescent="0.25">
      <c r="M18" s="3"/>
    </row>
  </sheetData>
  <sheetProtection algorithmName="SHA-512" hashValue="OxZ110byC3ibMB9weoVDmkAqg79x6TBNilFOAmU/9wBOCFTbKeJv3dXx8xqSoAMMw4Gd+Uz+dKAaldWmcmuEHA==" saltValue="nsRmuOYIgB8OcyCtisdcx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42578125" style="32" customWidth="1"/>
    <col min="2" max="3" width="17.425781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22</v>
      </c>
      <c r="B1" s="46">
        <v>14</v>
      </c>
      <c r="C1" s="46">
        <v>9</v>
      </c>
      <c r="D1" s="1195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196"/>
      <c r="E2" s="31"/>
      <c r="F2" s="59">
        <v>139</v>
      </c>
      <c r="G2" s="63">
        <v>96</v>
      </c>
      <c r="H2" s="62">
        <v>5</v>
      </c>
      <c r="I2" s="61">
        <v>4</v>
      </c>
      <c r="J2" s="60">
        <v>2</v>
      </c>
      <c r="K2" s="64">
        <v>3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106</v>
      </c>
      <c r="B4" s="43">
        <v>26</v>
      </c>
      <c r="C4" s="43">
        <v>9</v>
      </c>
      <c r="D4" s="1197" t="s">
        <v>102</v>
      </c>
      <c r="E4" s="31"/>
      <c r="F4" s="59">
        <v>140</v>
      </c>
      <c r="G4" s="63">
        <v>97</v>
      </c>
      <c r="H4" s="62">
        <v>6</v>
      </c>
      <c r="I4" s="61">
        <v>5</v>
      </c>
      <c r="J4" s="60">
        <v>3</v>
      </c>
      <c r="K4" s="64">
        <v>4</v>
      </c>
    </row>
    <row r="5" spans="1:11" x14ac:dyDescent="0.25">
      <c r="A5" s="42" t="s">
        <v>89</v>
      </c>
      <c r="B5" s="43" t="s">
        <v>88</v>
      </c>
      <c r="C5" s="43" t="s">
        <v>87</v>
      </c>
      <c r="D5" s="1198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27</v>
      </c>
      <c r="B7" s="45">
        <v>4</v>
      </c>
      <c r="C7" s="45">
        <v>9</v>
      </c>
      <c r="D7" s="1199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200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14</v>
      </c>
      <c r="B10" s="41">
        <v>2</v>
      </c>
      <c r="C10" s="41">
        <v>9</v>
      </c>
      <c r="D10" s="1201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202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17</v>
      </c>
      <c r="B13" s="39">
        <v>1</v>
      </c>
      <c r="C13" s="39">
        <v>9</v>
      </c>
      <c r="D13" s="1203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204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9</v>
      </c>
      <c r="B16" s="37">
        <v>1</v>
      </c>
      <c r="C16" s="37">
        <v>9</v>
      </c>
      <c r="D16" s="1193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194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2024-12-26T10:05:52Z</cp:lastPrinted>
  <dcterms:created xsi:type="dcterms:W3CDTF">2017-01-25T04:28:39Z</dcterms:created>
  <dcterms:modified xsi:type="dcterms:W3CDTF">2025-07-01T11:36:13Z</dcterms:modified>
</cp:coreProperties>
</file>