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естры закупок 2024\"/>
    </mc:Choice>
  </mc:AlternateContent>
  <workbookProtection workbookPassword="EB34" lockStructure="1"/>
  <bookViews>
    <workbookView xWindow="-105" yWindow="-105" windowWidth="19425" windowHeight="10425" tabRatio="603" firstSheet="2" activeTab="4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7" l="1"/>
  <c r="Q2" i="17"/>
  <c r="V2" i="17"/>
  <c r="AB2" i="17"/>
  <c r="G2" i="19"/>
  <c r="N2" i="19"/>
  <c r="T2" i="19"/>
  <c r="H2" i="31"/>
  <c r="P2" i="31"/>
  <c r="V2" i="31"/>
  <c r="H2" i="27"/>
  <c r="P2" i="27"/>
  <c r="V2" i="27"/>
  <c r="G2" i="22"/>
  <c r="Q2" i="22"/>
  <c r="V2" i="22"/>
  <c r="AB2" i="22"/>
  <c r="H9" i="19"/>
  <c r="I9" i="31"/>
  <c r="I24" i="31"/>
  <c r="I23" i="31"/>
  <c r="I22" i="31"/>
  <c r="I11" i="31"/>
  <c r="I18" i="31"/>
  <c r="G2" i="20"/>
  <c r="Q2" i="20"/>
  <c r="V2" i="20"/>
  <c r="AB2" i="20"/>
  <c r="I14" i="31"/>
  <c r="I17" i="31"/>
  <c r="I13" i="31"/>
  <c r="I12" i="31"/>
  <c r="I20" i="31"/>
  <c r="I19" i="31"/>
  <c r="I15" i="31" l="1"/>
  <c r="H9" i="17" l="1"/>
  <c r="R9" i="17"/>
  <c r="H9" i="22" l="1"/>
  <c r="R9" i="22"/>
  <c r="I21" i="31" l="1"/>
  <c r="I16" i="31" l="1"/>
  <c r="I9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<sst xmlns="http://schemas.openxmlformats.org/spreadsheetml/2006/main" count="590" uniqueCount="225">
  <si>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</si>
  <si>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</si>
  <si>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</si>
  <si>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</si>
  <si>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</si>
  <si>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</si>
  <si>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</si>
  <si>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</si>
  <si>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</si>
  <si>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</si>
  <si>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</si>
  <si>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</si>
  <si>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</si>
  <si>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</si>
  <si>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</si>
  <si>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</si>
  <si>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</si>
  <si>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</si>
  <si>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</si>
  <si>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</si>
  <si>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</si>
  <si>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</si>
  <si>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</si>
  <si>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</si>
  <si>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</si>
  <si>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</si>
  <si>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</si>
  <si>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</si>
  <si>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</si>
  <si>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</si>
  <si>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</si>
  <si>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</si>
  <si>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</si>
  <si>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</si>
  <si>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</si>
  <si>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</si>
  <si>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</si>
  <si>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</si>
  <si>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</si>
  <si>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</si>
  <si>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</si>
  <si>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</si>
  <si>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</si>
  <si>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</si>
  <si>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</si>
  <si>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</si>
  <si>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</si>
  <si>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</si>
  <si>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</si>
  <si>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</si>
  <si>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</si>
  <si>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</si>
  <si>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</si>
  <si>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</si>
  <si>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</si>
  <si>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</si>
  <si>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</si>
  <si>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</si>
  <si>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</si>
  <si>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</si>
  <si>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</si>
  <si>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</si>
  <si>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</si>
  <si>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</si>
  <si>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</si>
  <si>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</si>
  <si>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</si>
  <si>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</si>
  <si>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</si>
  <si>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</si>
  <si>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</si>
  <si>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</si>
  <si>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</si>
  <si>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</si>
  <si>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</si>
  <si>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</si>
  <si>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</si>
  <si>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</si>
  <si>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</si>
  <si>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</si>
  <si>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</si>
  <si>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</si>
  <si>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</si>
  <si>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</si>
  <si>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</si>
  <si>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</si>
  <si>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</si>
  <si>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</si>
  <si>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</si>
  <si>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</si>
  <si>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</si>
  <si>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</si>
  <si>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</si>
  <si>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</si>
  <si>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</si>
  <si>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</si>
  <si>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</si>
  <si>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</si>
  <si>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</si>
  <si>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</si>
  <si>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</si>
  <si>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</si>
  <si>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</si>
  <si>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</si>
  <si>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</si>
  <si>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</si>
  <si>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</si>
  <si>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</si>
  <si>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</si>
  <si>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</si>
  <si>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</si>
  <si>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</si>
  <si>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</si>
  <si>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</si>
  <si>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</si>
  <si>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</si>
  <si>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</si>
  <si>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</si>
  <si>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</si>
  <si>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</si>
  <si>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</si>
  <si>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</si>
  <si>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</si>
  <si>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</si>
  <si>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</si>
  <si>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</si>
  <si>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</si>
  <si>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</si>
  <si>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</si>
  <si>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</si>
  <si>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</si>
  <si>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</si>
  <si>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</si>
  <si>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</si>
  <si>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</si>
  <si>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</si>
  <si>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</si>
  <si>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</si>
  <si>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</si>
  <si>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</si>
  <si>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</si>
  <si>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</si>
  <si>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</si>
  <si>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</si>
  <si>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</si>
  <si>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</si>
  <si>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</si>
  <si>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</si>
  <si>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</si>
  <si>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</si>
  <si>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Оказание охранных услуг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</si>
  <si>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</si>
  <si>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</si>
  <si>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</si>
  <si>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</si>
  <si>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</si>
  <si>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0818300019923000373-01</t>
  </si>
  <si>
    <t>235300582900</t>
  </si>
  <si>
    <t>ИП Эжбаев Ю.Н.</t>
  </si>
  <si>
    <t>В течение 7 рабочих дней после подписания документа о приемке</t>
  </si>
  <si>
    <t>Услуги по организации питания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</si>
  <si>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</si>
  <si>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</si>
  <si>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</si>
  <si>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</si>
  <si>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</si>
  <si>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</si>
  <si>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</si>
  <si>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А-179</t>
  </si>
  <si>
    <t>Работы по  техническому обслуживанию установки системы пожарного мониторинга "Стрелец-мониторинг"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</si>
  <si>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</si>
  <si>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</si>
  <si>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</si>
  <si>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ООО "РН-Карт"</t>
  </si>
  <si>
    <t>Да</t>
  </si>
  <si>
    <t>б/н</t>
  </si>
  <si>
    <t>Базирование транспортных средств</t>
  </si>
  <si>
    <t>Холодное водоснабжение</t>
  </si>
  <si>
    <t>ИП Лукоянов Ю.В.</t>
  </si>
  <si>
    <t>ООО "Водоснабжение"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</si>
  <si>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</si>
  <si>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</si>
  <si>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</si>
  <si>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</si>
  <si>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</si>
  <si>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</si>
  <si>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</si>
  <si>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</si>
  <si>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</si>
  <si>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Бензин</t>
  </si>
  <si>
    <t>Систематическая дератизация</t>
  </si>
  <si>
    <t>ООО "Дезинфекция"</t>
  </si>
  <si>
    <t>ООО "РООС"</t>
  </si>
  <si>
    <t>Откачка и вывоз ЖБО</t>
  </si>
  <si>
    <t>2304067057</t>
  </si>
  <si>
    <t>с 01.01.2025 по 31.12.2025</t>
  </si>
  <si>
    <t>25-11-02596/25</t>
  </si>
  <si>
    <t>в течение 10 рабочих дней с даты подписания акта сдачи-приемки оказанных услуг</t>
  </si>
  <si>
    <t>34001048</t>
  </si>
  <si>
    <t>42</t>
  </si>
  <si>
    <t>ДГ 25/43</t>
  </si>
  <si>
    <t>34550724/038602</t>
  </si>
  <si>
    <t>Техническое обслуживание комплекса тревожной сигнализации</t>
  </si>
  <si>
    <t>ИП Даценко И.Н.</t>
  </si>
  <si>
    <t>с 01.01.2025 по 31.05.2025</t>
  </si>
  <si>
    <t>210009817619-122024</t>
  </si>
  <si>
    <t>Услуги по идентификации АСН в ГАИС "Эра-Глонасс"</t>
  </si>
  <si>
    <t>АО "ГЛОНАСС"</t>
  </si>
  <si>
    <t>В течение  10 рабочих дней со дня подписания акта оказанных услуг</t>
  </si>
  <si>
    <t>в срок, не превышающий 10 рабочих дней с даты подписания отчетных документов</t>
  </si>
  <si>
    <t>в течение 7 рабочих дней с даты подписания акта оказанных услуг</t>
  </si>
  <si>
    <t xml:space="preserve"> 32353015333240000039</t>
  </si>
  <si>
    <t>23070500320</t>
  </si>
  <si>
    <t>Электроэнергия</t>
  </si>
  <si>
    <t>ПАО "ТНС эерго Кубань"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</si>
  <si>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</si>
  <si>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243235301533323530100100140018010244</t>
  </si>
  <si>
    <t xml:space="preserve">0818300019924000328 </t>
  </si>
  <si>
    <t>3235301533324000010</t>
  </si>
  <si>
    <t>с 01 января 2025 г. по 27 мая 2025 г. до 23 ч.59 включительно)</t>
  </si>
  <si>
    <t>233235301533323530100100120015629244</t>
  </si>
  <si>
    <t>0818300019924000324</t>
  </si>
  <si>
    <t>с 09.01.2025 по 23.05.2025г</t>
  </si>
  <si>
    <t>3235301533324000008</t>
  </si>
  <si>
    <t>21/25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</si>
</sst>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5" xfId="0" applyNumberFormat="1" applyFont="1" applyFill="1" applyBorder="1" applyAlignment="1">
      <alignment horizontal="center" vertical="center" wrapText="1"/>
    </xf>
    <xf numFmtId="49" fontId="15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6" xfId="0" applyNumberFormat="1" applyFont="1" applyFill="1" applyBorder="1" applyAlignment="1">
      <alignment horizontal="center" vertical="center" wrapText="1"/>
    </xf>
    <xf numFmtId="49" fontId="15" fillId="18" borderId="37" xfId="0" applyNumberFormat="1" applyFont="1" applyFill="1" applyBorder="1" applyAlignment="1">
      <alignment horizontal="center" vertical="center" wrapText="1"/>
    </xf>
    <xf numFmtId="49" fontId="15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9" fontId="15" fillId="18" borderId="34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5" xfId="0" applyNumberFormat="1" applyFont="1" applyBorder="1" applyAlignment="1" applyProtection="1">
      <alignment vertical="center" wrapText="1"/>
      <protection locked="0"/>
    </xf>
    <xf numFmtId="49" fontId="15" fillId="4" borderId="35" xfId="0" applyNumberFormat="1" applyFont="1" applyFill="1" applyBorder="1" applyAlignment="1">
      <alignment horizontal="center" vertical="center" wrapText="1"/>
    </xf>
    <xf numFmtId="49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5" xfId="0" applyNumberFormat="1" applyFont="1" applyFill="1" applyBorder="1" applyAlignment="1">
      <alignment horizontal="center" vertical="center" wrapText="1"/>
    </xf>
    <xf numFmtId="167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4" borderId="40" xfId="0" applyNumberFormat="1" applyFont="1" applyFill="1" applyBorder="1" applyAlignment="1">
      <alignment horizontal="center" vertical="center" wrapText="1"/>
    </xf>
    <xf numFmtId="49" fontId="15" fillId="4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G8" sqref="G8:I8"/>
    </sheetView>
  </sheetViews>
  <sheetFormatPr defaultColWidth="0" defaultRowHeight="15" x14ac:dyDescent="0.25"/>
  <cols>
    <col min="1" max="2" width="9.140625" style="8" customWidth="1"/>
    <col min="3" max="3" width="25.42578125" style="8" customWidth="1"/>
    <col min="4" max="5" width="9.140625" style="8" customWidth="1"/>
    <col min="6" max="6" width="11.570312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425781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5703125" style="8" hidden="1" customWidth="1"/>
    <col min="24" max="16384" width="9.140625" style="8" hidden="1"/>
  </cols>
  <sheetData>
    <row r="1" spans="1:14" ht="73.5" customHeight="1" thickBot="1" x14ac:dyDescent="0.3">
      <c r="A1" s="298" t="s">
        <v>141</v>
      </c>
      <c r="B1" s="299"/>
      <c r="C1" s="299"/>
      <c r="D1" s="299"/>
      <c r="E1" s="300" t="s">
        <v>145</v>
      </c>
      <c r="F1" s="301"/>
      <c r="G1" s="301"/>
      <c r="H1" s="301"/>
      <c r="I1" s="301"/>
      <c r="J1" s="301"/>
      <c r="K1" s="301"/>
      <c r="L1" s="301"/>
      <c r="M1" s="301"/>
      <c r="N1" s="302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336" t="s">
        <v>25</v>
      </c>
      <c r="B4" s="337"/>
      <c r="C4" s="4">
        <v>8164083.96</v>
      </c>
      <c r="D4" s="5"/>
      <c r="E4" s="338" t="s">
        <v>140</v>
      </c>
      <c r="F4" s="339"/>
      <c r="G4" s="340"/>
      <c r="H4" s="341">
        <v>2000000</v>
      </c>
      <c r="I4" s="342"/>
      <c r="J4" s="343"/>
      <c r="K4" s="17"/>
      <c r="L4" s="76" t="s">
        <v>55</v>
      </c>
      <c r="M4" s="338">
        <v>2868449.95</v>
      </c>
      <c r="N4" s="340"/>
    </row>
    <row r="5" spans="1:14" ht="30.75" customHeight="1" thickBot="1" x14ac:dyDescent="0.3">
      <c r="A5" s="336" t="s">
        <v>26</v>
      </c>
      <c r="B5" s="337"/>
      <c r="C5" s="6">
        <f>C4-G15+J15</f>
        <v>5142003.67</v>
      </c>
      <c r="D5" s="5"/>
      <c r="E5" s="338" t="s">
        <v>53</v>
      </c>
      <c r="F5" s="339"/>
      <c r="G5" s="340"/>
      <c r="H5" s="331">
        <f>H4-G12</f>
        <v>2000000</v>
      </c>
      <c r="I5" s="332"/>
      <c r="J5" s="333"/>
      <c r="K5" s="17"/>
      <c r="L5" s="76" t="s">
        <v>54</v>
      </c>
      <c r="M5" s="334">
        <f>M4-G13</f>
        <v>2142003.67</v>
      </c>
      <c r="N5" s="335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344" t="s">
        <v>27</v>
      </c>
      <c r="B8" s="345"/>
      <c r="C8" s="346"/>
      <c r="D8" s="344" t="s">
        <v>28</v>
      </c>
      <c r="E8" s="345"/>
      <c r="F8" s="346"/>
      <c r="G8" s="347" t="s">
        <v>29</v>
      </c>
      <c r="H8" s="348"/>
      <c r="I8" s="349"/>
      <c r="J8" s="347" t="s">
        <v>142</v>
      </c>
      <c r="K8" s="348"/>
      <c r="L8" s="349"/>
      <c r="M8" s="344" t="s">
        <v>30</v>
      </c>
      <c r="N8" s="346"/>
    </row>
    <row r="9" spans="1:14" ht="41.25" customHeight="1" thickBot="1" x14ac:dyDescent="0.3">
      <c r="A9" s="322" t="s">
        <v>31</v>
      </c>
      <c r="B9" s="323"/>
      <c r="C9" s="324"/>
      <c r="D9" s="321">
        <f>'Состоявшиеся аукционы'!G2</f>
        <v>740880</v>
      </c>
      <c r="E9" s="321"/>
      <c r="F9" s="321"/>
      <c r="G9" s="321">
        <f>'Состоявшиеся аукционы'!Q2</f>
        <v>674200.8</v>
      </c>
      <c r="H9" s="321"/>
      <c r="I9" s="321"/>
      <c r="J9" s="318">
        <f>'Состоявшиеся аукционы'!AB2</f>
        <v>0</v>
      </c>
      <c r="K9" s="319"/>
      <c r="L9" s="320"/>
      <c r="M9" s="321">
        <f t="shared" ref="M9:M15" si="0">D9-G9</f>
        <v>66679.199999999953</v>
      </c>
      <c r="N9" s="321"/>
    </row>
    <row r="10" spans="1:14" ht="78.75" customHeight="1" thickBot="1" x14ac:dyDescent="0.3">
      <c r="A10" s="322" t="s">
        <v>49</v>
      </c>
      <c r="B10" s="323"/>
      <c r="C10" s="324"/>
      <c r="D10" s="321">
        <f>'Несостоявшиеся аукционы'!G2</f>
        <v>847247.54</v>
      </c>
      <c r="E10" s="321"/>
      <c r="F10" s="321"/>
      <c r="G10" s="321">
        <f>'Несостоявшиеся аукционы'!Q2</f>
        <v>847247.54</v>
      </c>
      <c r="H10" s="321"/>
      <c r="I10" s="321"/>
      <c r="J10" s="318">
        <f>'Несостоявшиеся аукционы'!AB2</f>
        <v>0</v>
      </c>
      <c r="K10" s="319"/>
      <c r="L10" s="320"/>
      <c r="M10" s="321">
        <f t="shared" si="0"/>
        <v>0</v>
      </c>
      <c r="N10" s="321"/>
    </row>
    <row r="11" spans="1:14" ht="40.5" customHeight="1" thickBot="1" x14ac:dyDescent="0.3">
      <c r="A11" s="322" t="s">
        <v>83</v>
      </c>
      <c r="B11" s="323"/>
      <c r="C11" s="324"/>
      <c r="D11" s="318">
        <f>'Иные конкурентные закупки'!G2</f>
        <v>0</v>
      </c>
      <c r="E11" s="319"/>
      <c r="F11" s="320"/>
      <c r="G11" s="318">
        <f>'Иные конкурентные закупки'!Q2</f>
        <v>0</v>
      </c>
      <c r="H11" s="319"/>
      <c r="I11" s="320"/>
      <c r="J11" s="318">
        <f>'Иные конкурентные закупки'!AB2</f>
        <v>0</v>
      </c>
      <c r="K11" s="319"/>
      <c r="L11" s="320"/>
      <c r="M11" s="318">
        <f t="shared" si="0"/>
        <v>0</v>
      </c>
      <c r="N11" s="320"/>
    </row>
    <row r="12" spans="1:14" ht="54.75" customHeight="1" thickBot="1" x14ac:dyDescent="0.3">
      <c r="A12" s="325" t="s">
        <v>50</v>
      </c>
      <c r="B12" s="326"/>
      <c r="C12" s="327"/>
      <c r="D12" s="321">
        <f>'Ед. поставщик п.4 ч.1'!H2</f>
        <v>0</v>
      </c>
      <c r="E12" s="321"/>
      <c r="F12" s="321"/>
      <c r="G12" s="321">
        <f>D12</f>
        <v>0</v>
      </c>
      <c r="H12" s="321"/>
      <c r="I12" s="321"/>
      <c r="J12" s="318">
        <f>'Ед. поставщик п.4 ч.1'!V2</f>
        <v>0</v>
      </c>
      <c r="K12" s="319"/>
      <c r="L12" s="320"/>
      <c r="M12" s="321">
        <f t="shared" si="0"/>
        <v>0</v>
      </c>
      <c r="N12" s="321"/>
    </row>
    <row r="13" spans="1:14" ht="45.75" customHeight="1" thickBot="1" x14ac:dyDescent="0.3">
      <c r="A13" s="325" t="s">
        <v>51</v>
      </c>
      <c r="B13" s="326"/>
      <c r="C13" s="327"/>
      <c r="D13" s="321">
        <f>'Ед. поставщик п.5 ч.1'!H2</f>
        <v>726446.28</v>
      </c>
      <c r="E13" s="321"/>
      <c r="F13" s="321"/>
      <c r="G13" s="321">
        <f>D13</f>
        <v>726446.28</v>
      </c>
      <c r="H13" s="321"/>
      <c r="I13" s="321"/>
      <c r="J13" s="318">
        <f>'Ед. поставщик п.5 ч.1'!V2</f>
        <v>0</v>
      </c>
      <c r="K13" s="319"/>
      <c r="L13" s="320"/>
      <c r="M13" s="321">
        <f t="shared" si="0"/>
        <v>0</v>
      </c>
      <c r="N13" s="321"/>
    </row>
    <row r="14" spans="1:14" ht="45.75" customHeight="1" thickBot="1" x14ac:dyDescent="0.3">
      <c r="A14" s="315" t="s">
        <v>52</v>
      </c>
      <c r="B14" s="316"/>
      <c r="C14" s="317"/>
      <c r="D14" s="318">
        <f>'Ед.поставщик за искл. п.4,5 ч.1'!G2</f>
        <v>774185.67</v>
      </c>
      <c r="E14" s="319"/>
      <c r="F14" s="320"/>
      <c r="G14" s="318">
        <f>D14</f>
        <v>774185.67</v>
      </c>
      <c r="H14" s="319"/>
      <c r="I14" s="320"/>
      <c r="J14" s="318">
        <f>'Ед.поставщик за искл. п.4,5 ч.1'!T2</f>
        <v>0</v>
      </c>
      <c r="K14" s="319"/>
      <c r="L14" s="320"/>
      <c r="M14" s="321">
        <f t="shared" si="0"/>
        <v>0</v>
      </c>
      <c r="N14" s="321"/>
    </row>
    <row r="15" spans="1:14" ht="21" thickBot="1" x14ac:dyDescent="0.3">
      <c r="A15" s="328" t="s">
        <v>146</v>
      </c>
      <c r="B15" s="329"/>
      <c r="C15" s="330"/>
      <c r="D15" s="321">
        <f>SUM(D9:D14)</f>
        <v>3088759.49</v>
      </c>
      <c r="E15" s="321"/>
      <c r="F15" s="321"/>
      <c r="G15" s="318">
        <f>SUM(G9:G14)</f>
        <v>3022080.29</v>
      </c>
      <c r="H15" s="319"/>
      <c r="I15" s="320"/>
      <c r="J15" s="318">
        <f>SUM(J9:J14)</f>
        <v>0</v>
      </c>
      <c r="K15" s="319"/>
      <c r="L15" s="320"/>
      <c r="M15" s="321">
        <f t="shared" si="0"/>
        <v>66679.200000000186</v>
      </c>
      <c r="N15" s="321"/>
    </row>
    <row r="18" spans="1:12" ht="15.75" thickBot="1" x14ac:dyDescent="0.3"/>
    <row r="19" spans="1:12" ht="23.25" customHeight="1" x14ac:dyDescent="0.25">
      <c r="A19" s="303" t="s">
        <v>35</v>
      </c>
      <c r="B19" s="304"/>
      <c r="C19" s="305"/>
      <c r="D19" s="309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261251.93000000002</v>
      </c>
      <c r="E19" s="310"/>
      <c r="F19" s="310"/>
      <c r="G19" s="311"/>
      <c r="I19" s="15"/>
      <c r="J19" s="15"/>
      <c r="K19" s="15"/>
      <c r="L19" s="15"/>
    </row>
    <row r="20" spans="1:12" ht="24" customHeight="1" thickBot="1" x14ac:dyDescent="0.3">
      <c r="A20" s="306"/>
      <c r="B20" s="307"/>
      <c r="C20" s="308"/>
      <c r="D20" s="312"/>
      <c r="E20" s="313"/>
      <c r="F20" s="313"/>
      <c r="G20" s="314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9"/>
  <sheetViews>
    <sheetView showGridLines="0" zoomScale="50" zoomScaleNormal="50" workbookViewId="0">
      <pane ySplit="8" topLeftCell="A9" activePane="bottomLeft" state="frozen"/>
      <selection activeCell="I1" sqref="I1"/>
      <selection pane="bottomLeft" activeCell="A8" sqref="A8:XFD8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570312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425781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5703125" style="2" customWidth="1"/>
    <col min="21" max="21" width="24.5703125" style="11" customWidth="1"/>
    <col min="22" max="22" width="25.5703125" style="26" customWidth="1"/>
    <col min="23" max="23" width="17.570312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0</v>
      </c>
      <c r="K2" s="350"/>
      <c r="L2" s="350"/>
      <c r="M2" s="350"/>
      <c r="N2" s="351" t="s">
        <v>137</v>
      </c>
      <c r="O2" s="353"/>
      <c r="P2" s="66">
        <f>SUM(P9:P9999)</f>
        <v>0</v>
      </c>
      <c r="R2" s="65"/>
      <c r="S2" s="351" t="s">
        <v>45</v>
      </c>
      <c r="T2" s="352"/>
      <c r="U2" s="353"/>
      <c r="V2" s="67">
        <f>SUM(V9:V9999)</f>
        <v>0</v>
      </c>
    </row>
    <row r="3" spans="1:24" x14ac:dyDescent="0.25">
      <c r="A3" s="350"/>
      <c r="B3" s="350"/>
      <c r="C3" s="350"/>
      <c r="D3" s="350"/>
      <c r="E3" s="350"/>
      <c r="N3" s="65"/>
    </row>
    <row r="4" spans="1:24" ht="39.950000000000003" customHeight="1" x14ac:dyDescent="0.25">
      <c r="J4" s="354"/>
      <c r="K4" s="354"/>
      <c r="M4" s="354"/>
      <c r="N4" s="354"/>
      <c r="O4" s="354"/>
      <c r="P4" s="354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ht="16.5" customHeight="1" x14ac:dyDescent="0.25">
      <c r="A9" s="101"/>
      <c r="B9" s="151"/>
      <c r="C9" s="102"/>
      <c r="D9" s="151"/>
      <c r="E9" s="145"/>
      <c r="F9" s="106"/>
      <c r="G9" s="102"/>
      <c r="H9" s="107"/>
      <c r="I9" s="108">
        <f>IF(X9 = 72, H9 + SUM(S9:S9) - SUM(T9:T9) - SUM(P9:P9) - V9,0)</f>
        <v>0</v>
      </c>
      <c r="J9" s="102"/>
      <c r="K9" s="102"/>
      <c r="L9" s="102"/>
      <c r="M9" s="144"/>
      <c r="N9" s="106"/>
      <c r="O9" s="146"/>
      <c r="P9" s="107"/>
      <c r="Q9" s="103"/>
      <c r="R9" s="105"/>
      <c r="S9" s="107"/>
      <c r="T9" s="107"/>
      <c r="U9" s="107"/>
      <c r="V9" s="104"/>
      <c r="W9" s="105"/>
      <c r="X9" s="2">
        <v>124</v>
      </c>
    </row>
  </sheetData>
  <sheetProtection algorithmName="SHA-512" hashValue="1sWjRj49MYugHXN31FHxahM5da7x0qKAC44oD3us9cC/Et3wtbcWvNREj/Q6nRu6hOR7xc43hvjIOXc7s3Fybg==" saltValue="hJ1TLft+PRpTgzkniI4+0g==" spinCount="100000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5"/>
  <sheetViews>
    <sheetView showGridLines="0" topLeftCell="K1" zoomScale="50" zoomScaleNormal="50" workbookViewId="0">
      <pane ySplit="8" topLeftCell="A15" activePane="bottomLeft" state="frozen"/>
      <selection pane="bottomLeft" activeCell="O23" sqref="O23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42578125" style="3" customWidth="1"/>
    <col min="6" max="6" width="32.42578125" style="3" customWidth="1"/>
    <col min="7" max="7" width="40.42578125" style="11" customWidth="1"/>
    <col min="8" max="8" width="27.5703125" style="3" customWidth="1"/>
    <col min="9" max="9" width="33" style="3" customWidth="1"/>
    <col min="10" max="11" width="27.425781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42578125" style="3" customWidth="1"/>
    <col min="16" max="16" width="24.5703125" style="26" customWidth="1"/>
    <col min="17" max="17" width="24.42578125" style="11" customWidth="1"/>
    <col min="18" max="18" width="23.42578125" style="3" customWidth="1"/>
    <col min="19" max="19" width="25.5703125" style="3" customWidth="1"/>
    <col min="20" max="20" width="26" style="3" customWidth="1"/>
    <col min="21" max="21" width="23.570312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373" t="s">
        <v>24</v>
      </c>
      <c r="G2" s="374"/>
      <c r="H2" s="75">
        <f>SUM(H9:H9999)</f>
        <v>726446.28</v>
      </c>
      <c r="I2" s="65"/>
      <c r="N2" s="351" t="s">
        <v>137</v>
      </c>
      <c r="O2" s="353"/>
      <c r="P2" s="66">
        <f>SUM(P9:P9999)</f>
        <v>49198.69</v>
      </c>
      <c r="R2" s="65"/>
      <c r="S2" s="351" t="s">
        <v>45</v>
      </c>
      <c r="T2" s="352"/>
      <c r="U2" s="353"/>
      <c r="V2" s="67">
        <f>SUM(V9:V9999)</f>
        <v>0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35000000000002" customHeight="1" x14ac:dyDescent="0.25">
      <c r="A9" s="375">
        <v>1</v>
      </c>
      <c r="B9" s="357" t="s">
        <v>56</v>
      </c>
      <c r="C9" s="357" t="s">
        <v>147</v>
      </c>
      <c r="D9" s="357" t="s">
        <v>155</v>
      </c>
      <c r="E9" s="357" t="s">
        <v>196</v>
      </c>
      <c r="F9" s="361">
        <v>45566</v>
      </c>
      <c r="G9" s="363" t="s">
        <v>148</v>
      </c>
      <c r="H9" s="365">
        <v>230728.3</v>
      </c>
      <c r="I9" s="367">
        <f>IF(X9 = 1, H9 + SUM(S9:S10) - SUM(T9:T10) - SUM(P9:P10) - V9,0)</f>
        <v>188257.65999999997</v>
      </c>
      <c r="J9" s="369">
        <v>2308070396</v>
      </c>
      <c r="K9" s="371" t="s">
        <v>149</v>
      </c>
      <c r="L9" s="357" t="s">
        <v>147</v>
      </c>
      <c r="M9" s="357" t="s">
        <v>195</v>
      </c>
      <c r="N9" s="274">
        <v>45666</v>
      </c>
      <c r="O9" s="361" t="s">
        <v>154</v>
      </c>
      <c r="P9" s="270">
        <v>23514.78</v>
      </c>
      <c r="Q9" s="267"/>
      <c r="R9" s="268"/>
      <c r="S9" s="269"/>
      <c r="T9" s="270"/>
      <c r="U9" s="365"/>
      <c r="V9" s="355"/>
      <c r="W9" s="359"/>
      <c r="X9" s="80">
        <v>1</v>
      </c>
    </row>
    <row r="10" spans="1:24" s="110" customFormat="1" x14ac:dyDescent="0.25">
      <c r="A10" s="376"/>
      <c r="B10" s="358"/>
      <c r="C10" s="358"/>
      <c r="D10" s="358"/>
      <c r="E10" s="358"/>
      <c r="F10" s="362"/>
      <c r="G10" s="364"/>
      <c r="H10" s="366"/>
      <c r="I10" s="368"/>
      <c r="J10" s="370"/>
      <c r="K10" s="372"/>
      <c r="L10" s="358"/>
      <c r="M10" s="358"/>
      <c r="N10" s="275">
        <v>45689</v>
      </c>
      <c r="O10" s="362"/>
      <c r="P10" s="276">
        <v>18955.86</v>
      </c>
      <c r="Q10" s="272"/>
      <c r="R10" s="273"/>
      <c r="S10" s="271"/>
      <c r="T10" s="271"/>
      <c r="U10" s="366"/>
      <c r="V10" s="356"/>
      <c r="W10" s="360"/>
      <c r="X10" s="110">
        <v>1</v>
      </c>
    </row>
    <row r="11" spans="1:24" s="80" customFormat="1" ht="63.6" customHeight="1" x14ac:dyDescent="0.25">
      <c r="A11" s="236">
        <v>2</v>
      </c>
      <c r="B11" s="233" t="s">
        <v>56</v>
      </c>
      <c r="C11" s="233" t="s">
        <v>147</v>
      </c>
      <c r="D11" s="233" t="s">
        <v>153</v>
      </c>
      <c r="E11" s="233" t="s">
        <v>161</v>
      </c>
      <c r="F11" s="235">
        <v>45653</v>
      </c>
      <c r="G11" s="232" t="s">
        <v>162</v>
      </c>
      <c r="H11" s="234">
        <v>24254.1</v>
      </c>
      <c r="I11" s="237">
        <f>IF(X11 = 33, H11 + SUM(S11:S11) - SUM(T11:T11) - SUM(P11:P11) - V11,0)</f>
        <v>24254.1</v>
      </c>
      <c r="J11" s="238">
        <v>2308131994</v>
      </c>
      <c r="K11" s="239" t="s">
        <v>163</v>
      </c>
      <c r="L11" s="233" t="s">
        <v>147</v>
      </c>
      <c r="M11" s="233" t="s">
        <v>195</v>
      </c>
      <c r="N11" s="235"/>
      <c r="O11" s="235" t="s">
        <v>164</v>
      </c>
      <c r="P11" s="277"/>
      <c r="Q11" s="232"/>
      <c r="R11" s="233"/>
      <c r="S11" s="234"/>
      <c r="T11" s="234"/>
      <c r="U11" s="234"/>
      <c r="V11" s="240"/>
      <c r="W11" s="241"/>
      <c r="X11" s="80">
        <v>33</v>
      </c>
    </row>
    <row r="12" spans="1:24" s="80" customFormat="1" ht="54" customHeight="1" x14ac:dyDescent="0.25">
      <c r="A12" s="187">
        <v>3</v>
      </c>
      <c r="B12" s="172" t="s">
        <v>56</v>
      </c>
      <c r="C12" s="172" t="s">
        <v>147</v>
      </c>
      <c r="D12" s="172" t="s">
        <v>153</v>
      </c>
      <c r="E12" s="172" t="s">
        <v>165</v>
      </c>
      <c r="F12" s="174">
        <v>45657</v>
      </c>
      <c r="G12" s="175" t="s">
        <v>166</v>
      </c>
      <c r="H12" s="176">
        <v>24000</v>
      </c>
      <c r="I12" s="177">
        <f>IF(X12 = 34, H12 + SUM(S12:S12) - SUM(T12:T12) - SUM(P12:P12) - V12,0)</f>
        <v>22000</v>
      </c>
      <c r="J12" s="178">
        <v>2353002302</v>
      </c>
      <c r="K12" s="179" t="s">
        <v>167</v>
      </c>
      <c r="L12" s="172" t="s">
        <v>147</v>
      </c>
      <c r="M12" s="172" t="s">
        <v>195</v>
      </c>
      <c r="N12" s="159">
        <v>45688</v>
      </c>
      <c r="O12" s="174" t="s">
        <v>197</v>
      </c>
      <c r="P12" s="263">
        <v>2000</v>
      </c>
      <c r="Q12" s="156"/>
      <c r="R12" s="157"/>
      <c r="S12" s="158"/>
      <c r="T12" s="158"/>
      <c r="U12" s="176"/>
      <c r="V12" s="180"/>
      <c r="W12" s="173"/>
      <c r="X12" s="80">
        <v>34</v>
      </c>
    </row>
    <row r="13" spans="1:24" s="80" customFormat="1" ht="72" customHeight="1" x14ac:dyDescent="0.25">
      <c r="A13" s="187">
        <v>4</v>
      </c>
      <c r="B13" s="172" t="s">
        <v>56</v>
      </c>
      <c r="C13" s="172" t="s">
        <v>147</v>
      </c>
      <c r="D13" s="172" t="s">
        <v>153</v>
      </c>
      <c r="E13" s="172" t="s">
        <v>168</v>
      </c>
      <c r="F13" s="174">
        <v>45657</v>
      </c>
      <c r="G13" s="175" t="s">
        <v>169</v>
      </c>
      <c r="H13" s="176">
        <v>36000</v>
      </c>
      <c r="I13" s="177">
        <f>IF(X13 = 35, H13 + SUM(S13:S13) - SUM(T13:T13) - SUM(P13:P13) - V13,0)</f>
        <v>33000</v>
      </c>
      <c r="J13" s="178">
        <v>2353002302</v>
      </c>
      <c r="K13" s="179" t="s">
        <v>167</v>
      </c>
      <c r="L13" s="172" t="s">
        <v>147</v>
      </c>
      <c r="M13" s="172" t="s">
        <v>195</v>
      </c>
      <c r="N13" s="159">
        <v>45688</v>
      </c>
      <c r="O13" s="174" t="s">
        <v>180</v>
      </c>
      <c r="P13" s="263">
        <v>3000</v>
      </c>
      <c r="Q13" s="156"/>
      <c r="R13" s="157"/>
      <c r="S13" s="158"/>
      <c r="T13" s="158"/>
      <c r="U13" s="176"/>
      <c r="V13" s="180"/>
      <c r="W13" s="173"/>
      <c r="X13" s="80">
        <v>35</v>
      </c>
    </row>
    <row r="14" spans="1:24" s="80" customFormat="1" ht="90" customHeight="1" x14ac:dyDescent="0.25">
      <c r="A14" s="191">
        <v>5</v>
      </c>
      <c r="B14" s="220" t="s">
        <v>56</v>
      </c>
      <c r="C14" s="220" t="s">
        <v>147</v>
      </c>
      <c r="D14" s="220" t="s">
        <v>153</v>
      </c>
      <c r="E14" s="220" t="s">
        <v>198</v>
      </c>
      <c r="F14" s="218">
        <v>45653</v>
      </c>
      <c r="G14" s="223" t="s">
        <v>170</v>
      </c>
      <c r="H14" s="219">
        <v>27331.200000000001</v>
      </c>
      <c r="I14" s="224">
        <f>IF(X14 = 36, H14 + SUM(S14:S14) - SUM(T14:T14) - SUM(P14:P14) - V14,0)</f>
        <v>27331.200000000001</v>
      </c>
      <c r="J14" s="225">
        <v>2310163739</v>
      </c>
      <c r="K14" s="226" t="s">
        <v>171</v>
      </c>
      <c r="L14" s="220" t="s">
        <v>147</v>
      </c>
      <c r="M14" s="220" t="s">
        <v>195</v>
      </c>
      <c r="N14" s="167"/>
      <c r="O14" s="218" t="s">
        <v>172</v>
      </c>
      <c r="P14" s="278"/>
      <c r="Q14" s="164"/>
      <c r="R14" s="165"/>
      <c r="S14" s="166"/>
      <c r="T14" s="166"/>
      <c r="U14" s="219"/>
      <c r="V14" s="221"/>
      <c r="W14" s="222"/>
      <c r="X14" s="80">
        <v>36</v>
      </c>
    </row>
    <row r="15" spans="1:24" s="80" customFormat="1" ht="36" customHeight="1" x14ac:dyDescent="0.25">
      <c r="A15" s="188">
        <v>6</v>
      </c>
      <c r="B15" s="189" t="s">
        <v>56</v>
      </c>
      <c r="C15" s="189" t="s">
        <v>147</v>
      </c>
      <c r="D15" s="189" t="s">
        <v>153</v>
      </c>
      <c r="E15" s="189" t="s">
        <v>175</v>
      </c>
      <c r="F15" s="196">
        <v>45653</v>
      </c>
      <c r="G15" s="216" t="s">
        <v>176</v>
      </c>
      <c r="H15" s="195">
        <v>36000</v>
      </c>
      <c r="I15" s="208">
        <f>IF(X15 = 39, H15 + SUM(S15:S15) - SUM(T15:T15) - SUM(P15:P15) - V15,0)</f>
        <v>36000</v>
      </c>
      <c r="J15" s="207">
        <v>235306577600</v>
      </c>
      <c r="K15" s="217" t="s">
        <v>178</v>
      </c>
      <c r="L15" s="189" t="s">
        <v>147</v>
      </c>
      <c r="M15" s="189" t="s">
        <v>195</v>
      </c>
      <c r="N15" s="150"/>
      <c r="O15" s="196" t="s">
        <v>208</v>
      </c>
      <c r="P15" s="279"/>
      <c r="Q15" s="147"/>
      <c r="R15" s="148"/>
      <c r="S15" s="149"/>
      <c r="T15" s="149"/>
      <c r="U15" s="195"/>
      <c r="V15" s="215"/>
      <c r="W15" s="194"/>
      <c r="X15" s="80">
        <v>39</v>
      </c>
    </row>
    <row r="16" spans="1:24" s="80" customFormat="1" ht="56.25" x14ac:dyDescent="0.25">
      <c r="A16" s="111">
        <v>7</v>
      </c>
      <c r="B16" s="109" t="s">
        <v>56</v>
      </c>
      <c r="C16" s="112" t="s">
        <v>147</v>
      </c>
      <c r="D16" s="109" t="s">
        <v>153</v>
      </c>
      <c r="E16" s="112" t="s">
        <v>118</v>
      </c>
      <c r="F16" s="121">
        <v>45653</v>
      </c>
      <c r="G16" s="113" t="s">
        <v>177</v>
      </c>
      <c r="H16" s="114">
        <v>47175.360000000001</v>
      </c>
      <c r="I16" s="115">
        <f>IF(X16 = 40, H16 + SUM(S16:S16) - SUM(T16:T16) - SUM(P16:P16) - V16,0)</f>
        <v>45843.360000000001</v>
      </c>
      <c r="J16" s="116">
        <v>2353023951</v>
      </c>
      <c r="K16" s="117" t="s">
        <v>179</v>
      </c>
      <c r="L16" s="112" t="s">
        <v>147</v>
      </c>
      <c r="M16" s="109" t="s">
        <v>195</v>
      </c>
      <c r="N16" s="121">
        <v>45685</v>
      </c>
      <c r="O16" s="119" t="s">
        <v>180</v>
      </c>
      <c r="P16" s="280">
        <v>1332</v>
      </c>
      <c r="Q16" s="113"/>
      <c r="R16" s="112"/>
      <c r="S16" s="114"/>
      <c r="T16" s="114"/>
      <c r="U16" s="114"/>
      <c r="V16" s="118"/>
      <c r="W16" s="120"/>
      <c r="X16" s="80">
        <v>40</v>
      </c>
    </row>
    <row r="17" spans="1:24" s="80" customFormat="1" ht="108" customHeight="1" x14ac:dyDescent="0.25">
      <c r="A17" s="190">
        <v>8</v>
      </c>
      <c r="B17" s="182" t="s">
        <v>56</v>
      </c>
      <c r="C17" s="182" t="s">
        <v>147</v>
      </c>
      <c r="D17" s="182" t="s">
        <v>153</v>
      </c>
      <c r="E17" s="182" t="s">
        <v>199</v>
      </c>
      <c r="F17" s="201">
        <v>45653</v>
      </c>
      <c r="G17" s="202" t="s">
        <v>181</v>
      </c>
      <c r="H17" s="197">
        <v>54000</v>
      </c>
      <c r="I17" s="203">
        <f>IF(X17 = 41, H17 + SUM(S17:S17) - SUM(T17:T17) - SUM(P17:P17) - V17,0)</f>
        <v>54000</v>
      </c>
      <c r="J17" s="204">
        <v>2353017179</v>
      </c>
      <c r="K17" s="181" t="s">
        <v>182</v>
      </c>
      <c r="L17" s="182" t="s">
        <v>147</v>
      </c>
      <c r="M17" s="182" t="s">
        <v>195</v>
      </c>
      <c r="N17" s="163"/>
      <c r="O17" s="201" t="s">
        <v>180</v>
      </c>
      <c r="P17" s="281"/>
      <c r="Q17" s="160"/>
      <c r="R17" s="161"/>
      <c r="S17" s="162"/>
      <c r="T17" s="162"/>
      <c r="U17" s="197"/>
      <c r="V17" s="198"/>
      <c r="W17" s="200"/>
      <c r="X17" s="80">
        <v>41</v>
      </c>
    </row>
    <row r="18" spans="1:24" s="80" customFormat="1" ht="54" customHeight="1" x14ac:dyDescent="0.25">
      <c r="A18" s="192">
        <v>9</v>
      </c>
      <c r="B18" s="193" t="s">
        <v>56</v>
      </c>
      <c r="C18" s="193" t="s">
        <v>147</v>
      </c>
      <c r="D18" s="193" t="s">
        <v>153</v>
      </c>
      <c r="E18" s="193" t="s">
        <v>200</v>
      </c>
      <c r="F18" s="212">
        <v>45656</v>
      </c>
      <c r="G18" s="228" t="s">
        <v>183</v>
      </c>
      <c r="H18" s="213">
        <v>3600</v>
      </c>
      <c r="I18" s="229">
        <f>IF(X18 = 42, H18 + SUM(S18:S18) - SUM(T18:T18) - SUM(P18:P18) - V18,0)</f>
        <v>3600</v>
      </c>
      <c r="J18" s="230">
        <v>2369000660</v>
      </c>
      <c r="K18" s="231" t="s">
        <v>184</v>
      </c>
      <c r="L18" s="193" t="s">
        <v>147</v>
      </c>
      <c r="M18" s="193" t="s">
        <v>195</v>
      </c>
      <c r="N18" s="171"/>
      <c r="O18" s="212" t="s">
        <v>180</v>
      </c>
      <c r="P18" s="282"/>
      <c r="Q18" s="168"/>
      <c r="R18" s="169"/>
      <c r="S18" s="170"/>
      <c r="T18" s="170"/>
      <c r="U18" s="213"/>
      <c r="V18" s="214"/>
      <c r="W18" s="227"/>
      <c r="X18" s="80">
        <v>42</v>
      </c>
    </row>
    <row r="19" spans="1:24" s="80" customFormat="1" ht="36" customHeight="1" x14ac:dyDescent="0.25">
      <c r="A19" s="209">
        <v>10</v>
      </c>
      <c r="B19" s="186" t="s">
        <v>56</v>
      </c>
      <c r="C19" s="186" t="s">
        <v>147</v>
      </c>
      <c r="D19" s="186" t="s">
        <v>153</v>
      </c>
      <c r="E19" s="186" t="s">
        <v>188</v>
      </c>
      <c r="F19" s="205">
        <v>45653</v>
      </c>
      <c r="G19" s="206" t="s">
        <v>185</v>
      </c>
      <c r="H19" s="210">
        <v>4550</v>
      </c>
      <c r="I19" s="183">
        <f>IF(X19 = 43, H19 + SUM(S19:S19) - SUM(T19:T19) - SUM(P19:P19) - V19,0)</f>
        <v>4153.95</v>
      </c>
      <c r="J19" s="184">
        <v>7707049388</v>
      </c>
      <c r="K19" s="185" t="s">
        <v>186</v>
      </c>
      <c r="L19" s="186" t="s">
        <v>187</v>
      </c>
      <c r="M19" s="186" t="s">
        <v>195</v>
      </c>
      <c r="N19" s="155">
        <v>45688</v>
      </c>
      <c r="O19" s="205" t="s">
        <v>180</v>
      </c>
      <c r="P19" s="283">
        <v>396.05</v>
      </c>
      <c r="Q19" s="152"/>
      <c r="R19" s="153"/>
      <c r="S19" s="154"/>
      <c r="T19" s="154"/>
      <c r="U19" s="210"/>
      <c r="V19" s="211"/>
      <c r="W19" s="199"/>
      <c r="X19" s="80">
        <v>43</v>
      </c>
    </row>
    <row r="20" spans="1:24" s="80" customFormat="1" ht="42" customHeight="1" x14ac:dyDescent="0.25">
      <c r="A20" s="259">
        <v>11</v>
      </c>
      <c r="B20" s="260" t="s">
        <v>56</v>
      </c>
      <c r="C20" s="260" t="s">
        <v>147</v>
      </c>
      <c r="D20" s="260" t="s">
        <v>153</v>
      </c>
      <c r="E20" s="260" t="s">
        <v>224</v>
      </c>
      <c r="F20" s="261">
        <v>45653</v>
      </c>
      <c r="G20" s="262" t="s">
        <v>190</v>
      </c>
      <c r="H20" s="263">
        <v>13372.8</v>
      </c>
      <c r="I20" s="264">
        <f>IF(X20 = 46, H20 + SUM(S20:S20) - SUM(T20:T20) - SUM(P20:P20) - V20,0)</f>
        <v>13372.8</v>
      </c>
      <c r="J20" s="265">
        <v>2353018870</v>
      </c>
      <c r="K20" s="266" t="s">
        <v>191</v>
      </c>
      <c r="L20" s="260" t="s">
        <v>147</v>
      </c>
      <c r="M20" s="260" t="s">
        <v>195</v>
      </c>
      <c r="N20" s="261"/>
      <c r="O20" s="174" t="s">
        <v>180</v>
      </c>
      <c r="P20" s="263"/>
      <c r="Q20" s="156"/>
      <c r="R20" s="157"/>
      <c r="S20" s="158"/>
      <c r="T20" s="158"/>
      <c r="U20" s="176"/>
      <c r="V20" s="180"/>
      <c r="W20" s="173"/>
      <c r="X20" s="80">
        <v>46</v>
      </c>
    </row>
    <row r="21" spans="1:24" s="80" customFormat="1" ht="56.25" x14ac:dyDescent="0.25">
      <c r="A21" s="123">
        <v>12</v>
      </c>
      <c r="B21" s="109" t="s">
        <v>56</v>
      </c>
      <c r="C21" s="124" t="s">
        <v>147</v>
      </c>
      <c r="D21" s="109" t="s">
        <v>153</v>
      </c>
      <c r="E21" s="124" t="s">
        <v>36</v>
      </c>
      <c r="F21" s="132">
        <v>45656</v>
      </c>
      <c r="G21" s="125" t="s">
        <v>193</v>
      </c>
      <c r="H21" s="126">
        <v>15000</v>
      </c>
      <c r="I21" s="127">
        <f>IF(X21 = 47, H21 + SUM(S21:S21) - SUM(T21:T21) - SUM(P21:P21) - V21,0)</f>
        <v>15000</v>
      </c>
      <c r="J21" s="128">
        <v>2369007754</v>
      </c>
      <c r="K21" s="129" t="s">
        <v>192</v>
      </c>
      <c r="L21" s="124" t="s">
        <v>147</v>
      </c>
      <c r="M21" s="124" t="s">
        <v>195</v>
      </c>
      <c r="N21" s="132"/>
      <c r="O21" s="122" t="s">
        <v>180</v>
      </c>
      <c r="P21" s="284"/>
      <c r="Q21" s="125"/>
      <c r="R21" s="124"/>
      <c r="S21" s="126"/>
      <c r="T21" s="126"/>
      <c r="U21" s="126"/>
      <c r="V21" s="130"/>
      <c r="W21" s="131"/>
      <c r="X21" s="80">
        <v>47</v>
      </c>
    </row>
    <row r="22" spans="1:24" s="80" customFormat="1" ht="75" x14ac:dyDescent="0.25">
      <c r="A22" s="236">
        <v>13</v>
      </c>
      <c r="B22" s="109" t="s">
        <v>56</v>
      </c>
      <c r="C22" s="124" t="s">
        <v>147</v>
      </c>
      <c r="D22" s="109" t="s">
        <v>153</v>
      </c>
      <c r="E22" s="233" t="s">
        <v>201</v>
      </c>
      <c r="F22" s="242">
        <v>45656</v>
      </c>
      <c r="G22" s="232" t="s">
        <v>189</v>
      </c>
      <c r="H22" s="234">
        <v>190094.52</v>
      </c>
      <c r="I22" s="237">
        <f>IF(X22 = 80, H22 + SUM(S22:S22) - SUM(T22:T22) - SUM(P22:P22) - V22,0)</f>
        <v>190094.52</v>
      </c>
      <c r="J22" s="238">
        <v>7743529527</v>
      </c>
      <c r="K22" s="239" t="s">
        <v>173</v>
      </c>
      <c r="L22" s="233" t="s">
        <v>147</v>
      </c>
      <c r="M22" s="233" t="s">
        <v>204</v>
      </c>
      <c r="N22" s="242"/>
      <c r="O22" s="122" t="s">
        <v>209</v>
      </c>
      <c r="P22" s="277"/>
      <c r="Q22" s="232"/>
      <c r="R22" s="233"/>
      <c r="S22" s="234"/>
      <c r="T22" s="234"/>
      <c r="U22" s="234"/>
      <c r="V22" s="240"/>
      <c r="W22" s="241"/>
      <c r="X22" s="80">
        <v>80</v>
      </c>
    </row>
    <row r="23" spans="1:24" s="80" customFormat="1" ht="56.25" x14ac:dyDescent="0.25">
      <c r="A23" s="236">
        <v>14</v>
      </c>
      <c r="B23" s="109" t="s">
        <v>56</v>
      </c>
      <c r="C23" s="233" t="s">
        <v>147</v>
      </c>
      <c r="D23" s="109" t="s">
        <v>153</v>
      </c>
      <c r="E23" s="233" t="s">
        <v>129</v>
      </c>
      <c r="F23" s="242">
        <v>45672</v>
      </c>
      <c r="G23" s="232" t="s">
        <v>202</v>
      </c>
      <c r="H23" s="234">
        <v>18000</v>
      </c>
      <c r="I23" s="237">
        <f>IF(X23 = 81, H23 + SUM(S23:S23) - SUM(T23:T23) - SUM(P23:P23) - V23,0)</f>
        <v>18000</v>
      </c>
      <c r="J23" s="238">
        <v>231107998282</v>
      </c>
      <c r="K23" s="239" t="s">
        <v>203</v>
      </c>
      <c r="L23" s="233" t="s">
        <v>147</v>
      </c>
      <c r="M23" s="233" t="s">
        <v>195</v>
      </c>
      <c r="N23" s="242"/>
      <c r="O23" s="122" t="s">
        <v>180</v>
      </c>
      <c r="P23" s="234"/>
      <c r="Q23" s="232"/>
      <c r="R23" s="233"/>
      <c r="S23" s="234"/>
      <c r="T23" s="234"/>
      <c r="U23" s="234"/>
      <c r="V23" s="240"/>
      <c r="W23" s="241"/>
      <c r="X23" s="80">
        <v>81</v>
      </c>
    </row>
    <row r="24" spans="1:24" s="80" customFormat="1" ht="56.25" x14ac:dyDescent="0.25">
      <c r="A24" s="236">
        <v>15</v>
      </c>
      <c r="B24" s="109" t="s">
        <v>56</v>
      </c>
      <c r="C24" s="233" t="s">
        <v>147</v>
      </c>
      <c r="D24" s="109" t="s">
        <v>153</v>
      </c>
      <c r="E24" s="233" t="s">
        <v>205</v>
      </c>
      <c r="F24" s="242">
        <v>45672</v>
      </c>
      <c r="G24" s="232" t="s">
        <v>206</v>
      </c>
      <c r="H24" s="234">
        <v>2340</v>
      </c>
      <c r="I24" s="237">
        <f>IF(X24 = 82, H24 + SUM(S24:S24) - SUM(T24:T24) - SUM(P24:P24) - V24,0)</f>
        <v>2340</v>
      </c>
      <c r="J24" s="238">
        <v>7703383783</v>
      </c>
      <c r="K24" s="239" t="s">
        <v>207</v>
      </c>
      <c r="L24" s="233" t="s">
        <v>147</v>
      </c>
      <c r="M24" s="233" t="s">
        <v>195</v>
      </c>
      <c r="N24" s="242"/>
      <c r="O24" s="122" t="s">
        <v>210</v>
      </c>
      <c r="P24" s="234"/>
      <c r="Q24" s="232"/>
      <c r="R24" s="233"/>
      <c r="S24" s="234"/>
      <c r="T24" s="234"/>
      <c r="U24" s="234"/>
      <c r="V24" s="240"/>
      <c r="W24" s="241"/>
      <c r="X24" s="80">
        <v>82</v>
      </c>
    </row>
    <row r="25" spans="1:24" x14ac:dyDescent="0.25">
      <c r="X25" s="2">
        <v>85</v>
      </c>
    </row>
  </sheetData>
  <sheetProtection algorithmName="SHA-512" hashValue="1QlX/fKSSxb2aDqLE53jxXv8KmDbH0tlnwW5dvn2R/iTwnLvbAfh2A9s2yqC1rcjyDcgBkJwtCx6DCpoFcqKdg==" saltValue="HqeZsHfm3gWKEhewBVFKjg==" spinCount="100000" sheet="1" objects="1" scenarios="1" formatCells="0" formatColumns="0" formatRows="0"/>
  <mergeCells count="20">
    <mergeCell ref="S2:U2"/>
    <mergeCell ref="F2:G2"/>
    <mergeCell ref="N2:O2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topLeftCell="I1" zoomScale="50" zoomScaleNormal="50" workbookViewId="0">
      <pane ySplit="8" topLeftCell="A9" activePane="bottomLeft" state="frozen"/>
      <selection pane="bottomLeft" activeCell="L17" sqref="L17"/>
    </sheetView>
  </sheetViews>
  <sheetFormatPr defaultColWidth="0" defaultRowHeight="18.75" x14ac:dyDescent="0.25"/>
  <cols>
    <col min="1" max="1" width="8.425781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425781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5703125" style="10" customWidth="1"/>
    <col min="15" max="16" width="24.425781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373" t="s">
        <v>24</v>
      </c>
      <c r="F2" s="374"/>
      <c r="G2" s="75">
        <f>SUM(G9:G9999)</f>
        <v>774185.67</v>
      </c>
      <c r="L2" s="386" t="s">
        <v>137</v>
      </c>
      <c r="M2" s="387"/>
      <c r="N2" s="66">
        <f>SUM(N9:N9999)</f>
        <v>146662.46000000002</v>
      </c>
      <c r="P2" s="65"/>
      <c r="Q2" s="351" t="s">
        <v>45</v>
      </c>
      <c r="R2" s="352"/>
      <c r="S2" s="353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377">
        <v>1</v>
      </c>
      <c r="B9" s="380" t="s">
        <v>211</v>
      </c>
      <c r="C9" s="380" t="s">
        <v>153</v>
      </c>
      <c r="D9" s="380" t="s">
        <v>212</v>
      </c>
      <c r="E9" s="394">
        <v>45649</v>
      </c>
      <c r="F9" s="383" t="s">
        <v>213</v>
      </c>
      <c r="G9" s="388">
        <v>774185.67</v>
      </c>
      <c r="H9" s="397">
        <f>IF(V9 = 2, G9 + SUM(Q9:Q12) - SUM(R9:R12) - SUM(N9:N12) - T9,0)</f>
        <v>627523.21</v>
      </c>
      <c r="I9" s="400">
        <v>2308119595</v>
      </c>
      <c r="J9" s="380" t="s">
        <v>214</v>
      </c>
      <c r="K9" s="380" t="s">
        <v>195</v>
      </c>
      <c r="L9" s="291">
        <v>45658</v>
      </c>
      <c r="M9" s="380" t="s">
        <v>215</v>
      </c>
      <c r="N9" s="294">
        <v>35150.22</v>
      </c>
      <c r="O9" s="291"/>
      <c r="P9" s="285"/>
      <c r="Q9" s="286"/>
      <c r="R9" s="286"/>
      <c r="S9" s="383"/>
      <c r="T9" s="388"/>
      <c r="U9" s="391"/>
      <c r="V9" s="80">
        <v>2</v>
      </c>
    </row>
    <row r="10" spans="1:22" s="110" customFormat="1" x14ac:dyDescent="0.25">
      <c r="A10" s="378"/>
      <c r="B10" s="381"/>
      <c r="C10" s="381"/>
      <c r="D10" s="381"/>
      <c r="E10" s="395"/>
      <c r="F10" s="384"/>
      <c r="G10" s="389"/>
      <c r="H10" s="398"/>
      <c r="I10" s="401"/>
      <c r="J10" s="381"/>
      <c r="K10" s="381"/>
      <c r="L10" s="292">
        <v>45658</v>
      </c>
      <c r="M10" s="381"/>
      <c r="N10" s="295">
        <v>63723.1</v>
      </c>
      <c r="O10" s="292"/>
      <c r="P10" s="287"/>
      <c r="Q10" s="288"/>
      <c r="R10" s="288"/>
      <c r="S10" s="384"/>
      <c r="T10" s="389"/>
      <c r="U10" s="392"/>
      <c r="V10" s="110">
        <v>2</v>
      </c>
    </row>
    <row r="11" spans="1:22" s="110" customFormat="1" x14ac:dyDescent="0.25">
      <c r="A11" s="378"/>
      <c r="B11" s="381"/>
      <c r="C11" s="381"/>
      <c r="D11" s="381"/>
      <c r="E11" s="395"/>
      <c r="F11" s="384"/>
      <c r="G11" s="389"/>
      <c r="H11" s="398"/>
      <c r="I11" s="401"/>
      <c r="J11" s="381"/>
      <c r="K11" s="381"/>
      <c r="L11" s="292">
        <v>45688</v>
      </c>
      <c r="M11" s="381"/>
      <c r="N11" s="288"/>
      <c r="O11" s="292"/>
      <c r="P11" s="287"/>
      <c r="Q11" s="288"/>
      <c r="R11" s="288"/>
      <c r="S11" s="384"/>
      <c r="T11" s="389"/>
      <c r="U11" s="392"/>
      <c r="V11" s="110">
        <v>2</v>
      </c>
    </row>
    <row r="12" spans="1:22" s="110" customFormat="1" x14ac:dyDescent="0.25">
      <c r="A12" s="379"/>
      <c r="B12" s="382"/>
      <c r="C12" s="382"/>
      <c r="D12" s="382"/>
      <c r="E12" s="396"/>
      <c r="F12" s="385"/>
      <c r="G12" s="390"/>
      <c r="H12" s="399"/>
      <c r="I12" s="402"/>
      <c r="J12" s="382"/>
      <c r="K12" s="382"/>
      <c r="L12" s="293">
        <v>45689</v>
      </c>
      <c r="M12" s="382"/>
      <c r="N12" s="289">
        <v>47789.14</v>
      </c>
      <c r="O12" s="293"/>
      <c r="P12" s="290"/>
      <c r="Q12" s="289"/>
      <c r="R12" s="289"/>
      <c r="S12" s="385"/>
      <c r="T12" s="390"/>
      <c r="U12" s="393"/>
      <c r="V12" s="110">
        <v>2</v>
      </c>
    </row>
    <row r="13" spans="1:22" x14ac:dyDescent="0.25">
      <c r="V13" s="2">
        <v>3</v>
      </c>
    </row>
  </sheetData>
  <sheetProtection algorithmName="SHA-512" hashValue="IGsJBY7o2m4hSx7L+kp7+2+BCoCHAkLjY+3Mo/WpVKZAvD1zBUfHF6VDNznWiSgBbU8yLELkdH8uxJFYtrQwfw==" saltValue="z7osJ20F05QzB8pvgu9mVQ==" spinCount="100000" sheet="1" objects="1" scenarios="1" formatCells="0" formatColumns="0" formatRows="0"/>
  <mergeCells count="18">
    <mergeCell ref="T9:T12"/>
    <mergeCell ref="C9:C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A9:A12"/>
    <mergeCell ref="M9:M12"/>
    <mergeCell ref="S9:S12"/>
    <mergeCell ref="B9:B12"/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0"/>
  <sheetViews>
    <sheetView showGridLines="0" tabSelected="1" topLeftCell="Q1" zoomScale="50" zoomScaleNormal="50" workbookViewId="0">
      <pane ySplit="8" topLeftCell="A9" activePane="bottomLeft" state="frozen"/>
      <selection pane="bottomLeft" activeCell="S9" sqref="S9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5703125" style="3" customWidth="1"/>
    <col min="4" max="6" width="33.5703125" style="3" customWidth="1"/>
    <col min="7" max="8" width="22.42578125" style="10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42578125" style="11" customWidth="1"/>
    <col min="21" max="21" width="27.570312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570312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373" t="s">
        <v>139</v>
      </c>
      <c r="F2" s="374"/>
      <c r="G2" s="77">
        <f>SUM(G9:G9999)</f>
        <v>740880</v>
      </c>
      <c r="O2" s="373" t="s">
        <v>24</v>
      </c>
      <c r="P2" s="374"/>
      <c r="Q2" s="75">
        <f>SUM(Q9:Q9999)</f>
        <v>674200.8</v>
      </c>
      <c r="T2" s="351" t="s">
        <v>137</v>
      </c>
      <c r="U2" s="353"/>
      <c r="V2" s="66">
        <f>SUM(V9:V9999)</f>
        <v>0</v>
      </c>
      <c r="X2" s="65"/>
      <c r="Y2" s="351" t="s">
        <v>45</v>
      </c>
      <c r="Z2" s="352"/>
      <c r="AA2" s="353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35" customHeight="1" x14ac:dyDescent="0.25">
      <c r="A9" s="248">
        <v>1</v>
      </c>
      <c r="B9" s="243" t="s">
        <v>56</v>
      </c>
      <c r="C9" s="243" t="s">
        <v>216</v>
      </c>
      <c r="D9" s="243" t="s">
        <v>153</v>
      </c>
      <c r="E9" s="243" t="s">
        <v>217</v>
      </c>
      <c r="F9" s="243" t="s">
        <v>150</v>
      </c>
      <c r="G9" s="245">
        <v>740880</v>
      </c>
      <c r="H9" s="247">
        <f>IF(AD9 = 1, G9 - Q9,0)</f>
        <v>66679.199999999953</v>
      </c>
      <c r="I9" s="245">
        <v>2</v>
      </c>
      <c r="J9" s="245">
        <v>0</v>
      </c>
      <c r="K9" s="243" t="s">
        <v>174</v>
      </c>
      <c r="L9" s="243" t="s">
        <v>218</v>
      </c>
      <c r="M9" s="243" t="s">
        <v>217</v>
      </c>
      <c r="N9" s="246">
        <v>45649</v>
      </c>
      <c r="O9" s="243" t="s">
        <v>194</v>
      </c>
      <c r="P9" s="243" t="s">
        <v>151</v>
      </c>
      <c r="Q9" s="245">
        <v>674200.8</v>
      </c>
      <c r="R9" s="247">
        <f>IF(AD9 = 1, Q9 + SUM(Y9:Y9) - SUM(Z9:Z9) - SUM(V9:V9) - AB9,0)</f>
        <v>674200.8</v>
      </c>
      <c r="S9" s="243" t="s">
        <v>219</v>
      </c>
      <c r="T9" s="143"/>
      <c r="U9" s="244" t="s">
        <v>152</v>
      </c>
      <c r="V9" s="296"/>
      <c r="W9" s="143"/>
      <c r="X9" s="141"/>
      <c r="Y9" s="142"/>
      <c r="Z9" s="142"/>
      <c r="AA9" s="251"/>
      <c r="AB9" s="249"/>
      <c r="AC9" s="250"/>
      <c r="AD9" s="80">
        <v>1</v>
      </c>
    </row>
    <row r="10" spans="1:30" x14ac:dyDescent="0.25">
      <c r="AD10" s="2">
        <v>4</v>
      </c>
    </row>
  </sheetData>
  <sheetProtection algorithmName="SHA-512" hashValue="vKGH2MKDqw4EyyInzaT6vRBJ71Pw8sno4Hwt/h71aGB/Z3SqWM8bU9zoQ5/HKhpzS7//PjiN2ZVI0y19ZDFSpA==" saltValue="ZRGzAEgKvVhuIzOJMVJKJ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0"/>
  <sheetViews>
    <sheetView showGridLines="0" zoomScale="50" zoomScaleNormal="50" workbookViewId="0">
      <pane ySplit="8" topLeftCell="A9" activePane="bottomLeft" state="frozen"/>
      <selection pane="bottomLeft" activeCell="A9" sqref="A9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5703125" style="3" customWidth="1"/>
    <col min="7" max="7" width="22.42578125" style="10" customWidth="1"/>
    <col min="8" max="8" width="22.42578125" style="2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425781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373" t="s">
        <v>139</v>
      </c>
      <c r="F2" s="374"/>
      <c r="G2" s="77">
        <f>SUM(G9:G9999)</f>
        <v>847247.54</v>
      </c>
      <c r="H2" s="10"/>
      <c r="O2" s="373" t="s">
        <v>24</v>
      </c>
      <c r="P2" s="374"/>
      <c r="Q2" s="75">
        <f>SUM(Q9:Q9999)</f>
        <v>847247.54</v>
      </c>
      <c r="T2" s="351" t="s">
        <v>137</v>
      </c>
      <c r="U2" s="353"/>
      <c r="V2" s="66">
        <f>SUM(V9:V9999)</f>
        <v>65390.78</v>
      </c>
      <c r="X2" s="65"/>
      <c r="Y2" s="351" t="s">
        <v>45</v>
      </c>
      <c r="Z2" s="352"/>
      <c r="AA2" s="353"/>
      <c r="AB2" s="67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33" t="s">
        <v>36</v>
      </c>
      <c r="B8" s="133"/>
      <c r="C8" s="133" t="s">
        <v>73</v>
      </c>
      <c r="D8" s="133" t="s">
        <v>74</v>
      </c>
      <c r="E8" s="133" t="s">
        <v>71</v>
      </c>
      <c r="F8" s="133" t="s">
        <v>72</v>
      </c>
      <c r="G8" s="134">
        <v>15500.01</v>
      </c>
      <c r="H8" s="134">
        <f t="shared" ref="H8" si="0">G8-Q8</f>
        <v>6725</v>
      </c>
      <c r="I8" s="135">
        <v>6</v>
      </c>
      <c r="J8" s="135">
        <v>0</v>
      </c>
      <c r="K8" s="133" t="s">
        <v>75</v>
      </c>
      <c r="L8" s="133" t="s">
        <v>76</v>
      </c>
      <c r="M8" s="133" t="s">
        <v>77</v>
      </c>
      <c r="N8" s="136">
        <v>43655</v>
      </c>
      <c r="O8" s="133" t="s">
        <v>79</v>
      </c>
      <c r="P8" s="133" t="s">
        <v>78</v>
      </c>
      <c r="Q8" s="134">
        <v>8775.01</v>
      </c>
      <c r="R8" s="134">
        <f>Q8-V8</f>
        <v>0</v>
      </c>
      <c r="S8" s="133" t="s">
        <v>80</v>
      </c>
      <c r="T8" s="136">
        <v>43677</v>
      </c>
      <c r="U8" s="133" t="s">
        <v>81</v>
      </c>
      <c r="V8" s="134">
        <v>8775.01</v>
      </c>
      <c r="W8" s="136">
        <v>43696</v>
      </c>
      <c r="X8" s="133"/>
      <c r="Y8" s="133"/>
      <c r="Z8" s="133"/>
      <c r="AA8" s="133"/>
      <c r="AB8" s="134"/>
      <c r="AC8" s="137" t="s">
        <v>64</v>
      </c>
    </row>
    <row r="9" spans="1:30" s="80" customFormat="1" ht="54.6" customHeight="1" x14ac:dyDescent="0.25">
      <c r="A9" s="252">
        <v>1</v>
      </c>
      <c r="B9" s="253" t="s">
        <v>56</v>
      </c>
      <c r="C9" s="253" t="s">
        <v>220</v>
      </c>
      <c r="D9" s="253" t="s">
        <v>153</v>
      </c>
      <c r="E9" s="253" t="s">
        <v>221</v>
      </c>
      <c r="F9" s="253" t="s">
        <v>160</v>
      </c>
      <c r="G9" s="254">
        <v>847247.54</v>
      </c>
      <c r="H9" s="255">
        <f>IF(AD9 = 1, G9 - Q9,0)</f>
        <v>0</v>
      </c>
      <c r="I9" s="254">
        <v>1</v>
      </c>
      <c r="J9" s="254">
        <v>0</v>
      </c>
      <c r="K9" s="253" t="s">
        <v>174</v>
      </c>
      <c r="L9" s="258" t="s">
        <v>223</v>
      </c>
      <c r="M9" s="253" t="s">
        <v>156</v>
      </c>
      <c r="N9" s="257">
        <v>45642</v>
      </c>
      <c r="O9" s="253" t="s">
        <v>157</v>
      </c>
      <c r="P9" s="253" t="s">
        <v>158</v>
      </c>
      <c r="Q9" s="254">
        <v>847247.54</v>
      </c>
      <c r="R9" s="255">
        <f>IF(AD9 = 1, Q9 + SUM(Y9:Y9) - SUM(Z9:Z9) - SUM(V9:V9) - AB9,0)</f>
        <v>781856.76</v>
      </c>
      <c r="S9" s="253" t="s">
        <v>222</v>
      </c>
      <c r="T9" s="140">
        <v>45681</v>
      </c>
      <c r="U9" s="253" t="s">
        <v>159</v>
      </c>
      <c r="V9" s="297">
        <v>65390.78</v>
      </c>
      <c r="W9" s="140"/>
      <c r="X9" s="138"/>
      <c r="Y9" s="139"/>
      <c r="Z9" s="139"/>
      <c r="AA9" s="253"/>
      <c r="AB9" s="254"/>
      <c r="AC9" s="256"/>
      <c r="AD9" s="80">
        <v>1</v>
      </c>
    </row>
    <row r="10" spans="1:30" x14ac:dyDescent="0.25">
      <c r="AD10" s="2">
        <v>3</v>
      </c>
    </row>
  </sheetData>
  <sheetProtection algorithmName="SHA-512" hashValue="8lL+7Or0a3dPmBDp9sbLVT5QQ3affqwsXiyqkzicaTOc2FAusynCPW7xv8F5YkBOlaW1G/K8iCNjgBQcIHmEBw==" saltValue="V/GroN6CFjXB2KVBxDP3A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42578125" style="2" customWidth="1"/>
    <col min="4" max="6" width="33.5703125" style="2" customWidth="1"/>
    <col min="7" max="8" width="22.42578125" style="2" customWidth="1"/>
    <col min="9" max="9" width="24.42578125" style="2" customWidth="1"/>
    <col min="10" max="10" width="28.42578125" style="2" customWidth="1"/>
    <col min="11" max="12" width="19.5703125" style="2" customWidth="1"/>
    <col min="13" max="13" width="25.570312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425781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373" t="s">
        <v>139</v>
      </c>
      <c r="F2" s="374"/>
      <c r="G2" s="77">
        <f>SUM(G9:G9999)</f>
        <v>0</v>
      </c>
      <c r="H2" s="10"/>
      <c r="O2" s="373" t="s">
        <v>24</v>
      </c>
      <c r="P2" s="374"/>
      <c r="Q2" s="75">
        <f>SUM(Q9:Q9999)</f>
        <v>0</v>
      </c>
      <c r="T2" s="351" t="s">
        <v>137</v>
      </c>
      <c r="U2" s="353"/>
      <c r="V2" s="66">
        <f>SUM(V9:V9999)</f>
        <v>0</v>
      </c>
      <c r="X2" s="65"/>
      <c r="Y2" s="351" t="s">
        <v>45</v>
      </c>
      <c r="Z2" s="352"/>
      <c r="AA2" s="353"/>
      <c r="AB2" s="67">
        <f>SUM(AB9:AB9999)</f>
        <v>0</v>
      </c>
    </row>
    <row r="4" spans="1:30" ht="39.950000000000003" customHeight="1" x14ac:dyDescent="0.25">
      <c r="P4" s="350"/>
      <c r="Q4" s="350"/>
      <c r="R4" s="350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algorithmName="SHA-512" hashValue="zo+mNyjH5CiPOZWbHm/PDdPe2rwR7y8LXVlN6FUGhoItg6ZywZAfSm3Yegg+6NB/erBVo8VqOMqMU2TaySCoig==" saltValue="lPnVrASFiS7pJMqr3ek46w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42578125" style="32" customWidth="1"/>
    <col min="2" max="3" width="17.425781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8</v>
      </c>
      <c r="B1" s="46">
        <v>0</v>
      </c>
      <c r="C1" s="46">
        <v>9</v>
      </c>
      <c r="D1" s="405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406"/>
      <c r="E2" s="31"/>
      <c r="F2" s="59">
        <v>123</v>
      </c>
      <c r="G2" s="63">
        <v>84</v>
      </c>
      <c r="H2" s="62">
        <v>2</v>
      </c>
      <c r="I2" s="61">
        <v>3</v>
      </c>
      <c r="J2" s="60">
        <v>2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24</v>
      </c>
      <c r="B4" s="43">
        <v>15</v>
      </c>
      <c r="C4" s="43">
        <v>9</v>
      </c>
      <c r="D4" s="407" t="s">
        <v>102</v>
      </c>
      <c r="E4" s="31"/>
      <c r="F4" s="59">
        <v>124</v>
      </c>
      <c r="G4" s="63">
        <v>85</v>
      </c>
      <c r="H4" s="62">
        <v>3</v>
      </c>
      <c r="I4" s="61">
        <v>4</v>
      </c>
      <c r="J4" s="60">
        <v>3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408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12</v>
      </c>
      <c r="B7" s="45">
        <v>1</v>
      </c>
      <c r="C7" s="45">
        <v>9</v>
      </c>
      <c r="D7" s="409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410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9</v>
      </c>
      <c r="B10" s="41">
        <v>1</v>
      </c>
      <c r="C10" s="41">
        <v>9</v>
      </c>
      <c r="D10" s="411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412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9</v>
      </c>
      <c r="B13" s="39">
        <v>1</v>
      </c>
      <c r="C13" s="39">
        <v>9</v>
      </c>
      <c r="D13" s="413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414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403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404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2024-12-26T10:05:52Z</cp:lastPrinted>
  <dcterms:created xsi:type="dcterms:W3CDTF">2017-01-25T04:28:39Z</dcterms:created>
  <dcterms:modified xsi:type="dcterms:W3CDTF">2025-02-04T11:28:50Z</dcterms:modified>
</cp:coreProperties>
</file>