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Реестры закупок 2024\"/>
    </mc:Choice>
  </mc:AlternateContent>
  <workbookProtection workbookPassword="EB34" lockStructure="1"/>
  <bookViews>
    <workbookView xWindow="-105" yWindow="-105" windowWidth="19425" windowHeight="10425" tabRatio="603" activeTab="5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2" l="1"/>
  <c r="Q2" i="22"/>
  <c r="V2" i="22"/>
  <c r="AB2" i="22"/>
  <c r="G2" i="17"/>
  <c r="Q2" i="17"/>
  <c r="V2" i="17"/>
  <c r="AB2" i="17"/>
  <c r="G2" i="20"/>
  <c r="Q2" i="20"/>
  <c r="V2" i="20"/>
  <c r="AB2" i="20"/>
  <c r="G2" i="19"/>
  <c r="N2" i="19"/>
  <c r="T2" i="19"/>
  <c r="H2" i="31"/>
  <c r="P2" i="31"/>
  <c r="V2" i="31"/>
  <c r="H2" i="27"/>
  <c r="P2" i="27"/>
  <c r="V2" i="27"/>
  <c r="I184" i="31"/>
  <c r="I166" i="31"/>
  <c r="I180" i="31"/>
  <c r="I183" i="31"/>
  <c r="I182" i="31"/>
  <c r="I150" i="31"/>
  <c r="I69" i="31"/>
  <c r="I111" i="31"/>
  <c r="I72" i="27"/>
  <c r="I71" i="27"/>
  <c r="I39" i="27"/>
  <c r="I57" i="31"/>
  <c r="I45" i="31"/>
  <c r="I122" i="31"/>
  <c r="I158" i="31"/>
  <c r="I98" i="31"/>
  <c r="I9" i="31"/>
  <c r="I50" i="27"/>
  <c r="I70" i="27"/>
  <c r="I69" i="27"/>
  <c r="I170" i="31"/>
  <c r="I11" i="27" l="1"/>
  <c r="I68" i="27" l="1"/>
  <c r="I176" i="31" l="1"/>
  <c r="I84" i="31" l="1"/>
  <c r="H19" i="17" l="1"/>
  <c r="R19" i="17"/>
  <c r="H14" i="22" l="1"/>
  <c r="R14" i="22"/>
  <c r="I67" i="27" l="1"/>
  <c r="I66" i="27"/>
  <c r="I65" i="27" l="1"/>
  <c r="I64" i="27" l="1"/>
  <c r="I63" i="27" l="1"/>
  <c r="I62" i="27" l="1"/>
  <c r="I61" i="27"/>
  <c r="I172" i="31" l="1"/>
  <c r="I21" i="31" l="1"/>
  <c r="H15" i="17" l="1"/>
  <c r="R15" i="17"/>
  <c r="I59" i="27" l="1"/>
  <c r="I160" i="31" l="1"/>
  <c r="I58" i="27" l="1"/>
  <c r="I162" i="31" l="1"/>
  <c r="I26" i="27" l="1"/>
  <c r="I95" i="31" l="1"/>
  <c r="I49" i="27" l="1"/>
  <c r="I48" i="27" l="1"/>
  <c r="I47" i="27" l="1"/>
  <c r="I46" i="27" l="1"/>
  <c r="I45" i="27" l="1"/>
  <c r="I44" i="27" l="1"/>
  <c r="I157" i="31" l="1"/>
  <c r="I80" i="31" l="1"/>
  <c r="I38" i="27" l="1"/>
  <c r="I37" i="27" l="1"/>
  <c r="I36" i="27" l="1"/>
  <c r="I156" i="31" l="1"/>
  <c r="I35" i="27" l="1"/>
  <c r="I34" i="27" l="1"/>
  <c r="I33" i="27"/>
  <c r="I155" i="31" l="1"/>
  <c r="I32" i="27" l="1"/>
  <c r="I31" i="27" l="1"/>
  <c r="I30" i="27" l="1"/>
  <c r="I29" i="27" l="1"/>
  <c r="I28" i="27" l="1"/>
  <c r="I14" i="27" l="1"/>
  <c r="H9" i="19" l="1"/>
  <c r="H9" i="17"/>
  <c r="R9" i="17"/>
  <c r="I39" i="31" l="1"/>
  <c r="I25" i="27" l="1"/>
  <c r="I149" i="31" l="1"/>
  <c r="I148" i="31" l="1"/>
  <c r="I139" i="31" l="1"/>
  <c r="I141" i="31"/>
  <c r="I147" i="31"/>
  <c r="I137" i="31"/>
  <c r="I24" i="27" l="1"/>
  <c r="I23" i="27" l="1"/>
  <c r="I22" i="27"/>
  <c r="I21" i="27"/>
  <c r="I20" i="27" l="1"/>
  <c r="I19" i="27"/>
  <c r="I18" i="27" l="1"/>
  <c r="I13" i="27" l="1"/>
  <c r="H9" i="22" l="1"/>
  <c r="R9" i="22"/>
  <c r="I131" i="31" l="1"/>
  <c r="I134" i="31"/>
  <c r="I128" i="31"/>
  <c r="I9" i="27" l="1"/>
  <c r="I136" i="31" l="1"/>
  <c r="I127" i="31" l="1"/>
  <c r="I126" i="31"/>
  <c r="I110" i="31" l="1"/>
  <c r="I83" i="31" l="1"/>
  <c r="I73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<sst xmlns="http://schemas.openxmlformats.org/spreadsheetml/2006/main" count="1326" uniqueCount="496">
  <si>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</si>
  <si>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</si>
  <si>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</si>
  <si>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</si>
  <si>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</si>
  <si>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</si>
  <si>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</si>
  <si>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</si>
  <si>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</si>
  <si>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</si>
  <si>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</si>
  <si>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</si>
  <si>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</si>
  <si>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</si>
  <si>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</si>
  <si>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</si>
  <si>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</si>
  <si>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</si>
  <si>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</si>
  <si>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</si>
  <si>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</si>
  <si>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</si>
  <si>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</si>
  <si>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</si>
  <si>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</si>
  <si>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</si>
  <si>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</si>
  <si>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</si>
  <si>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</si>
  <si>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</si>
  <si>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</si>
  <si>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</si>
  <si>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</si>
  <si>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</si>
  <si>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</si>
  <si>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</si>
  <si>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</si>
  <si>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</si>
  <si>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</si>
  <si>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</si>
  <si>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</si>
  <si>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</si>
  <si>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</si>
  <si>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</si>
  <si>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</si>
  <si>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</si>
  <si>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</si>
  <si>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</si>
  <si>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</si>
  <si>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</si>
  <si>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</si>
  <si>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</si>
  <si>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</si>
  <si>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</si>
  <si>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</si>
  <si>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</si>
  <si>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</si>
  <si>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</si>
  <si>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</si>
  <si>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</si>
  <si>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</si>
  <si>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</si>
  <si>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</si>
  <si>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</si>
  <si>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</si>
  <si>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</si>
  <si>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</si>
  <si>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</si>
  <si>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</si>
  <si>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</si>
  <si>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</si>
  <si>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</si>
  <si>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</si>
  <si>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</si>
  <si>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</si>
  <si>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</si>
  <si>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</si>
  <si>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</si>
  <si>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</si>
  <si>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</si>
  <si>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</si>
  <si>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</si>
  <si>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</si>
  <si>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</si>
  <si>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</si>
  <si>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</si>
  <si>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</si>
  <si>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</si>
  <si>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</si>
  <si>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</si>
  <si>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</si>
  <si>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</si>
  <si>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</si>
  <si>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</si>
  <si>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</si>
  <si>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</si>
  <si>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</si>
  <si>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</si>
  <si>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</si>
  <si>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</si>
  <si>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</si>
  <si>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</si>
  <si>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</si>
  <si>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</si>
  <si>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</si>
  <si>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</si>
  <si>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</si>
  <si>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</si>
  <si>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</si>
  <si>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</si>
  <si>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</si>
  <si>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</si>
  <si>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</si>
  <si>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</si>
  <si>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</si>
  <si>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</si>
  <si>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</si>
  <si>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</si>
  <si>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</si>
  <si>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</si>
  <si>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</si>
  <si>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</si>
  <si>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</si>
  <si>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</si>
  <si>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</si>
  <si>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</si>
  <si>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</si>
  <si>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</si>
  <si>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</si>
  <si>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</si>
  <si>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</si>
  <si>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</si>
  <si>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</si>
  <si>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</si>
  <si>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</si>
  <si>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</si>
  <si>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</si>
  <si>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</si>
  <si>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</si>
  <si>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</si>
  <si>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</si>
  <si>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</si>
  <si>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</si>
  <si>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</si>
  <si>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</si>
  <si>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</si>
  <si>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</si>
  <si>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</si>
  <si>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</si>
  <si>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</si>
  <si>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</si>
  <si>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</si>
  <si>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</si>
  <si>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</si>
  <si>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</si>
  <si>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</si>
  <si>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</si>
  <si>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</si>
  <si>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</si>
  <si>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</si>
  <si>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</si>
  <si>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</si>
  <si>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</si>
  <si>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</si>
  <si>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</si>
  <si>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</si>
  <si>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</si>
  <si>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</si>
  <si>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</si>
  <si>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</si>
  <si>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</si>
  <si>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</si>
  <si>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</si>
  <si>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</si>
  <si>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</si>
  <si>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</si>
  <si>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</si>
  <si>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</si>
  <si>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</si>
  <si>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</si>
  <si>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</si>
  <si>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</si>
  <si>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</si>
  <si>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</si>
  <si>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</si>
  <si>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</si>
  <si>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</si>
  <si>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</si>
  <si>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</si>
  <si>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</si>
  <si>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</si>
  <si>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</si>
  <si>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</si>
  <si>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</si>
  <si>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</si>
  <si>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</si>
  <si>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</si>
  <si>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</si>
  <si>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</si>
  <si>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</si>
  <si>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</si>
  <si>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</si>
  <si>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</si>
  <si>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</si>
  <si>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</si>
  <si>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</si>
  <si>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</si>
  <si>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</si>
  <si>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</si>
  <si>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</si>
  <si>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</si>
  <si>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</si>
  <si>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</si>
  <si>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</si>
  <si>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</si>
  <si>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</si>
  <si>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</si>
  <si>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</si>
  <si>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</si>
  <si>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</si>
  <si>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</si>
  <si>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</si>
  <si>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</si>
  <si>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</si>
  <si>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</si>
  <si>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</si>
  <si>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</si>
  <si>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</si>
  <si>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</si>
  <si>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</si>
  <si>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</si>
  <si>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</si>
  <si>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</si>
  <si>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</si>
  <si>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</si>
  <si>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</si>
  <si>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</si>
  <si>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</si>
  <si>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</si>
  <si>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</si>
  <si>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</si>
  <si>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</si>
  <si>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</si>
  <si>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</si>
  <si>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</si>
  <si>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</si>
  <si>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</si>
  <si>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</si>
  <si>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</si>
  <si>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</si>
  <si>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</si>
  <si>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</si>
  <si>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</si>
  <si>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</si>
  <si>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</si>
  <si>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</si>
  <si>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</si>
  <si>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</si>
  <si>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</si>
  <si>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</si>
  <si>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</si>
  <si>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</si>
  <si>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</si>
  <si>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</si>
  <si>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</si>
  <si>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</si>
  <si>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</si>
  <si>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</si>
  <si>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</si>
  <si>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</si>
  <si>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</si>
  <si>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</si>
  <si>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</si>
  <si>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</si>
  <si>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</si>
  <si>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</si>
  <si>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</si>
  <si>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</si>
  <si>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</si>
  <si>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</si>
  <si>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</si>
  <si>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</si>
  <si>
    <t>23-11474</t>
  </si>
  <si>
    <t>7706526550</t>
  </si>
  <si>
    <t>ООО "СпецБланк-Москва"</t>
  </si>
  <si>
    <t>В течение 40 календарных дней после получения Поставщиком подписанного еонтракта от Заказчика</t>
  </si>
  <si>
    <t>21-24-К</t>
  </si>
  <si>
    <t>Профилактическая дезинсекция открытой территории школы апртив клешей и блох</t>
  </si>
  <si>
    <t>2353018870</t>
  </si>
  <si>
    <t>ООО "Дезинсекция"</t>
  </si>
  <si>
    <t>24.05.2024</t>
  </si>
  <si>
    <t>830</t>
  </si>
  <si>
    <t>Флагшток, флаг, герб</t>
  </si>
  <si>
    <t>ИП Бабенко А.С</t>
  </si>
  <si>
    <t>В течение 60 рабочих дней со дня подписания контракта</t>
  </si>
  <si>
    <t>в течение 10 рабочих дней с даты подписания акта приемки</t>
  </si>
  <si>
    <t>Газонокосилка</t>
  </si>
  <si>
    <t>ИП Герасимова Е.Ю.</t>
  </si>
  <si>
    <t>В течение 10 календарных дней со дня подписания контракта</t>
  </si>
  <si>
    <t>Образовательная услуга (переподготовка водителей)</t>
  </si>
  <si>
    <t>2353017179</t>
  </si>
  <si>
    <t>РО КРО "ВОА"</t>
  </si>
  <si>
    <t xml:space="preserve">В течение 10 рабочих дней  с момента подписания документа о приемке </t>
  </si>
  <si>
    <t xml:space="preserve">В течение 10 рабочих дней  с момента подписания документа о приемке  </t>
  </si>
  <si>
    <t>21-1</t>
  </si>
  <si>
    <t>Организация питания детей в период летнего лагеря дневного пребывания</t>
  </si>
  <si>
    <t>с 27.05.2024 по 16.06.2024г</t>
  </si>
  <si>
    <t>в течение 10 рабочих дней с даты подписания акта приемки оказанных услуг</t>
  </si>
  <si>
    <t>ООО "РН-карт"</t>
  </si>
  <si>
    <t>с 01.07.2024г.по 30.09.2024г.</t>
  </si>
  <si>
    <t>243235301395323530100100090018010244</t>
  </si>
  <si>
    <t>0818300019924000189</t>
  </si>
  <si>
    <t>3235301533324000005</t>
  </si>
  <si>
    <t>08183000199240001890001</t>
  </si>
  <si>
    <t>2304067057</t>
  </si>
  <si>
    <t>24323530139532353010010010005629244</t>
  </si>
  <si>
    <t>0818300019924000194</t>
  </si>
  <si>
    <t>3235301533324000006</t>
  </si>
  <si>
    <t>08183000199240001940001</t>
  </si>
  <si>
    <t>с 27 июня 2024г по 25 сентября 2024г</t>
  </si>
  <si>
    <t>б/н от 04.06.2024</t>
  </si>
  <si>
    <t>б/н от  04.06.2024</t>
  </si>
  <si>
    <t>б/н от 09.04.2024</t>
  </si>
  <si>
    <t>да</t>
  </si>
  <si>
    <t>с 01.07.2024 по 31.12.2024г</t>
  </si>
  <si>
    <t xml:space="preserve">до 10-го числа месяца, следующего за месяцем, в котором была оказана услуга
</t>
  </si>
  <si>
    <t>27-24</t>
  </si>
  <si>
    <t>Работы по электролабораторным испытаниям и электрическим измерениям электроустановок</t>
  </si>
  <si>
    <t>2353018101</t>
  </si>
  <si>
    <t>Услуги по проведению предварительных и периодических медицинских осмотров работников</t>
  </si>
  <si>
    <t>2353006498</t>
  </si>
  <si>
    <t>ГБУЗ  "Тимашевская ЦРБ" МЗ КК</t>
  </si>
  <si>
    <t>Полтграфическая продукция</t>
  </si>
  <si>
    <t>ООО "Агропромэнерго"</t>
  </si>
  <si>
    <t>09.07.2024</t>
  </si>
  <si>
    <t>06..07.2024</t>
  </si>
  <si>
    <t>Экскурсионные услуги с целью духовно-нравственного воспитания учащихся</t>
  </si>
  <si>
    <t>2353016418</t>
  </si>
  <si>
    <t>Местная религиозная организация православный Приход храма Вознесения Господня г. Тимашевска Краснодарского края Ейской Епархии Русской Православной Церкви (Московский Патриархат"</t>
  </si>
  <si>
    <t>06.07.2024</t>
  </si>
  <si>
    <t>Строительные материалы</t>
  </si>
  <si>
    <t>235309678500</t>
  </si>
  <si>
    <t>ИП Озеров В.В.</t>
  </si>
  <si>
    <t>В течение 10 дней с момента заключения договора</t>
  </si>
  <si>
    <t>Краска,АБС, шпатлевка, уайт спирит</t>
  </si>
  <si>
    <t>235303016116</t>
  </si>
  <si>
    <t>ИП Демченко В.В.</t>
  </si>
  <si>
    <t>Плинтус, соединение, линолеум, клей</t>
  </si>
  <si>
    <t>ИП Карлов И.В.</t>
  </si>
  <si>
    <t>В течение 10 календарных дней со дня подписания договора</t>
  </si>
  <si>
    <t xml:space="preserve">в течение 10 рабочих дней с даты подписания акта оказанных услуг </t>
  </si>
  <si>
    <t>1/2024/21</t>
  </si>
  <si>
    <t>Услуги по публичному показу музейных предметов,имузейных коллекций</t>
  </si>
  <si>
    <t>2310052884</t>
  </si>
  <si>
    <t>В течение 10 рабочих дней  с момента подписания документа о приемке оказанной услуги</t>
  </si>
  <si>
    <t>с момента заключения контракта по 30.09.2024г.</t>
  </si>
  <si>
    <t>В течение 10 рабочих дней  с момента подписания документа о приемке поставленного товара</t>
  </si>
  <si>
    <t>ГБУК КК "Краснодарский государственный  историко-археологический музей-заповедник им. Е.Д. Фелицина"</t>
  </si>
  <si>
    <t>23.07.2024</t>
  </si>
  <si>
    <t>106-24</t>
  </si>
  <si>
    <t>106-1/24</t>
  </si>
  <si>
    <t>В течение 7 рабочих дней  с момента подписания документа о приемке оказанной услуги</t>
  </si>
  <si>
    <t>114</t>
  </si>
  <si>
    <t>Видеокамеры</t>
  </si>
  <si>
    <t>Шкаф многосекционный</t>
  </si>
  <si>
    <t>31.07.204</t>
  </si>
  <si>
    <t>К210644/24</t>
  </si>
  <si>
    <t>Услуги по сопровождению программы для  ЭВМ "Контур Экстерн)</t>
  </si>
  <si>
    <t>6663003127</t>
  </si>
  <si>
    <t>АО "ПФ "СКБ Контур"</t>
  </si>
  <si>
    <t>В течение 5 рабочих дней после заключения договора</t>
  </si>
  <si>
    <t>Настройка программного обеспечения</t>
  </si>
  <si>
    <t>235309088540</t>
  </si>
  <si>
    <t>ИП Железняк И.И.</t>
  </si>
  <si>
    <t>16.07.2024</t>
  </si>
  <si>
    <t>лабораторные исследования воды, освещенности, санитарно-гигиеническая оценка результатов</t>
  </si>
  <si>
    <t>2308105200</t>
  </si>
  <si>
    <t>ФБУЗ "Центр гигиены и эпидемиологии в Краснодарском крае"</t>
  </si>
  <si>
    <t>19.07.2024</t>
  </si>
  <si>
    <t>ООО "ТИТ-МЕБЕЛЬ"</t>
  </si>
  <si>
    <t>487</t>
  </si>
  <si>
    <t>Бок СКЗИ, активация и настройка тахографа</t>
  </si>
  <si>
    <t>ООО"КАНкорт"</t>
  </si>
  <si>
    <t>В течение 5 рабочих дней со дня заключения договора</t>
  </si>
  <si>
    <t>В течение 10 рабочих дней  с момента подписания документа о приемке поставленного товара, оказанной услуги</t>
  </si>
  <si>
    <t xml:space="preserve">Услуги по идентификации АСН в ГАИС "ЭРА-ГЛОНАСС" и обеспечению передачи в Ространснадзор информации, поступающей от АСН в ГАИС "ЭРА-ГЛОНАСС" </t>
  </si>
  <si>
    <t>7703383783</t>
  </si>
  <si>
    <t>АО "Глонасс"</t>
  </si>
  <si>
    <t>с 08.07.2024 по 31.12.2024</t>
  </si>
  <si>
    <t>Шпатлевка, клей, профиль, цемент</t>
  </si>
  <si>
    <t>Краска, эмаль</t>
  </si>
  <si>
    <t>с 02 сентября 2024г. по 29 ноября 2024г.</t>
  </si>
  <si>
    <t>16/2024</t>
  </si>
  <si>
    <t>15/2024</t>
  </si>
  <si>
    <t>49/Т</t>
  </si>
  <si>
    <t>Услуга по промывке и опрессовке системы отопления объекта</t>
  </si>
  <si>
    <t>2312314060</t>
  </si>
  <si>
    <t>ООО "ТеплоСервис"</t>
  </si>
  <si>
    <t>Обязательное страхование гражданской ответственности владельцев транспортных средств</t>
  </si>
  <si>
    <t>7707067683</t>
  </si>
  <si>
    <t>ПАО СК "Росгосстрах"</t>
  </si>
  <si>
    <t>ДГ 24/43</t>
  </si>
  <si>
    <t>Не позднее 10 числа месяца, следующего за отчетным периодом</t>
  </si>
  <si>
    <t>В течение 10 рабочих дней  с момента подписания документа о приемке  оказанной услуги</t>
  </si>
  <si>
    <t>103</t>
  </si>
  <si>
    <t>ООО ЧОО "Легион"</t>
  </si>
  <si>
    <t>с 26.09.2024 по 04.10.2024</t>
  </si>
  <si>
    <t>Оказание услуг по организации питания</t>
  </si>
  <si>
    <t>с 02.09.2024 по 31.12.2024г.</t>
  </si>
  <si>
    <t>с 02.09.2024 по 30.09.2024г</t>
  </si>
  <si>
    <t>34550724/028226</t>
  </si>
  <si>
    <t>с 01.10.2024 по 31.12.2024</t>
  </si>
  <si>
    <t>2432353015333</t>
  </si>
  <si>
    <t>08183000199240002620001</t>
  </si>
  <si>
    <t>Услуги охраны</t>
  </si>
  <si>
    <t>3235301533324000007</t>
  </si>
  <si>
    <t>с 04.10.2024 по 28.11.2024</t>
  </si>
  <si>
    <t>2308119595</t>
  </si>
  <si>
    <t>с 01.09.2024 по 31.12.2024</t>
  </si>
  <si>
    <t>б/н от 24.10.2024</t>
  </si>
  <si>
    <t>б/н от 11.10.2024</t>
  </si>
  <si>
    <t>2308279278</t>
  </si>
  <si>
    <t>ООО "Институт дополнительного профессионального образования"</t>
  </si>
  <si>
    <t>с 15.10.2024 по 17.10.2024</t>
  </si>
  <si>
    <t>568-2024</t>
  </si>
  <si>
    <t>17.1 ТО-03-03-259</t>
  </si>
  <si>
    <t>ТО , ремонт,  услуги по локализации и ликвидации аварий</t>
  </si>
  <si>
    <t>2308021656</t>
  </si>
  <si>
    <t>АО "Газпром газораспределение Краснодар"</t>
  </si>
  <si>
    <t>28.10.2024</t>
  </si>
  <si>
    <t>б/н от 15.07.2024</t>
  </si>
  <si>
    <t xml:space="preserve">б/н от </t>
  </si>
  <si>
    <t>18.2024</t>
  </si>
  <si>
    <t xml:space="preserve">Хлорные таблетки </t>
  </si>
  <si>
    <t>07.11.2024</t>
  </si>
  <si>
    <t>132.2024</t>
  </si>
  <si>
    <t>Автошины</t>
  </si>
  <si>
    <t>2334025872</t>
  </si>
  <si>
    <t>ООО "Еврошина"</t>
  </si>
  <si>
    <t>В течение 10 рабочих дней  с момента подписания документа о приемке</t>
  </si>
  <si>
    <t>КР000040779</t>
  </si>
  <si>
    <t>Машина посудомоечная</t>
  </si>
  <si>
    <t>2309081489</t>
  </si>
  <si>
    <t>ООО "Торговый дом Пищевые технологии"</t>
  </si>
  <si>
    <t>В течение 45 рабочих дней после заключения контракта</t>
  </si>
  <si>
    <t>06/ПДУ/СМЭВ/6905</t>
  </si>
  <si>
    <t>Программное обеспечение</t>
  </si>
  <si>
    <t>230865195</t>
  </si>
  <si>
    <t>ГУП КК "ЦИТ"</t>
  </si>
  <si>
    <t>15.11.2024</t>
  </si>
  <si>
    <t>В течение 7 рабочих дней  с момента подписания документа о приемке</t>
  </si>
  <si>
    <t>06/СМЭВ/6907</t>
  </si>
  <si>
    <t>Предоставление сертификата на услугу по обслуживанию и администрированию программного обеспечения</t>
  </si>
  <si>
    <t>2308065195</t>
  </si>
  <si>
    <t>1/2024/40</t>
  </si>
  <si>
    <t>с момента заключения контракта по 30.11.2024г.</t>
  </si>
  <si>
    <t>б/н от 12.11.2024</t>
  </si>
  <si>
    <t>с 05.11.2024 по 29.11.2024</t>
  </si>
  <si>
    <t>2121-Кк-24</t>
  </si>
  <si>
    <t>Специальная оценка условий труда</t>
  </si>
  <si>
    <t>2377001499</t>
  </si>
  <si>
    <t>ООО "ГЕОМАКС"</t>
  </si>
  <si>
    <t>В течение 5 рабочих дней  с момента подписания документа о приемке выполненных работ</t>
  </si>
  <si>
    <t>с момента заключения договора по 27.12.2024г.</t>
  </si>
  <si>
    <t>с 29.11.2024 по 31.12.2024</t>
  </si>
  <si>
    <t>б/н от 01.08.2024</t>
  </si>
  <si>
    <t>В течение 7 рабочих дней  с момента подписания документа о приемке оказанных услуг</t>
  </si>
  <si>
    <t>2311096080</t>
  </si>
  <si>
    <t>Охрана</t>
  </si>
  <si>
    <t>ООО "Стройпожбезопасность"</t>
  </si>
  <si>
    <t>Перезарядка огнетушителей, замена манометра</t>
  </si>
  <si>
    <t>В течение 10 рабочих дней  с момента подписания документа о приемке оказанных услуг</t>
  </si>
  <si>
    <t>№1 от 29.11.2024</t>
  </si>
  <si>
    <t>927 0000 0000000000 244</t>
  </si>
  <si>
    <t>06/СМЭВ/7386</t>
  </si>
  <si>
    <t>Сертификат по обслуживанию</t>
  </si>
  <si>
    <t>В течение 10 рабочих дней  с момента подписания документа о приемке сертификата</t>
  </si>
  <si>
    <t>с 02.12.2024 по 27.12.2024г</t>
  </si>
  <si>
    <t>с 01.01.2025 по 31.12.2025</t>
  </si>
  <si>
    <t>Водонагреватель, сплит система</t>
  </si>
  <si>
    <t>235300203781</t>
  </si>
  <si>
    <t>ИП Ледовская С.В.</t>
  </si>
  <si>
    <t>Заправка картриджей</t>
  </si>
  <si>
    <t>235300809163</t>
  </si>
  <si>
    <t>ИП Коваленко Г.Н.</t>
  </si>
  <si>
    <t>19.12.2024</t>
  </si>
  <si>
    <t>Проектор, системный блок</t>
  </si>
  <si>
    <t>б/н от 17.12.2024</t>
  </si>
  <si>
    <t>48</t>
  </si>
  <si>
    <t>Ремонт автобуса</t>
  </si>
  <si>
    <t>ИП Аполонов А.А.</t>
  </si>
  <si>
    <t>16.12.2024</t>
  </si>
  <si>
    <t>б/н от 28.12.2024</t>
  </si>
  <si>
    <t>б/н от 09.12.2024</t>
  </si>
  <si>
    <t>б/н от 20.12.2024</t>
  </si>
  <si>
    <t>б/н от 06.12.2024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</si>
</sst>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1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8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4" xfId="0" applyNumberFormat="1" applyFont="1" applyFill="1" applyBorder="1" applyAlignment="1">
      <alignment horizontal="center" vertical="center" wrapText="1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4" xfId="0" applyNumberFormat="1" applyFont="1" applyFill="1" applyBorder="1" applyAlignment="1">
      <alignment horizontal="center" vertical="center" wrapText="1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5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1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49" fontId="15" fillId="18" borderId="70" xfId="0" applyNumberFormat="1" applyFont="1" applyFill="1" applyBorder="1" applyAlignment="1">
      <alignment horizontal="center" vertical="center" wrapText="1"/>
    </xf>
    <xf numFmtId="49" fontId="15" fillId="18" borderId="70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9" fontId="15" fillId="18" borderId="71" xfId="0" applyNumberFormat="1" applyFont="1" applyFill="1" applyBorder="1" applyAlignment="1">
      <alignment horizontal="center" vertical="center" wrapText="1"/>
    </xf>
    <xf numFmtId="1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2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6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7" xfId="0" applyNumberFormat="1" applyFont="1" applyFill="1" applyBorder="1" applyAlignment="1">
      <alignment horizontal="center" vertical="center" wrapText="1"/>
    </xf>
    <xf numFmtId="1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8" xfId="0" applyNumberFormat="1" applyFont="1" applyFill="1" applyBorder="1" applyAlignment="1">
      <alignment horizontal="center" vertical="center" wrapText="1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9" fontId="15" fillId="18" borderId="79" xfId="0" applyNumberFormat="1" applyFont="1" applyFill="1" applyBorder="1" applyAlignment="1">
      <alignment horizontal="center" vertical="center" wrapText="1"/>
    </xf>
    <xf numFmtId="1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49" fontId="15" fillId="18" borderId="88" xfId="0" applyNumberFormat="1" applyFont="1" applyFill="1" applyBorder="1" applyAlignment="1">
      <alignment horizontal="center" vertical="center" wrapText="1"/>
    </xf>
    <xf numFmtId="1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1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2" xfId="0" applyFont="1" applyFill="1" applyBorder="1" applyAlignment="1" applyProtection="1">
      <alignment horizontal="center" vertical="center" wrapText="1"/>
      <protection locked="0"/>
    </xf>
    <xf numFmtId="49" fontId="15" fillId="18" borderId="112" xfId="0" applyNumberFormat="1" applyFont="1" applyFill="1" applyBorder="1" applyAlignment="1">
      <alignment horizontal="center" vertical="center" wrapText="1"/>
    </xf>
    <xf numFmtId="49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2" xfId="0" applyNumberFormat="1" applyFont="1" applyFill="1" applyBorder="1" applyAlignment="1">
      <alignment horizontal="center" vertical="center" wrapText="1"/>
    </xf>
    <xf numFmtId="168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13" xfId="0" applyNumberFormat="1" applyFont="1" applyFill="1" applyBorder="1" applyAlignment="1">
      <alignment horizontal="center" vertical="center" wrapText="1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>
      <alignment horizontal="center" vertical="center" wrapText="1"/>
    </xf>
    <xf numFmtId="168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3" xfId="0" applyFont="1" applyFill="1" applyBorder="1" applyAlignment="1" applyProtection="1">
      <alignment horizontal="center" vertical="center" wrapText="1"/>
      <protection locked="0"/>
    </xf>
    <xf numFmtId="49" fontId="15" fillId="18" borderId="113" xfId="0" applyNumberFormat="1" applyFont="1" applyFill="1" applyBorder="1" applyAlignment="1">
      <alignment horizontal="center" vertical="center" wrapText="1"/>
    </xf>
    <xf numFmtId="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3" xfId="0" applyFont="1" applyFill="1" applyBorder="1" applyAlignment="1" applyProtection="1">
      <alignment horizontal="center" vertical="center" wrapText="1"/>
      <protection locked="0"/>
    </xf>
    <xf numFmtId="1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>
      <alignment horizontal="center" vertical="center" wrapText="1"/>
    </xf>
    <xf numFmtId="165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13" xfId="0" applyNumberFormat="1" applyFont="1" applyFill="1" applyBorder="1" applyAlignment="1">
      <alignment horizontal="center" vertical="center" wrapText="1"/>
    </xf>
    <xf numFmtId="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3" xfId="0" applyFont="1" applyFill="1" applyBorder="1" applyAlignment="1" applyProtection="1">
      <alignment horizontal="center" vertical="center" wrapText="1"/>
      <protection locked="0"/>
    </xf>
    <xf numFmtId="1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>
      <alignment horizontal="center" vertical="center" wrapText="1"/>
    </xf>
    <xf numFmtId="1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13" xfId="0" applyNumberFormat="1" applyFont="1" applyFill="1" applyBorder="1" applyAlignment="1">
      <alignment horizontal="center" vertical="center" wrapText="1"/>
    </xf>
    <xf numFmtId="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3" xfId="0" applyFont="1" applyFill="1" applyBorder="1" applyAlignment="1" applyProtection="1">
      <alignment horizontal="center" vertical="center" wrapText="1"/>
      <protection locked="0"/>
    </xf>
    <xf numFmtId="1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>
      <alignment horizontal="center" vertical="center" wrapText="1"/>
    </xf>
    <xf numFmtId="1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3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3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3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3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0" xfId="0" applyFont="1" applyFill="1" applyBorder="1" applyAlignment="1" applyProtection="1">
      <alignment horizontal="center" vertical="center" wrapText="1"/>
      <protection locked="0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40" xfId="0" applyNumberFormat="1" applyFont="1" applyFill="1" applyBorder="1" applyAlignment="1">
      <alignment horizontal="center" vertical="center" wrapText="1"/>
    </xf>
    <xf numFmtId="49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0" xfId="0" applyNumberFormat="1" applyFont="1" applyFill="1" applyBorder="1" applyAlignment="1">
      <alignment horizontal="center" vertical="center" wrapText="1"/>
    </xf>
    <xf numFmtId="165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44" xfId="0" applyNumberFormat="1" applyFont="1" applyFill="1" applyBorder="1" applyAlignment="1">
      <alignment horizontal="center" vertical="center" wrapText="1"/>
    </xf>
    <xf numFmtId="49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4" xfId="0" applyNumberFormat="1" applyFont="1" applyFill="1" applyBorder="1" applyAlignment="1">
      <alignment horizontal="center" vertical="center" wrapText="1"/>
    </xf>
    <xf numFmtId="4" fontId="1" fillId="0" borderId="1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4" xfId="0" applyFont="1" applyFill="1" applyBorder="1" applyAlignment="1" applyProtection="1">
      <alignment horizontal="center" vertical="center" wrapText="1"/>
      <protection locked="0"/>
    </xf>
    <xf numFmtId="14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6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61" xfId="0" applyNumberFormat="1" applyFont="1" applyFill="1" applyBorder="1" applyAlignment="1">
      <alignment horizontal="center" vertical="center" wrapText="1"/>
    </xf>
    <xf numFmtId="49" fontId="1" fillId="18" borderId="16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1" xfId="0" applyNumberFormat="1" applyFont="1" applyFill="1" applyBorder="1" applyAlignment="1">
      <alignment horizontal="center" vertical="center" wrapText="1"/>
    </xf>
    <xf numFmtId="168" fontId="1" fillId="18" borderId="1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61" xfId="0" applyFont="1" applyFill="1" applyBorder="1" applyAlignment="1" applyProtection="1">
      <alignment horizontal="center" vertical="center" wrapText="1"/>
      <protection locked="0"/>
    </xf>
    <xf numFmtId="14" fontId="1" fillId="18" borderId="1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6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67" xfId="0" applyNumberFormat="1" applyFont="1" applyFill="1" applyBorder="1" applyAlignment="1">
      <alignment horizontal="center" vertical="center" wrapText="1"/>
    </xf>
    <xf numFmtId="4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67" xfId="0" applyFont="1" applyFill="1" applyBorder="1" applyAlignment="1" applyProtection="1">
      <alignment horizontal="center" vertical="center" wrapText="1"/>
      <protection locked="0"/>
    </xf>
    <xf numFmtId="165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7" xfId="0" applyNumberFormat="1" applyFont="1" applyFill="1" applyBorder="1" applyAlignment="1">
      <alignment horizontal="center" vertical="center" wrapText="1"/>
    </xf>
    <xf numFmtId="167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67" xfId="0" applyNumberFormat="1" applyFont="1" applyFill="1" applyBorder="1" applyAlignment="1">
      <alignment horizontal="center" vertical="center" wrapText="1"/>
    </xf>
    <xf numFmtId="4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67" xfId="0" applyFont="1" applyFill="1" applyBorder="1" applyAlignment="1" applyProtection="1">
      <alignment horizontal="center" vertical="center" wrapText="1"/>
      <protection locked="0"/>
    </xf>
    <xf numFmtId="165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7" xfId="0" applyNumberFormat="1" applyFont="1" applyFill="1" applyBorder="1" applyAlignment="1">
      <alignment horizontal="center" vertical="center" wrapText="1"/>
    </xf>
    <xf numFmtId="167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6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7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7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7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7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8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8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8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3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3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3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3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6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0" xfId="0" applyNumberFormat="1" applyFont="1" applyFill="1" applyBorder="1" applyAlignment="1" applyProtection="1">
      <alignment horizontal="center" vertical="center" wrapText="1"/>
      <protection locked="0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49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59" xfId="0" applyNumberFormat="1" applyFont="1" applyFill="1" applyBorder="1" applyAlignment="1">
      <alignment horizontal="center" vertical="center" wrapText="1"/>
    </xf>
    <xf numFmtId="49" fontId="15" fillId="18" borderId="160" xfId="0" applyNumberFormat="1" applyFont="1" applyFill="1" applyBorder="1" applyAlignment="1">
      <alignment horizontal="center" vertical="center" wrapText="1"/>
    </xf>
    <xf numFmtId="14" fontId="1" fillId="18" borderId="1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5" xfId="0" applyNumberFormat="1" applyFont="1" applyFill="1" applyBorder="1" applyAlignment="1">
      <alignment horizontal="center" vertical="center" wrapText="1"/>
    </xf>
    <xf numFmtId="4" fontId="1" fillId="18" borderId="146" xfId="0" applyNumberFormat="1" applyFont="1" applyFill="1" applyBorder="1" applyAlignment="1">
      <alignment horizontal="center" vertical="center" wrapText="1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49" fontId="15" fillId="18" borderId="145" xfId="0" applyNumberFormat="1" applyFont="1" applyFill="1" applyBorder="1" applyAlignment="1">
      <alignment horizontal="center" vertical="center" wrapText="1"/>
    </xf>
    <xf numFmtId="49" fontId="15" fillId="18" borderId="146" xfId="0" applyNumberFormat="1" applyFont="1" applyFill="1" applyBorder="1" applyAlignment="1">
      <alignment horizontal="center" vertical="center" wrapText="1"/>
    </xf>
    <xf numFmtId="14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5" xfId="0" applyFont="1" applyFill="1" applyBorder="1" applyAlignment="1" applyProtection="1">
      <alignment horizontal="center" vertical="center" wrapText="1"/>
      <protection locked="0"/>
    </xf>
    <xf numFmtId="0" fontId="1" fillId="18" borderId="146" xfId="0" applyFont="1" applyFill="1" applyBorder="1" applyAlignment="1" applyProtection="1">
      <alignment horizontal="center" vertical="center" wrapText="1"/>
      <protection locked="0"/>
    </xf>
    <xf numFmtId="1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>
      <alignment horizontal="center" vertical="center" wrapText="1"/>
    </xf>
    <xf numFmtId="4" fontId="1" fillId="18" borderId="92" xfId="0" applyNumberFormat="1" applyFont="1" applyFill="1" applyBorder="1" applyAlignment="1">
      <alignment horizontal="center" vertical="center" wrapText="1"/>
    </xf>
    <xf numFmtId="49" fontId="15" fillId="18" borderId="91" xfId="0" applyNumberFormat="1" applyFont="1" applyFill="1" applyBorder="1" applyAlignment="1">
      <alignment horizontal="center" vertical="center" wrapText="1"/>
    </xf>
    <xf numFmtId="49" fontId="15" fillId="18" borderId="92" xfId="0" applyNumberFormat="1" applyFont="1" applyFill="1" applyBorder="1" applyAlignment="1">
      <alignment horizontal="center" vertical="center" wrapText="1"/>
    </xf>
    <xf numFmtId="49" fontId="15" fillId="18" borderId="83" xfId="0" applyNumberFormat="1" applyFont="1" applyFill="1" applyBorder="1" applyAlignment="1">
      <alignment horizontal="center" vertical="center" wrapText="1"/>
    </xf>
    <xf numFmtId="49" fontId="15" fillId="18" borderId="84" xfId="0" applyNumberFormat="1" applyFont="1" applyFill="1" applyBorder="1" applyAlignment="1">
      <alignment horizontal="center" vertical="center" wrapText="1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4" fontId="1" fillId="18" borderId="8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5" fillId="18" borderId="141" xfId="0" applyNumberFormat="1" applyFont="1" applyFill="1" applyBorder="1" applyAlignment="1">
      <alignment horizontal="center" vertical="center" wrapText="1"/>
    </xf>
    <xf numFmtId="49" fontId="15" fillId="18" borderId="142" xfId="0" applyNumberFormat="1" applyFont="1" applyFill="1" applyBorder="1" applyAlignment="1">
      <alignment horizontal="center" vertical="center" wrapText="1"/>
    </xf>
    <xf numFmtId="49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8" xfId="0" applyNumberFormat="1" applyFont="1" applyFill="1" applyBorder="1" applyAlignment="1">
      <alignment horizontal="center" vertical="center" wrapText="1"/>
    </xf>
    <xf numFmtId="49" fontId="15" fillId="18" borderId="69" xfId="0" applyNumberFormat="1" applyFont="1" applyFill="1" applyBorder="1" applyAlignment="1">
      <alignment horizontal="center" vertical="center" wrapText="1"/>
    </xf>
    <xf numFmtId="49" fontId="15" fillId="18" borderId="70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1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168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1" xfId="0" applyFont="1" applyFill="1" applyBorder="1" applyAlignment="1" applyProtection="1">
      <alignment horizontal="center" vertical="center" wrapText="1"/>
      <protection locked="0"/>
    </xf>
    <xf numFmtId="0" fontId="1" fillId="18" borderId="142" xfId="0" applyFont="1" applyFill="1" applyBorder="1" applyAlignment="1" applyProtection="1">
      <alignment horizontal="center" vertical="center" wrapText="1"/>
      <protection locked="0"/>
    </xf>
    <xf numFmtId="4" fontId="1" fillId="18" borderId="141" xfId="0" applyNumberFormat="1" applyFont="1" applyFill="1" applyBorder="1" applyAlignment="1">
      <alignment horizontal="center" vertical="center" wrapText="1"/>
    </xf>
    <xf numFmtId="4" fontId="1" fillId="18" borderId="142" xfId="0" applyNumberFormat="1" applyFont="1" applyFill="1" applyBorder="1" applyAlignment="1">
      <alignment horizontal="center" vertical="center" wrapText="1"/>
    </xf>
    <xf numFmtId="168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59" xfId="0" applyFont="1" applyFill="1" applyBorder="1" applyAlignment="1" applyProtection="1">
      <alignment horizontal="center" vertical="center" wrapText="1"/>
      <protection locked="0"/>
    </xf>
    <xf numFmtId="0" fontId="1" fillId="18" borderId="160" xfId="0" applyFont="1" applyFill="1" applyBorder="1" applyAlignment="1" applyProtection="1">
      <alignment horizontal="center" vertical="center" wrapText="1"/>
      <protection locked="0"/>
    </xf>
    <xf numFmtId="1" fontId="1" fillId="18" borderId="15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9" xfId="0" applyNumberFormat="1" applyFont="1" applyFill="1" applyBorder="1" applyAlignment="1">
      <alignment horizontal="center" vertical="center" wrapText="1"/>
    </xf>
    <xf numFmtId="4" fontId="1" fillId="18" borderId="160" xfId="0" applyNumberFormat="1" applyFont="1" applyFill="1" applyBorder="1" applyAlignment="1">
      <alignment horizontal="center" vertical="center" wrapText="1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168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4" xfId="0" applyNumberFormat="1" applyFont="1" applyFill="1" applyBorder="1" applyAlignment="1">
      <alignment horizontal="center" vertical="center" wrapText="1"/>
    </xf>
    <xf numFmtId="4" fontId="1" fillId="18" borderId="180" xfId="0" applyNumberFormat="1" applyFont="1" applyFill="1" applyBorder="1" applyAlignment="1">
      <alignment horizontal="center" vertical="center" wrapText="1"/>
    </xf>
    <xf numFmtId="4" fontId="1" fillId="18" borderId="177" xfId="0" applyNumberFormat="1" applyFont="1" applyFill="1" applyBorder="1" applyAlignment="1">
      <alignment horizontal="center" vertical="center" wrapText="1"/>
    </xf>
    <xf numFmtId="167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8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7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73" xfId="0" applyNumberFormat="1" applyFont="1" applyFill="1" applyBorder="1" applyAlignment="1">
      <alignment horizontal="center" vertical="center" wrapText="1"/>
    </xf>
    <xf numFmtId="49" fontId="15" fillId="18" borderId="179" xfId="0" applyNumberFormat="1" applyFont="1" applyFill="1" applyBorder="1" applyAlignment="1">
      <alignment horizontal="center" vertical="center" wrapText="1"/>
    </xf>
    <xf numFmtId="49" fontId="15" fillId="18" borderId="176" xfId="0" applyNumberFormat="1" applyFont="1" applyFill="1" applyBorder="1" applyAlignment="1">
      <alignment horizontal="center" vertical="center" wrapText="1"/>
    </xf>
    <xf numFmtId="164" fontId="1" fillId="18" borderId="1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75" xfId="0" applyFont="1" applyFill="1" applyBorder="1" applyAlignment="1" applyProtection="1">
      <alignment horizontal="center" vertical="center" wrapText="1"/>
      <protection locked="0"/>
    </xf>
    <xf numFmtId="0" fontId="1" fillId="18" borderId="181" xfId="0" applyFont="1" applyFill="1" applyBorder="1" applyAlignment="1" applyProtection="1">
      <alignment horizontal="center" vertical="center" wrapText="1"/>
      <protection locked="0"/>
    </xf>
    <xf numFmtId="0" fontId="1" fillId="18" borderId="178" xfId="0" applyFont="1" applyFill="1" applyBorder="1" applyAlignment="1" applyProtection="1">
      <alignment horizontal="center" vertical="center" wrapText="1"/>
      <protection locked="0"/>
    </xf>
    <xf numFmtId="49" fontId="15" fillId="18" borderId="170" xfId="0" applyNumberFormat="1" applyFont="1" applyFill="1" applyBorder="1" applyAlignment="1">
      <alignment horizontal="center" vertical="center" wrapText="1"/>
    </xf>
    <xf numFmtId="49" fontId="15" fillId="18" borderId="171" xfId="0" applyNumberFormat="1" applyFont="1" applyFill="1" applyBorder="1" applyAlignment="1">
      <alignment horizontal="center" vertical="center" wrapText="1"/>
    </xf>
    <xf numFmtId="49" fontId="15" fillId="18" borderId="172" xfId="0" applyNumberFormat="1" applyFont="1" applyFill="1" applyBorder="1" applyAlignment="1">
      <alignment horizontal="center" vertical="center" wrapText="1"/>
    </xf>
    <xf numFmtId="14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70" xfId="0" applyFont="1" applyFill="1" applyBorder="1" applyAlignment="1" applyProtection="1">
      <alignment horizontal="center" vertical="center" wrapText="1"/>
      <protection locked="0"/>
    </xf>
    <xf numFmtId="0" fontId="1" fillId="18" borderId="171" xfId="0" applyFont="1" applyFill="1" applyBorder="1" applyAlignment="1" applyProtection="1">
      <alignment horizontal="center" vertical="center" wrapText="1"/>
      <protection locked="0"/>
    </xf>
    <xf numFmtId="0" fontId="1" fillId="18" borderId="172" xfId="0" applyFont="1" applyFill="1" applyBorder="1" applyAlignment="1" applyProtection="1">
      <alignment horizontal="center" vertical="center" wrapText="1"/>
      <protection locked="0"/>
    </xf>
    <xf numFmtId="165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70" xfId="0" applyNumberFormat="1" applyFont="1" applyFill="1" applyBorder="1" applyAlignment="1">
      <alignment horizontal="center" vertical="center" wrapText="1"/>
    </xf>
    <xf numFmtId="4" fontId="1" fillId="18" borderId="171" xfId="0" applyNumberFormat="1" applyFont="1" applyFill="1" applyBorder="1" applyAlignment="1">
      <alignment horizontal="center" vertical="center" wrapText="1"/>
    </xf>
    <xf numFmtId="4" fontId="1" fillId="18" borderId="172" xfId="0" applyNumberFormat="1" applyFont="1" applyFill="1" applyBorder="1" applyAlignment="1">
      <alignment horizontal="center" vertical="center" wrapText="1"/>
    </xf>
    <xf numFmtId="167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7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68" xfId="0" applyNumberFormat="1" applyFont="1" applyFill="1" applyBorder="1" applyAlignment="1">
      <alignment horizontal="center" vertical="center" wrapText="1"/>
    </xf>
    <xf numFmtId="49" fontId="15" fillId="18" borderId="169" xfId="0" applyNumberFormat="1" applyFont="1" applyFill="1" applyBorder="1" applyAlignment="1">
      <alignment horizontal="center" vertical="center" wrapText="1"/>
    </xf>
    <xf numFmtId="14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68" xfId="0" applyFont="1" applyFill="1" applyBorder="1" applyAlignment="1" applyProtection="1">
      <alignment horizontal="center" vertical="center" wrapText="1"/>
      <protection locked="0"/>
    </xf>
    <xf numFmtId="0" fontId="1" fillId="18" borderId="169" xfId="0" applyFont="1" applyFill="1" applyBorder="1" applyAlignment="1" applyProtection="1">
      <alignment horizontal="center" vertical="center" wrapText="1"/>
      <protection locked="0"/>
    </xf>
    <xf numFmtId="165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8" xfId="0" applyNumberFormat="1" applyFont="1" applyFill="1" applyBorder="1" applyAlignment="1">
      <alignment horizontal="center" vertical="center" wrapText="1"/>
    </xf>
    <xf numFmtId="4" fontId="1" fillId="18" borderId="169" xfId="0" applyNumberFormat="1" applyFont="1" applyFill="1" applyBorder="1" applyAlignment="1">
      <alignment horizontal="center" vertical="center" wrapText="1"/>
    </xf>
    <xf numFmtId="167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65" xfId="0" applyNumberFormat="1" applyFont="1" applyFill="1" applyBorder="1" applyAlignment="1">
      <alignment horizontal="center" vertical="center" wrapText="1"/>
    </xf>
    <xf numFmtId="49" fontId="15" fillId="18" borderId="166" xfId="0" applyNumberFormat="1" applyFont="1" applyFill="1" applyBorder="1" applyAlignment="1">
      <alignment horizontal="center" vertical="center" wrapText="1"/>
    </xf>
    <xf numFmtId="14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65" xfId="0" applyFont="1" applyFill="1" applyBorder="1" applyAlignment="1" applyProtection="1">
      <alignment horizontal="center" vertical="center" wrapText="1"/>
      <protection locked="0"/>
    </xf>
    <xf numFmtId="0" fontId="1" fillId="18" borderId="166" xfId="0" applyFont="1" applyFill="1" applyBorder="1" applyAlignment="1" applyProtection="1">
      <alignment horizontal="center" vertical="center" wrapText="1"/>
      <protection locked="0"/>
    </xf>
    <xf numFmtId="165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5" xfId="0" applyNumberFormat="1" applyFont="1" applyFill="1" applyBorder="1" applyAlignment="1">
      <alignment horizontal="center" vertical="center" wrapText="1"/>
    </xf>
    <xf numFmtId="4" fontId="1" fillId="18" borderId="166" xfId="0" applyNumberFormat="1" applyFont="1" applyFill="1" applyBorder="1" applyAlignment="1">
      <alignment horizontal="center" vertical="center" wrapText="1"/>
    </xf>
    <xf numFmtId="167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56" xfId="0" applyFont="1" applyFill="1" applyBorder="1" applyAlignment="1" applyProtection="1">
      <alignment horizontal="center" vertical="center" wrapText="1"/>
      <protection locked="0"/>
    </xf>
    <xf numFmtId="0" fontId="1" fillId="18" borderId="157" xfId="0" applyFont="1" applyFill="1" applyBorder="1" applyAlignment="1" applyProtection="1">
      <alignment horizontal="center" vertical="center" wrapText="1"/>
      <protection locked="0"/>
    </xf>
    <xf numFmtId="0" fontId="1" fillId="18" borderId="158" xfId="0" applyFont="1" applyFill="1" applyBorder="1" applyAlignment="1" applyProtection="1">
      <alignment horizontal="center" vertical="center" wrapText="1"/>
      <protection locked="0"/>
    </xf>
    <xf numFmtId="49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6" xfId="0" applyNumberFormat="1" applyFont="1" applyFill="1" applyBorder="1" applyAlignment="1">
      <alignment horizontal="center" vertical="center" wrapText="1"/>
    </xf>
    <xf numFmtId="4" fontId="1" fillId="18" borderId="157" xfId="0" applyNumberFormat="1" applyFont="1" applyFill="1" applyBorder="1" applyAlignment="1">
      <alignment horizontal="center" vertical="center" wrapText="1"/>
    </xf>
    <xf numFmtId="4" fontId="1" fillId="18" borderId="158" xfId="0" applyNumberFormat="1" applyFont="1" applyFill="1" applyBorder="1" applyAlignment="1">
      <alignment horizontal="center" vertical="center" wrapText="1"/>
    </xf>
    <xf numFmtId="167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43" xfId="0" applyNumberFormat="1" applyFont="1" applyFill="1" applyBorder="1" applyAlignment="1">
      <alignment horizontal="center" vertical="center" wrapText="1"/>
    </xf>
    <xf numFmtId="49" fontId="15" fillId="18" borderId="144" xfId="0" applyNumberFormat="1" applyFont="1" applyFill="1" applyBorder="1" applyAlignment="1">
      <alignment horizontal="center" vertical="center" wrapText="1"/>
    </xf>
    <xf numFmtId="14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3" xfId="0" applyFont="1" applyFill="1" applyBorder="1" applyAlignment="1" applyProtection="1">
      <alignment horizontal="center" vertical="center" wrapText="1"/>
      <protection locked="0"/>
    </xf>
    <xf numFmtId="0" fontId="1" fillId="18" borderId="144" xfId="0" applyFont="1" applyFill="1" applyBorder="1" applyAlignment="1" applyProtection="1">
      <alignment horizontal="center" vertical="center" wrapText="1"/>
      <protection locked="0"/>
    </xf>
    <xf numFmtId="165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3" xfId="0" applyNumberFormat="1" applyFont="1" applyFill="1" applyBorder="1" applyAlignment="1">
      <alignment horizontal="center" vertical="center" wrapText="1"/>
    </xf>
    <xf numFmtId="4" fontId="1" fillId="18" borderId="144" xfId="0" applyNumberFormat="1" applyFont="1" applyFill="1" applyBorder="1" applyAlignment="1">
      <alignment horizontal="center" vertical="center" wrapText="1"/>
    </xf>
    <xf numFmtId="167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02" xfId="0" applyNumberFormat="1" applyFont="1" applyFill="1" applyBorder="1" applyAlignment="1">
      <alignment horizontal="center" vertical="center" wrapText="1"/>
    </xf>
    <xf numFmtId="49" fontId="15" fillId="4" borderId="103" xfId="0" applyNumberFormat="1" applyFont="1" applyFill="1" applyBorder="1" applyAlignment="1">
      <alignment horizontal="center" vertical="center" wrapText="1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02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2" xfId="0" applyFont="1" applyFill="1" applyBorder="1" applyAlignment="1" applyProtection="1">
      <alignment horizontal="center" vertical="center" wrapText="1"/>
      <protection locked="0"/>
    </xf>
    <xf numFmtId="0" fontId="1" fillId="18" borderId="103" xfId="0" applyFont="1" applyFill="1" applyBorder="1" applyAlignment="1" applyProtection="1">
      <alignment horizontal="center" vertical="center" wrapText="1"/>
      <protection locked="0"/>
    </xf>
    <xf numFmtId="49" fontId="15" fillId="18" borderId="156" xfId="0" applyNumberFormat="1" applyFont="1" applyFill="1" applyBorder="1" applyAlignment="1">
      <alignment horizontal="center" vertical="center" wrapText="1"/>
    </xf>
    <xf numFmtId="49" fontId="15" fillId="18" borderId="157" xfId="0" applyNumberFormat="1" applyFont="1" applyFill="1" applyBorder="1" applyAlignment="1">
      <alignment horizontal="center" vertical="center" wrapText="1"/>
    </xf>
    <xf numFmtId="49" fontId="15" fillId="18" borderId="158" xfId="0" applyNumberFormat="1" applyFont="1" applyFill="1" applyBorder="1" applyAlignment="1">
      <alignment horizontal="center" vertical="center" wrapText="1"/>
    </xf>
    <xf numFmtId="49" fontId="15" fillId="18" borderId="56" xfId="0" applyNumberFormat="1" applyFont="1" applyFill="1" applyBorder="1" applyAlignment="1">
      <alignment horizontal="center" vertical="center" wrapText="1"/>
    </xf>
    <xf numFmtId="49" fontId="15" fillId="18" borderId="57" xfId="0" applyNumberFormat="1" applyFont="1" applyFill="1" applyBorder="1" applyAlignment="1">
      <alignment horizontal="center" vertical="center" wrapText="1"/>
    </xf>
    <xf numFmtId="49" fontId="15" fillId="18" borderId="58" xfId="0" applyNumberFormat="1" applyFont="1" applyFill="1" applyBorder="1" applyAlignment="1">
      <alignment horizontal="center" vertical="center" wrapText="1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62" xfId="0" applyNumberFormat="1" applyFont="1" applyFill="1" applyBorder="1" applyAlignment="1">
      <alignment horizontal="center" vertical="center" wrapText="1"/>
    </xf>
    <xf numFmtId="49" fontId="15" fillId="18" borderId="163" xfId="0" applyNumberFormat="1" applyFont="1" applyFill="1" applyBorder="1" applyAlignment="1">
      <alignment horizontal="center" vertical="center" wrapText="1"/>
    </xf>
    <xf numFmtId="49" fontId="15" fillId="18" borderId="164" xfId="0" applyNumberFormat="1" applyFont="1" applyFill="1" applyBorder="1" applyAlignment="1">
      <alignment horizontal="center" vertical="center" wrapText="1"/>
    </xf>
    <xf numFmtId="49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4" xfId="0" applyNumberFormat="1" applyFont="1" applyFill="1" applyBorder="1" applyAlignment="1">
      <alignment horizontal="center" vertical="center" wrapText="1"/>
    </xf>
    <xf numFmtId="49" fontId="15" fillId="18" borderId="75" xfId="0" applyNumberFormat="1" applyFont="1" applyFill="1" applyBorder="1" applyAlignment="1">
      <alignment horizontal="center" vertical="center" wrapText="1"/>
    </xf>
    <xf numFmtId="49" fontId="15" fillId="18" borderId="76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0" xfId="0" applyNumberFormat="1" applyFont="1" applyFill="1" applyBorder="1" applyAlignment="1">
      <alignment horizontal="center" vertical="center" wrapText="1"/>
    </xf>
    <xf numFmtId="49" fontId="15" fillId="18" borderId="81" xfId="0" applyNumberFormat="1" applyFont="1" applyFill="1" applyBorder="1" applyAlignment="1">
      <alignment horizontal="center" vertical="center" wrapText="1"/>
    </xf>
    <xf numFmtId="49" fontId="15" fillId="18" borderId="82" xfId="0" applyNumberFormat="1" applyFont="1" applyFill="1" applyBorder="1" applyAlignment="1">
      <alignment horizontal="center" vertical="center" wrapText="1"/>
    </xf>
    <xf numFmtId="164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62" xfId="0" applyFont="1" applyFill="1" applyBorder="1" applyAlignment="1" applyProtection="1">
      <alignment horizontal="center" vertical="center" wrapText="1"/>
      <protection locked="0"/>
    </xf>
    <xf numFmtId="0" fontId="1" fillId="18" borderId="163" xfId="0" applyFont="1" applyFill="1" applyBorder="1" applyAlignment="1" applyProtection="1">
      <alignment horizontal="center" vertical="center" wrapText="1"/>
      <protection locked="0"/>
    </xf>
    <xf numFmtId="0" fontId="1" fillId="18" borderId="164" xfId="0" applyFont="1" applyFill="1" applyBorder="1" applyAlignment="1" applyProtection="1">
      <alignment horizontal="center" vertical="center" wrapText="1"/>
      <protection locked="0"/>
    </xf>
    <xf numFmtId="165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2" xfId="0" applyNumberFormat="1" applyFont="1" applyFill="1" applyBorder="1" applyAlignment="1">
      <alignment horizontal="center" vertical="center" wrapText="1"/>
    </xf>
    <xf numFmtId="4" fontId="1" fillId="18" borderId="163" xfId="0" applyNumberFormat="1" applyFont="1" applyFill="1" applyBorder="1" applyAlignment="1">
      <alignment horizontal="center" vertical="center" wrapText="1"/>
    </xf>
    <xf numFmtId="4" fontId="1" fillId="18" borderId="164" xfId="0" applyNumberFormat="1" applyFont="1" applyFill="1" applyBorder="1" applyAlignment="1">
      <alignment horizontal="center" vertical="center" wrapText="1"/>
    </xf>
    <xf numFmtId="167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50" xfId="0" applyFont="1" applyFill="1" applyBorder="1" applyAlignment="1" applyProtection="1">
      <alignment horizontal="center" vertical="center" wrapText="1"/>
      <protection locked="0"/>
    </xf>
    <xf numFmtId="0" fontId="1" fillId="18" borderId="151" xfId="0" applyFont="1" applyFill="1" applyBorder="1" applyAlignment="1" applyProtection="1">
      <alignment horizontal="center" vertical="center" wrapText="1"/>
      <protection locked="0"/>
    </xf>
    <xf numFmtId="0" fontId="1" fillId="18" borderId="152" xfId="0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29" xfId="0" applyFont="1" applyFill="1" applyBorder="1" applyAlignment="1" applyProtection="1">
      <alignment horizontal="center" vertical="center" wrapText="1"/>
      <protection locked="0"/>
    </xf>
    <xf numFmtId="0" fontId="1" fillId="18" borderId="130" xfId="0" applyFont="1" applyFill="1" applyBorder="1" applyAlignment="1" applyProtection="1">
      <alignment horizontal="center" vertical="center" wrapText="1"/>
      <protection locked="0"/>
    </xf>
    <xf numFmtId="0" fontId="1" fillId="18" borderId="131" xfId="0" applyFont="1" applyFill="1" applyBorder="1" applyAlignment="1" applyProtection="1">
      <alignment horizontal="center" vertical="center" wrapText="1"/>
      <protection locked="0"/>
    </xf>
    <xf numFmtId="167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9" xfId="0" applyNumberFormat="1" applyFont="1" applyFill="1" applyBorder="1" applyAlignment="1">
      <alignment horizontal="center" vertical="center" wrapText="1"/>
    </xf>
    <xf numFmtId="4" fontId="1" fillId="18" borderId="130" xfId="0" applyNumberFormat="1" applyFont="1" applyFill="1" applyBorder="1" applyAlignment="1">
      <alignment horizontal="center" vertical="center" wrapText="1"/>
    </xf>
    <xf numFmtId="4" fontId="1" fillId="18" borderId="131" xfId="0" applyNumberFormat="1" applyFont="1" applyFill="1" applyBorder="1" applyAlignment="1">
      <alignment horizontal="center" vertical="center" wrapText="1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4" xfId="0" applyNumberFormat="1" applyFont="1" applyFill="1" applyBorder="1" applyAlignment="1">
      <alignment horizontal="center" vertical="center" wrapText="1"/>
    </xf>
    <xf numFmtId="49" fontId="15" fillId="18" borderId="50" xfId="0" applyNumberFormat="1" applyFont="1" applyFill="1" applyBorder="1" applyAlignment="1">
      <alignment horizontal="center" vertical="center" wrapText="1"/>
    </xf>
    <xf numFmtId="49" fontId="15" fillId="18" borderId="47" xfId="0" applyNumberFormat="1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29" xfId="0" applyNumberFormat="1" applyFont="1" applyFill="1" applyBorder="1" applyAlignment="1">
      <alignment horizontal="center" vertical="center" wrapText="1"/>
    </xf>
    <xf numFmtId="49" fontId="15" fillId="18" borderId="130" xfId="0" applyNumberFormat="1" applyFont="1" applyFill="1" applyBorder="1" applyAlignment="1">
      <alignment horizontal="center" vertical="center" wrapText="1"/>
    </xf>
    <xf numFmtId="49" fontId="15" fillId="18" borderId="131" xfId="0" applyNumberFormat="1" applyFont="1" applyFill="1" applyBorder="1" applyAlignment="1">
      <alignment horizontal="center" vertical="center" wrapText="1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30" xfId="0" applyNumberFormat="1" applyFont="1" applyFill="1" applyBorder="1" applyAlignment="1">
      <alignment horizontal="center" vertical="center" wrapText="1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0" fontId="1" fillId="18" borderId="86" xfId="0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4" fontId="1" fillId="18" borderId="86" xfId="0" applyNumberFormat="1" applyFont="1" applyFill="1" applyBorder="1" applyAlignment="1">
      <alignment horizontal="center" vertical="center" wrapText="1"/>
    </xf>
    <xf numFmtId="16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04" xfId="0" applyNumberFormat="1" applyFont="1" applyFill="1" applyBorder="1" applyAlignment="1">
      <alignment horizontal="center" vertical="center" wrapText="1"/>
    </xf>
    <xf numFmtId="49" fontId="15" fillId="18" borderId="110" xfId="0" applyNumberFormat="1" applyFont="1" applyFill="1" applyBorder="1" applyAlignment="1">
      <alignment horizontal="center" vertical="center" wrapText="1"/>
    </xf>
    <xf numFmtId="49" fontId="15" fillId="18" borderId="107" xfId="0" applyNumberFormat="1" applyFont="1" applyFill="1" applyBorder="1" applyAlignment="1">
      <alignment horizontal="center" vertical="center" wrapText="1"/>
    </xf>
    <xf numFmtId="1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2" xfId="0" applyNumberFormat="1" applyFont="1" applyFill="1" applyBorder="1" applyAlignment="1">
      <alignment horizontal="center" vertical="center" wrapText="1"/>
    </xf>
    <xf numFmtId="49" fontId="15" fillId="18" borderId="43" xfId="0" applyNumberFormat="1" applyFont="1" applyFill="1" applyBorder="1" applyAlignment="1">
      <alignment horizontal="center" vertical="center" wrapText="1"/>
    </xf>
    <xf numFmtId="49" fontId="15" fillId="18" borderId="154" xfId="0" applyNumberFormat="1" applyFont="1" applyFill="1" applyBorder="1" applyAlignment="1">
      <alignment horizontal="center" vertical="center" wrapText="1"/>
    </xf>
    <xf numFmtId="49" fontId="15" fillId="18" borderId="155" xfId="0" applyNumberFormat="1" applyFont="1" applyFill="1" applyBorder="1" applyAlignment="1">
      <alignment horizontal="center" vertical="center" wrapText="1"/>
    </xf>
    <xf numFmtId="14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5" xfId="0" applyNumberFormat="1" applyFont="1" applyFill="1" applyBorder="1" applyAlignment="1">
      <alignment horizontal="center" vertical="center" wrapText="1"/>
    </xf>
    <xf numFmtId="49" fontId="15" fillId="18" borderId="87" xfId="0" applyNumberFormat="1" applyFont="1" applyFill="1" applyBorder="1" applyAlignment="1">
      <alignment horizontal="center" vertical="center" wrapText="1"/>
    </xf>
    <xf numFmtId="49" fontId="15" fillId="18" borderId="86" xfId="0" applyNumberFormat="1" applyFont="1" applyFill="1" applyBorder="1" applyAlignment="1">
      <alignment horizontal="center" vertical="center" wrapText="1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9" xfId="0" applyNumberFormat="1" applyFont="1" applyFill="1" applyBorder="1" applyAlignment="1">
      <alignment horizontal="center" vertical="center" wrapText="1"/>
    </xf>
    <xf numFmtId="49" fontId="15" fillId="18" borderId="90" xfId="0" applyNumberFormat="1" applyFont="1" applyFill="1" applyBorder="1" applyAlignment="1">
      <alignment horizontal="center" vertical="center" wrapText="1"/>
    </xf>
    <xf numFmtId="0" fontId="1" fillId="18" borderId="106" xfId="0" applyFont="1" applyFill="1" applyBorder="1" applyAlignment="1" applyProtection="1">
      <alignment horizontal="center" vertical="center" wrapText="1"/>
      <protection locked="0"/>
    </xf>
    <xf numFmtId="0" fontId="1" fillId="18" borderId="112" xfId="0" applyFont="1" applyFill="1" applyBorder="1" applyAlignment="1" applyProtection="1">
      <alignment horizontal="center" vertical="center" wrapText="1"/>
      <protection locked="0"/>
    </xf>
    <xf numFmtId="0" fontId="1" fillId="18" borderId="109" xfId="0" applyFont="1" applyFill="1" applyBorder="1" applyAlignment="1" applyProtection="1">
      <alignment horizontal="center" vertical="center" wrapText="1"/>
      <protection locked="0"/>
    </xf>
    <xf numFmtId="165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>
      <alignment horizontal="center" vertical="center" wrapText="1"/>
    </xf>
    <xf numFmtId="4" fontId="1" fillId="18" borderId="111" xfId="0" applyNumberFormat="1" applyFont="1" applyFill="1" applyBorder="1" applyAlignment="1">
      <alignment horizontal="center" vertical="center" wrapText="1"/>
    </xf>
    <xf numFmtId="4" fontId="1" fillId="18" borderId="108" xfId="0" applyNumberFormat="1" applyFont="1" applyFill="1" applyBorder="1" applyAlignment="1">
      <alignment horizontal="center" vertical="center" wrapText="1"/>
    </xf>
    <xf numFmtId="16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>
      <alignment horizontal="center" vertical="center" wrapText="1"/>
    </xf>
    <xf numFmtId="4" fontId="1" fillId="18" borderId="103" xfId="0" applyNumberFormat="1" applyFont="1" applyFill="1" applyBorder="1" applyAlignment="1">
      <alignment horizontal="center" vertical="center" wrapText="1"/>
    </xf>
    <xf numFmtId="49" fontId="15" fillId="18" borderId="150" xfId="0" applyNumberFormat="1" applyFont="1" applyFill="1" applyBorder="1" applyAlignment="1">
      <alignment horizontal="center" vertical="center" wrapText="1"/>
    </xf>
    <xf numFmtId="49" fontId="15" fillId="18" borderId="151" xfId="0" applyNumberFormat="1" applyFont="1" applyFill="1" applyBorder="1" applyAlignment="1">
      <alignment horizontal="center" vertical="center" wrapText="1"/>
    </xf>
    <xf numFmtId="49" fontId="15" fillId="18" borderId="152" xfId="0" applyNumberFormat="1" applyFont="1" applyFill="1" applyBorder="1" applyAlignment="1">
      <alignment horizontal="center" vertical="center" wrapText="1"/>
    </xf>
    <xf numFmtId="1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0" xfId="0" applyNumberFormat="1" applyFont="1" applyFill="1" applyBorder="1" applyAlignment="1">
      <alignment horizontal="center" vertical="center" wrapText="1"/>
    </xf>
    <xf numFmtId="4" fontId="1" fillId="18" borderId="151" xfId="0" applyNumberFormat="1" applyFont="1" applyFill="1" applyBorder="1" applyAlignment="1">
      <alignment horizontal="center" vertical="center" wrapText="1"/>
    </xf>
    <xf numFmtId="4" fontId="1" fillId="18" borderId="152" xfId="0" applyNumberFormat="1" applyFont="1" applyFill="1" applyBorder="1" applyAlignment="1">
      <alignment horizontal="center" vertical="center" wrapText="1"/>
    </xf>
    <xf numFmtId="167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>
      <alignment horizontal="center" vertical="center" wrapText="1"/>
    </xf>
    <xf numFmtId="4" fontId="1" fillId="18" borderId="90" xfId="0" applyNumberFormat="1" applyFont="1" applyFill="1" applyBorder="1" applyAlignment="1">
      <alignment horizontal="center" vertical="center" wrapText="1"/>
    </xf>
    <xf numFmtId="49" fontId="15" fillId="18" borderId="132" xfId="0" applyNumberFormat="1" applyFont="1" applyFill="1" applyBorder="1" applyAlignment="1">
      <alignment horizontal="center" vertical="center" wrapText="1"/>
    </xf>
    <xf numFmtId="49" fontId="15" fillId="18" borderId="138" xfId="0" applyNumberFormat="1" applyFont="1" applyFill="1" applyBorder="1" applyAlignment="1">
      <alignment horizontal="center" vertical="center" wrapText="1"/>
    </xf>
    <xf numFmtId="49" fontId="15" fillId="18" borderId="135" xfId="0" applyNumberFormat="1" applyFont="1" applyFill="1" applyBorder="1" applyAlignment="1">
      <alignment horizontal="center" vertical="center" wrapText="1"/>
    </xf>
    <xf numFmtId="14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34" xfId="0" applyFont="1" applyFill="1" applyBorder="1" applyAlignment="1" applyProtection="1">
      <alignment horizontal="center" vertical="center" wrapText="1"/>
      <protection locked="0"/>
    </xf>
    <xf numFmtId="0" fontId="1" fillId="18" borderId="140" xfId="0" applyFont="1" applyFill="1" applyBorder="1" applyAlignment="1" applyProtection="1">
      <alignment horizontal="center" vertical="center" wrapText="1"/>
      <protection locked="0"/>
    </xf>
    <xf numFmtId="0" fontId="1" fillId="18" borderId="137" xfId="0" applyFont="1" applyFill="1" applyBorder="1" applyAlignment="1" applyProtection="1">
      <alignment horizontal="center" vertical="center" wrapText="1"/>
      <protection locked="0"/>
    </xf>
    <xf numFmtId="165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3" xfId="0" applyNumberFormat="1" applyFont="1" applyFill="1" applyBorder="1" applyAlignment="1">
      <alignment horizontal="center" vertical="center" wrapText="1"/>
    </xf>
    <xf numFmtId="4" fontId="1" fillId="18" borderId="139" xfId="0" applyNumberFormat="1" applyFont="1" applyFill="1" applyBorder="1" applyAlignment="1">
      <alignment horizontal="center" vertical="center" wrapText="1"/>
    </xf>
    <xf numFmtId="4" fontId="1" fillId="18" borderId="136" xfId="0" applyNumberFormat="1" applyFont="1" applyFill="1" applyBorder="1" applyAlignment="1">
      <alignment horizontal="center" vertical="center" wrapText="1"/>
    </xf>
    <xf numFmtId="167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36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47" xfId="0" applyNumberFormat="1" applyFont="1" applyFill="1" applyBorder="1" applyAlignment="1">
      <alignment horizontal="center" vertical="center" wrapText="1"/>
    </xf>
    <xf numFmtId="49" fontId="15" fillId="4" borderId="148" xfId="0" applyNumberFormat="1" applyFont="1" applyFill="1" applyBorder="1" applyAlignment="1">
      <alignment horizontal="center" vertical="center" wrapText="1"/>
    </xf>
    <xf numFmtId="49" fontId="15" fillId="4" borderId="149" xfId="0" applyNumberFormat="1" applyFont="1" applyFill="1" applyBorder="1" applyAlignment="1">
      <alignment horizontal="center" vertical="center" wrapText="1"/>
    </xf>
    <xf numFmtId="14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7" xfId="0" applyFont="1" applyFill="1" applyBorder="1" applyAlignment="1" applyProtection="1">
      <alignment horizontal="center" vertical="center" wrapText="1"/>
      <protection locked="0"/>
    </xf>
    <xf numFmtId="0" fontId="1" fillId="18" borderId="148" xfId="0" applyFont="1" applyFill="1" applyBorder="1" applyAlignment="1" applyProtection="1">
      <alignment horizontal="center" vertical="center" wrapText="1"/>
      <protection locked="0"/>
    </xf>
    <xf numFmtId="0" fontId="1" fillId="18" borderId="149" xfId="0" applyFont="1" applyFill="1" applyBorder="1" applyAlignment="1" applyProtection="1">
      <alignment horizontal="center" vertical="center" wrapText="1"/>
      <protection locked="0"/>
    </xf>
    <xf numFmtId="165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7" xfId="0" applyNumberFormat="1" applyFont="1" applyFill="1" applyBorder="1" applyAlignment="1">
      <alignment horizontal="center" vertical="center" wrapText="1"/>
    </xf>
    <xf numFmtId="4" fontId="1" fillId="18" borderId="148" xfId="0" applyNumberFormat="1" applyFont="1" applyFill="1" applyBorder="1" applyAlignment="1">
      <alignment horizontal="center" vertical="center" wrapText="1"/>
    </xf>
    <xf numFmtId="4" fontId="1" fillId="18" borderId="149" xfId="0" applyNumberFormat="1" applyFont="1" applyFill="1" applyBorder="1" applyAlignment="1">
      <alignment horizontal="center" vertical="center" wrapText="1"/>
    </xf>
    <xf numFmtId="167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54" xfId="0" applyFont="1" applyFill="1" applyBorder="1" applyAlignment="1" applyProtection="1">
      <alignment horizontal="center" vertical="center" wrapText="1"/>
      <protection locked="0"/>
    </xf>
    <xf numFmtId="0" fontId="1" fillId="18" borderId="155" xfId="0" applyFont="1" applyFill="1" applyBorder="1" applyAlignment="1" applyProtection="1">
      <alignment horizontal="center" vertical="center" wrapText="1"/>
      <protection locked="0"/>
    </xf>
    <xf numFmtId="165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4" xfId="0" applyNumberFormat="1" applyFont="1" applyFill="1" applyBorder="1" applyAlignment="1">
      <alignment horizontal="center" vertical="center" wrapText="1"/>
    </xf>
    <xf numFmtId="4" fontId="1" fillId="18" borderId="155" xfId="0" applyNumberFormat="1" applyFont="1" applyFill="1" applyBorder="1" applyAlignment="1">
      <alignment horizontal="center" vertical="center" wrapText="1"/>
    </xf>
    <xf numFmtId="167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1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1" xfId="0" applyNumberFormat="1" applyFont="1" applyFill="1" applyBorder="1" applyAlignment="1">
      <alignment horizontal="center" vertical="center" wrapText="1"/>
    </xf>
    <xf numFmtId="4" fontId="1" fillId="18" borderId="124" xfId="0" applyNumberFormat="1" applyFont="1" applyFill="1" applyBorder="1" applyAlignment="1">
      <alignment horizontal="center" vertical="center" wrapText="1"/>
    </xf>
    <xf numFmtId="4" fontId="1" fillId="18" borderId="127" xfId="0" applyNumberFormat="1" applyFont="1" applyFill="1" applyBorder="1" applyAlignment="1">
      <alignment horizontal="center" vertical="center" wrapText="1"/>
    </xf>
    <xf numFmtId="49" fontId="17" fillId="18" borderId="121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124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1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20" xfId="0" applyNumberFormat="1" applyFont="1" applyFill="1" applyBorder="1" applyAlignment="1">
      <alignment horizontal="center" vertical="center" wrapText="1"/>
    </xf>
    <xf numFmtId="49" fontId="15" fillId="18" borderId="123" xfId="0" applyNumberFormat="1" applyFont="1" applyFill="1" applyBorder="1" applyAlignment="1">
      <alignment horizontal="center" vertical="center" wrapText="1"/>
    </xf>
    <xf numFmtId="49" fontId="15" fillId="18" borderId="126" xfId="0" applyNumberFormat="1" applyFont="1" applyFill="1" applyBorder="1" applyAlignment="1">
      <alignment horizontal="center" vertical="center" wrapText="1"/>
    </xf>
    <xf numFmtId="165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9" xfId="0" applyNumberFormat="1" applyFont="1" applyFill="1" applyBorder="1" applyAlignment="1">
      <alignment horizontal="center" vertical="center" wrapText="1"/>
    </xf>
    <xf numFmtId="49" fontId="15" fillId="4" borderId="62" xfId="0" applyNumberFormat="1" applyFont="1" applyFill="1" applyBorder="1" applyAlignment="1">
      <alignment horizontal="center" vertical="center" wrapText="1"/>
    </xf>
    <xf numFmtId="49" fontId="15" fillId="4" borderId="65" xfId="0" applyNumberFormat="1" applyFont="1" applyFill="1" applyBorder="1" applyAlignment="1">
      <alignment horizontal="center" vertical="center" wrapText="1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3" xfId="0" applyNumberFormat="1" applyFont="1" applyFill="1" applyBorder="1" applyAlignment="1">
      <alignment horizontal="center" vertical="center" wrapText="1"/>
    </xf>
    <xf numFmtId="49" fontId="15" fillId="18" borderId="96" xfId="0" applyNumberFormat="1" applyFont="1" applyFill="1" applyBorder="1" applyAlignment="1">
      <alignment horizontal="center" vertical="center" wrapText="1"/>
    </xf>
    <xf numFmtId="49" fontId="15" fillId="18" borderId="99" xfId="0" applyNumberFormat="1" applyFont="1" applyFill="1" applyBorder="1" applyAlignment="1">
      <alignment horizontal="center" vertical="center" wrapText="1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>
      <alignment horizontal="center" vertical="center" wrapText="1"/>
    </xf>
    <xf numFmtId="4" fontId="1" fillId="18" borderId="97" xfId="0" applyNumberFormat="1" applyFont="1" applyFill="1" applyBorder="1" applyAlignment="1">
      <alignment horizontal="center" vertical="center" wrapText="1"/>
    </xf>
    <xf numFmtId="4" fontId="1" fillId="18" borderId="100" xfId="0" applyNumberFormat="1" applyFont="1" applyFill="1" applyBorder="1" applyAlignment="1">
      <alignment horizontal="center" vertical="center" wrapText="1"/>
    </xf>
    <xf numFmtId="49" fontId="17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0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6" xfId="0" applyFont="1" applyFill="1" applyBorder="1" applyAlignment="1" applyProtection="1">
      <alignment horizontal="center" vertical="center" wrapText="1"/>
      <protection locked="0"/>
    </xf>
    <xf numFmtId="0" fontId="1" fillId="18" borderId="119" xfId="0" applyFont="1" applyFill="1" applyBorder="1" applyAlignment="1" applyProtection="1">
      <alignment horizontal="center" vertical="center" wrapText="1"/>
      <protection locked="0"/>
    </xf>
    <xf numFmtId="49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5" xfId="0" applyNumberFormat="1" applyFont="1" applyFill="1" applyBorder="1" applyAlignment="1">
      <alignment horizontal="center" vertical="center" wrapText="1"/>
    </xf>
    <xf numFmtId="4" fontId="1" fillId="18" borderId="118" xfId="0" applyNumberFormat="1" applyFont="1" applyFill="1" applyBorder="1" applyAlignment="1">
      <alignment horizontal="center" vertical="center" wrapText="1"/>
    </xf>
    <xf numFmtId="49" fontId="16" fillId="18" borderId="115" xfId="0" applyNumberFormat="1" applyFont="1" applyFill="1" applyBorder="1" applyAlignment="1" applyProtection="1">
      <alignment vertical="center" wrapText="1"/>
      <protection locked="0"/>
    </xf>
    <xf numFmtId="49" fontId="16" fillId="18" borderId="118" xfId="0" applyNumberFormat="1" applyFont="1" applyFill="1" applyBorder="1" applyAlignment="1" applyProtection="1">
      <alignment vertical="center" wrapText="1"/>
      <protection locked="0"/>
    </xf>
    <xf numFmtId="1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4" xfId="0" applyNumberFormat="1" applyFont="1" applyFill="1" applyBorder="1" applyAlignment="1">
      <alignment horizontal="center" vertical="center" wrapText="1"/>
    </xf>
    <xf numFmtId="49" fontId="1" fillId="18" borderId="117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F1" zoomScale="70" zoomScaleNormal="70" workbookViewId="0">
      <selection activeCell="J9" sqref="J9:L9"/>
    </sheetView>
  </sheetViews>
  <sheetFormatPr defaultColWidth="0" defaultRowHeight="15" x14ac:dyDescent="0.25"/>
  <cols>
    <col min="1" max="2" width="9.140625" style="8" customWidth="1"/>
    <col min="3" max="3" width="25.42578125" style="8" customWidth="1"/>
    <col min="4" max="5" width="9.140625" style="8" customWidth="1"/>
    <col min="6" max="6" width="11.570312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425781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5703125" style="8" hidden="1" customWidth="1"/>
    <col min="24" max="16384" width="9.140625" style="8" hidden="1"/>
  </cols>
  <sheetData>
    <row r="1" spans="1:14" ht="73.5" customHeight="1" thickBot="1" x14ac:dyDescent="0.3">
      <c r="A1" s="949" t="s">
        <v>141</v>
      </c>
      <c r="B1" s="950"/>
      <c r="C1" s="950"/>
      <c r="D1" s="950"/>
      <c r="E1" s="951" t="s">
        <v>145</v>
      </c>
      <c r="F1" s="952"/>
      <c r="G1" s="952"/>
      <c r="H1" s="952"/>
      <c r="I1" s="952"/>
      <c r="J1" s="952"/>
      <c r="K1" s="952"/>
      <c r="L1" s="952"/>
      <c r="M1" s="952"/>
      <c r="N1" s="953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987" t="s">
        <v>25</v>
      </c>
      <c r="B4" s="988"/>
      <c r="C4" s="4">
        <v>7550658.4400000004</v>
      </c>
      <c r="D4" s="5"/>
      <c r="E4" s="989" t="s">
        <v>140</v>
      </c>
      <c r="F4" s="990"/>
      <c r="G4" s="991"/>
      <c r="H4" s="992">
        <v>1888249.5</v>
      </c>
      <c r="I4" s="993"/>
      <c r="J4" s="994"/>
      <c r="K4" s="17"/>
      <c r="L4" s="76" t="s">
        <v>55</v>
      </c>
      <c r="M4" s="989">
        <v>3421958.71</v>
      </c>
      <c r="N4" s="991"/>
    </row>
    <row r="5" spans="1:14" ht="30.75" customHeight="1" thickBot="1" x14ac:dyDescent="0.3">
      <c r="A5" s="987" t="s">
        <v>26</v>
      </c>
      <c r="B5" s="988"/>
      <c r="C5" s="6">
        <f>C4-G15+J15</f>
        <v>1184962.0599999994</v>
      </c>
      <c r="D5" s="5"/>
      <c r="E5" s="989" t="s">
        <v>53</v>
      </c>
      <c r="F5" s="990"/>
      <c r="G5" s="991"/>
      <c r="H5" s="982">
        <f>H4-G12</f>
        <v>119298.61999999988</v>
      </c>
      <c r="I5" s="983"/>
      <c r="J5" s="984"/>
      <c r="K5" s="17"/>
      <c r="L5" s="76" t="s">
        <v>54</v>
      </c>
      <c r="M5" s="985">
        <f>M4-G13</f>
        <v>448842.65999999968</v>
      </c>
      <c r="N5" s="986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995" t="s">
        <v>27</v>
      </c>
      <c r="B8" s="996"/>
      <c r="C8" s="997"/>
      <c r="D8" s="995" t="s">
        <v>28</v>
      </c>
      <c r="E8" s="996"/>
      <c r="F8" s="997"/>
      <c r="G8" s="998" t="s">
        <v>29</v>
      </c>
      <c r="H8" s="999"/>
      <c r="I8" s="1000"/>
      <c r="J8" s="998" t="s">
        <v>142</v>
      </c>
      <c r="K8" s="999"/>
      <c r="L8" s="1000"/>
      <c r="M8" s="995" t="s">
        <v>30</v>
      </c>
      <c r="N8" s="997"/>
    </row>
    <row r="9" spans="1:14" ht="41.25" customHeight="1" thickBot="1" x14ac:dyDescent="0.3">
      <c r="A9" s="973" t="s">
        <v>31</v>
      </c>
      <c r="B9" s="974"/>
      <c r="C9" s="975"/>
      <c r="D9" s="972">
        <f>'Состоявшиеся аукционы'!G2</f>
        <v>1548849.06</v>
      </c>
      <c r="E9" s="972"/>
      <c r="F9" s="972"/>
      <c r="G9" s="972">
        <f>'Состоявшиеся аукционы'!Q2</f>
        <v>1071537.3400000001</v>
      </c>
      <c r="H9" s="972"/>
      <c r="I9" s="972"/>
      <c r="J9" s="969">
        <f>'Состоявшиеся аукционы'!AB2</f>
        <v>243878.95</v>
      </c>
      <c r="K9" s="970"/>
      <c r="L9" s="971"/>
      <c r="M9" s="972">
        <f t="shared" ref="M9:M15" si="0">D9-G9</f>
        <v>477311.72</v>
      </c>
      <c r="N9" s="972"/>
    </row>
    <row r="10" spans="1:14" ht="78.75" customHeight="1" thickBot="1" x14ac:dyDescent="0.3">
      <c r="A10" s="973" t="s">
        <v>49</v>
      </c>
      <c r="B10" s="974"/>
      <c r="C10" s="975"/>
      <c r="D10" s="972">
        <f>'Несостоявшиеся аукционы'!G2</f>
        <v>570613.17999999993</v>
      </c>
      <c r="E10" s="972"/>
      <c r="F10" s="972"/>
      <c r="G10" s="972">
        <f>'Несостоявшиеся аукционы'!Q2</f>
        <v>570613.17999999993</v>
      </c>
      <c r="H10" s="972"/>
      <c r="I10" s="972"/>
      <c r="J10" s="969">
        <f>'Несостоявшиеся аукционы'!AB2</f>
        <v>5353.48</v>
      </c>
      <c r="K10" s="970"/>
      <c r="L10" s="971"/>
      <c r="M10" s="972">
        <f t="shared" si="0"/>
        <v>0</v>
      </c>
      <c r="N10" s="972"/>
    </row>
    <row r="11" spans="1:14" ht="40.5" customHeight="1" thickBot="1" x14ac:dyDescent="0.3">
      <c r="A11" s="973" t="s">
        <v>83</v>
      </c>
      <c r="B11" s="974"/>
      <c r="C11" s="975"/>
      <c r="D11" s="969">
        <f>'Иные конкурентные закупки'!G2</f>
        <v>0</v>
      </c>
      <c r="E11" s="970"/>
      <c r="F11" s="971"/>
      <c r="G11" s="969">
        <f>'Иные конкурентные закупки'!Q2</f>
        <v>0</v>
      </c>
      <c r="H11" s="970"/>
      <c r="I11" s="971"/>
      <c r="J11" s="969">
        <f>'Иные конкурентные закупки'!AB2</f>
        <v>0</v>
      </c>
      <c r="K11" s="970"/>
      <c r="L11" s="971"/>
      <c r="M11" s="969">
        <f t="shared" si="0"/>
        <v>0</v>
      </c>
      <c r="N11" s="971"/>
    </row>
    <row r="12" spans="1:14" ht="54.75" customHeight="1" thickBot="1" x14ac:dyDescent="0.3">
      <c r="A12" s="976" t="s">
        <v>50</v>
      </c>
      <c r="B12" s="977"/>
      <c r="C12" s="978"/>
      <c r="D12" s="972">
        <f>'Ед. поставщик п.4 ч.1'!H2</f>
        <v>1768950.8800000001</v>
      </c>
      <c r="E12" s="972"/>
      <c r="F12" s="972"/>
      <c r="G12" s="972">
        <f>D12</f>
        <v>1768950.8800000001</v>
      </c>
      <c r="H12" s="972"/>
      <c r="I12" s="972"/>
      <c r="J12" s="969">
        <f>'Ед. поставщик п.4 ч.1'!V2</f>
        <v>155000.07</v>
      </c>
      <c r="K12" s="970"/>
      <c r="L12" s="971"/>
      <c r="M12" s="972">
        <f t="shared" si="0"/>
        <v>0</v>
      </c>
      <c r="N12" s="972"/>
    </row>
    <row r="13" spans="1:14" ht="45.75" customHeight="1" thickBot="1" x14ac:dyDescent="0.3">
      <c r="A13" s="976" t="s">
        <v>51</v>
      </c>
      <c r="B13" s="977"/>
      <c r="C13" s="978"/>
      <c r="D13" s="972">
        <f>'Ед. поставщик п.5 ч.1'!H2</f>
        <v>2973116.0500000003</v>
      </c>
      <c r="E13" s="972"/>
      <c r="F13" s="972"/>
      <c r="G13" s="972">
        <f>D13</f>
        <v>2973116.0500000003</v>
      </c>
      <c r="H13" s="972"/>
      <c r="I13" s="972"/>
      <c r="J13" s="969">
        <f>'Ед. поставщик п.5 ч.1'!V2</f>
        <v>202233.07</v>
      </c>
      <c r="K13" s="970"/>
      <c r="L13" s="971"/>
      <c r="M13" s="972">
        <f t="shared" si="0"/>
        <v>0</v>
      </c>
      <c r="N13" s="972"/>
    </row>
    <row r="14" spans="1:14" ht="45.75" customHeight="1" thickBot="1" x14ac:dyDescent="0.3">
      <c r="A14" s="966" t="s">
        <v>52</v>
      </c>
      <c r="B14" s="967"/>
      <c r="C14" s="968"/>
      <c r="D14" s="969">
        <f>'Ед.поставщик за искл. п.4,5 ч.1'!G2</f>
        <v>587944.5</v>
      </c>
      <c r="E14" s="970"/>
      <c r="F14" s="971"/>
      <c r="G14" s="969">
        <f>D14</f>
        <v>587944.5</v>
      </c>
      <c r="H14" s="970"/>
      <c r="I14" s="971"/>
      <c r="J14" s="969">
        <f>'Ед.поставщик за искл. п.4,5 ч.1'!T2</f>
        <v>0</v>
      </c>
      <c r="K14" s="970"/>
      <c r="L14" s="971"/>
      <c r="M14" s="972">
        <f t="shared" si="0"/>
        <v>0</v>
      </c>
      <c r="N14" s="972"/>
    </row>
    <row r="15" spans="1:14" ht="21" thickBot="1" x14ac:dyDescent="0.3">
      <c r="A15" s="979" t="s">
        <v>146</v>
      </c>
      <c r="B15" s="980"/>
      <c r="C15" s="981"/>
      <c r="D15" s="972">
        <f>SUM(D9:D14)</f>
        <v>7449473.6699999999</v>
      </c>
      <c r="E15" s="972"/>
      <c r="F15" s="972"/>
      <c r="G15" s="969">
        <f>SUM(G9:G14)</f>
        <v>6972161.9500000011</v>
      </c>
      <c r="H15" s="970"/>
      <c r="I15" s="971"/>
      <c r="J15" s="969">
        <f>SUM(J9:J14)</f>
        <v>606465.57000000007</v>
      </c>
      <c r="K15" s="970"/>
      <c r="L15" s="971"/>
      <c r="M15" s="972">
        <f t="shared" si="0"/>
        <v>477311.71999999881</v>
      </c>
      <c r="N15" s="972"/>
    </row>
    <row r="18" spans="1:12" ht="15.75" thickBot="1" x14ac:dyDescent="0.3"/>
    <row r="19" spans="1:12" ht="23.25" customHeight="1" x14ac:dyDescent="0.25">
      <c r="A19" s="954" t="s">
        <v>35</v>
      </c>
      <c r="B19" s="955"/>
      <c r="C19" s="956"/>
      <c r="D19" s="96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5710313.1039999984</v>
      </c>
      <c r="E19" s="961"/>
      <c r="F19" s="961"/>
      <c r="G19" s="962"/>
      <c r="I19" s="15"/>
      <c r="J19" s="15"/>
      <c r="K19" s="15"/>
      <c r="L19" s="15"/>
    </row>
    <row r="20" spans="1:12" ht="24" customHeight="1" thickBot="1" x14ac:dyDescent="0.3">
      <c r="A20" s="957"/>
      <c r="B20" s="958"/>
      <c r="C20" s="959"/>
      <c r="D20" s="963"/>
      <c r="E20" s="964"/>
      <c r="F20" s="964"/>
      <c r="G20" s="965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73"/>
  <sheetViews>
    <sheetView showGridLines="0" topLeftCell="K1" zoomScale="50" zoomScaleNormal="50" workbookViewId="0">
      <pane ySplit="8" topLeftCell="A72" activePane="bottomLeft" state="frozen"/>
      <selection activeCell="I1" sqref="I1"/>
      <selection pane="bottomLeft" activeCell="V9" sqref="V9:V10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570312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425781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5703125" style="2" customWidth="1"/>
    <col min="21" max="21" width="24.5703125" style="11" customWidth="1"/>
    <col min="22" max="22" width="25.5703125" style="26" customWidth="1"/>
    <col min="23" max="23" width="17.570312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1768950.8800000001</v>
      </c>
      <c r="K2" s="1055"/>
      <c r="L2" s="1055"/>
      <c r="M2" s="1055"/>
      <c r="N2" s="1056" t="s">
        <v>137</v>
      </c>
      <c r="O2" s="1058"/>
      <c r="P2" s="66">
        <f>SUM(P9:P9999)</f>
        <v>1098723.29</v>
      </c>
      <c r="R2" s="65"/>
      <c r="S2" s="1056" t="s">
        <v>45</v>
      </c>
      <c r="T2" s="1057"/>
      <c r="U2" s="1058"/>
      <c r="V2" s="67">
        <f>SUM(V9:V9999)</f>
        <v>155000.07</v>
      </c>
    </row>
    <row r="3" spans="1:24" x14ac:dyDescent="0.25">
      <c r="A3" s="1055"/>
      <c r="B3" s="1055"/>
      <c r="C3" s="1055"/>
      <c r="D3" s="1055"/>
      <c r="E3" s="1055"/>
      <c r="N3" s="65"/>
    </row>
    <row r="4" spans="1:24" ht="39.950000000000003" customHeight="1" x14ac:dyDescent="0.25">
      <c r="J4" s="1059"/>
      <c r="K4" s="1059"/>
      <c r="M4" s="1059"/>
      <c r="N4" s="1059"/>
      <c r="O4" s="1059"/>
      <c r="P4" s="1059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1078">
        <v>1</v>
      </c>
      <c r="B9" s="1076" t="s">
        <v>56</v>
      </c>
      <c r="C9" s="1076" t="s">
        <v>147</v>
      </c>
      <c r="D9" s="1076" t="s">
        <v>158</v>
      </c>
      <c r="E9" s="1084" t="s">
        <v>190</v>
      </c>
      <c r="F9" s="1080">
        <v>45288</v>
      </c>
      <c r="G9" s="1076" t="s">
        <v>215</v>
      </c>
      <c r="H9" s="1082">
        <v>70000</v>
      </c>
      <c r="I9" s="1086">
        <f>IF(X9 = 2, H9 + SUM(S9:S10) - SUM(T9:T10) - SUM(P9:P10) - V9,0)</f>
        <v>0</v>
      </c>
      <c r="J9" s="1076" t="s">
        <v>193</v>
      </c>
      <c r="K9" s="1076" t="s">
        <v>191</v>
      </c>
      <c r="L9" s="1076" t="s">
        <v>147</v>
      </c>
      <c r="M9" s="1076" t="s">
        <v>192</v>
      </c>
      <c r="N9" s="167">
        <v>45322</v>
      </c>
      <c r="O9" s="1080" t="s">
        <v>214</v>
      </c>
      <c r="P9" s="160">
        <v>21567</v>
      </c>
      <c r="Q9" s="161">
        <v>45328</v>
      </c>
      <c r="R9" s="162"/>
      <c r="S9" s="163"/>
      <c r="T9" s="163"/>
      <c r="U9" s="1082" t="s">
        <v>322</v>
      </c>
      <c r="V9" s="1114">
        <v>16082.5</v>
      </c>
      <c r="W9" s="1106"/>
      <c r="X9" s="14">
        <v>2</v>
      </c>
    </row>
    <row r="10" spans="1:24" s="110" customFormat="1" x14ac:dyDescent="0.25">
      <c r="A10" s="1079"/>
      <c r="B10" s="1077"/>
      <c r="C10" s="1077"/>
      <c r="D10" s="1077"/>
      <c r="E10" s="1085"/>
      <c r="F10" s="1081"/>
      <c r="G10" s="1077"/>
      <c r="H10" s="1083"/>
      <c r="I10" s="1087"/>
      <c r="J10" s="1077"/>
      <c r="K10" s="1077"/>
      <c r="L10" s="1077"/>
      <c r="M10" s="1077"/>
      <c r="N10" s="168">
        <v>45351</v>
      </c>
      <c r="O10" s="1081"/>
      <c r="P10" s="193">
        <v>32350.5</v>
      </c>
      <c r="Q10" s="165">
        <v>45362</v>
      </c>
      <c r="R10" s="166"/>
      <c r="S10" s="164"/>
      <c r="T10" s="164"/>
      <c r="U10" s="1083"/>
      <c r="V10" s="1115"/>
      <c r="W10" s="1107"/>
      <c r="X10" s="110">
        <v>2</v>
      </c>
    </row>
    <row r="11" spans="1:24" s="80" customFormat="1" ht="90" customHeight="1" x14ac:dyDescent="0.25">
      <c r="A11" s="1060">
        <v>2</v>
      </c>
      <c r="B11" s="1062" t="s">
        <v>56</v>
      </c>
      <c r="C11" s="1062" t="s">
        <v>147</v>
      </c>
      <c r="D11" s="1062" t="s">
        <v>158</v>
      </c>
      <c r="E11" s="1064">
        <v>1</v>
      </c>
      <c r="F11" s="1066">
        <v>45383</v>
      </c>
      <c r="G11" s="1062" t="s">
        <v>238</v>
      </c>
      <c r="H11" s="1068">
        <v>15000</v>
      </c>
      <c r="I11" s="1112">
        <f>IF(X11 = 72, H11 + SUM(S11:S12) - SUM(T11:T12) - SUM(P11:P12) - V11,0)</f>
        <v>0</v>
      </c>
      <c r="J11" s="1062" t="s">
        <v>237</v>
      </c>
      <c r="K11" s="1062" t="s">
        <v>236</v>
      </c>
      <c r="L11" s="1062" t="s">
        <v>147</v>
      </c>
      <c r="M11" s="1062" t="s">
        <v>239</v>
      </c>
      <c r="N11" s="747">
        <v>45383</v>
      </c>
      <c r="O11" s="1066" t="s">
        <v>240</v>
      </c>
      <c r="P11" s="740">
        <v>3500</v>
      </c>
      <c r="Q11" s="741">
        <v>45385</v>
      </c>
      <c r="R11" s="742"/>
      <c r="S11" s="743"/>
      <c r="T11" s="743"/>
      <c r="U11" s="1068" t="s">
        <v>495</v>
      </c>
      <c r="V11" s="1108">
        <v>4500</v>
      </c>
      <c r="W11" s="1110"/>
      <c r="X11" s="80">
        <v>72</v>
      </c>
    </row>
    <row r="12" spans="1:24" s="110" customFormat="1" x14ac:dyDescent="0.25">
      <c r="A12" s="1061"/>
      <c r="B12" s="1063"/>
      <c r="C12" s="1063"/>
      <c r="D12" s="1063"/>
      <c r="E12" s="1065"/>
      <c r="F12" s="1067"/>
      <c r="G12" s="1063"/>
      <c r="H12" s="1069"/>
      <c r="I12" s="1113"/>
      <c r="J12" s="1063"/>
      <c r="K12" s="1063"/>
      <c r="L12" s="1063"/>
      <c r="M12" s="1063"/>
      <c r="N12" s="748">
        <v>45630</v>
      </c>
      <c r="O12" s="1067"/>
      <c r="P12" s="940">
        <v>7000</v>
      </c>
      <c r="Q12" s="745">
        <v>45632</v>
      </c>
      <c r="R12" s="746"/>
      <c r="S12" s="744"/>
      <c r="T12" s="744"/>
      <c r="U12" s="1069"/>
      <c r="V12" s="1109"/>
      <c r="W12" s="1111"/>
      <c r="X12" s="110">
        <v>72</v>
      </c>
    </row>
    <row r="13" spans="1:24" s="80" customFormat="1" ht="93.75" x14ac:dyDescent="0.25">
      <c r="A13" s="201">
        <v>3</v>
      </c>
      <c r="B13" s="197" t="s">
        <v>56</v>
      </c>
      <c r="C13" s="197" t="s">
        <v>147</v>
      </c>
      <c r="D13" s="204" t="s">
        <v>158</v>
      </c>
      <c r="E13" s="221">
        <v>25</v>
      </c>
      <c r="F13" s="202">
        <v>45392</v>
      </c>
      <c r="G13" s="197" t="s">
        <v>269</v>
      </c>
      <c r="H13" s="199">
        <v>1585</v>
      </c>
      <c r="I13" s="196">
        <f>IF(X13 = 73, H13 + SUM(S13:S13) - SUM(T13:T13) - SUM(P13:P13) - V13,0)</f>
        <v>0</v>
      </c>
      <c r="J13" s="197" t="s">
        <v>241</v>
      </c>
      <c r="K13" s="197" t="s">
        <v>242</v>
      </c>
      <c r="L13" s="197" t="s">
        <v>147</v>
      </c>
      <c r="M13" s="197" t="s">
        <v>243</v>
      </c>
      <c r="N13" s="202">
        <v>45407</v>
      </c>
      <c r="O13" s="203" t="s">
        <v>214</v>
      </c>
      <c r="P13" s="231">
        <v>1585</v>
      </c>
      <c r="Q13" s="198">
        <v>45407</v>
      </c>
      <c r="R13" s="197"/>
      <c r="S13" s="199"/>
      <c r="T13" s="199"/>
      <c r="U13" s="199"/>
      <c r="V13" s="195"/>
      <c r="W13" s="200"/>
      <c r="X13" s="80">
        <v>73</v>
      </c>
    </row>
    <row r="14" spans="1:24" s="80" customFormat="1" ht="90" customHeight="1" x14ac:dyDescent="0.25">
      <c r="A14" s="1070">
        <v>4</v>
      </c>
      <c r="B14" s="1073" t="s">
        <v>56</v>
      </c>
      <c r="C14" s="1073" t="s">
        <v>147</v>
      </c>
      <c r="D14" s="1073" t="s">
        <v>158</v>
      </c>
      <c r="E14" s="1088" t="s">
        <v>249</v>
      </c>
      <c r="F14" s="1091">
        <v>45351</v>
      </c>
      <c r="G14" s="1073" t="s">
        <v>215</v>
      </c>
      <c r="H14" s="1094">
        <v>183649.91</v>
      </c>
      <c r="I14" s="1103">
        <f>IF(X14 = 74, H14 + SUM(S14:S17) - SUM(T14:T17) - SUM(P14:P17) - V14,0)</f>
        <v>0</v>
      </c>
      <c r="J14" s="1073" t="s">
        <v>193</v>
      </c>
      <c r="K14" s="1073" t="s">
        <v>191</v>
      </c>
      <c r="L14" s="1073" t="s">
        <v>147</v>
      </c>
      <c r="M14" s="1073" t="s">
        <v>250</v>
      </c>
      <c r="N14" s="358">
        <v>45382</v>
      </c>
      <c r="O14" s="1091" t="s">
        <v>214</v>
      </c>
      <c r="P14" s="347">
        <v>22594</v>
      </c>
      <c r="Q14" s="348">
        <v>45390</v>
      </c>
      <c r="R14" s="349"/>
      <c r="S14" s="350"/>
      <c r="T14" s="350"/>
      <c r="U14" s="1094" t="s">
        <v>430</v>
      </c>
      <c r="V14" s="1097">
        <v>101025.91</v>
      </c>
      <c r="W14" s="1100"/>
      <c r="X14" s="80">
        <v>74</v>
      </c>
    </row>
    <row r="15" spans="1:24" s="110" customFormat="1" x14ac:dyDescent="0.25">
      <c r="A15" s="1071"/>
      <c r="B15" s="1074"/>
      <c r="C15" s="1074"/>
      <c r="D15" s="1074"/>
      <c r="E15" s="1089"/>
      <c r="F15" s="1092"/>
      <c r="G15" s="1074"/>
      <c r="H15" s="1095"/>
      <c r="I15" s="1104"/>
      <c r="J15" s="1074"/>
      <c r="K15" s="1074"/>
      <c r="L15" s="1074"/>
      <c r="M15" s="1074"/>
      <c r="N15" s="359">
        <v>45412</v>
      </c>
      <c r="O15" s="1092"/>
      <c r="P15" s="351">
        <v>27775</v>
      </c>
      <c r="Q15" s="352">
        <v>45419</v>
      </c>
      <c r="R15" s="353"/>
      <c r="S15" s="354"/>
      <c r="T15" s="354"/>
      <c r="U15" s="1095"/>
      <c r="V15" s="1098"/>
      <c r="W15" s="1101"/>
      <c r="X15" s="110">
        <v>74</v>
      </c>
    </row>
    <row r="16" spans="1:24" s="110" customFormat="1" x14ac:dyDescent="0.25">
      <c r="A16" s="1071"/>
      <c r="B16" s="1074"/>
      <c r="C16" s="1074"/>
      <c r="D16" s="1074"/>
      <c r="E16" s="1089"/>
      <c r="F16" s="1092"/>
      <c r="G16" s="1074"/>
      <c r="H16" s="1095"/>
      <c r="I16" s="1104"/>
      <c r="J16" s="1074"/>
      <c r="K16" s="1074"/>
      <c r="L16" s="1074"/>
      <c r="M16" s="1074"/>
      <c r="N16" s="359">
        <v>45443</v>
      </c>
      <c r="O16" s="1092"/>
      <c r="P16" s="351">
        <v>20150.5</v>
      </c>
      <c r="Q16" s="352">
        <v>45450</v>
      </c>
      <c r="R16" s="353"/>
      <c r="S16" s="354"/>
      <c r="T16" s="354"/>
      <c r="U16" s="1095"/>
      <c r="V16" s="1098"/>
      <c r="W16" s="1101"/>
      <c r="X16" s="110">
        <v>74</v>
      </c>
    </row>
    <row r="17" spans="1:24" s="110" customFormat="1" x14ac:dyDescent="0.25">
      <c r="A17" s="1072"/>
      <c r="B17" s="1075"/>
      <c r="C17" s="1075"/>
      <c r="D17" s="1075"/>
      <c r="E17" s="1090"/>
      <c r="F17" s="1093"/>
      <c r="G17" s="1075"/>
      <c r="H17" s="1096"/>
      <c r="I17" s="1105"/>
      <c r="J17" s="1075"/>
      <c r="K17" s="1075"/>
      <c r="L17" s="1075"/>
      <c r="M17" s="1075"/>
      <c r="N17" s="360">
        <v>45473</v>
      </c>
      <c r="O17" s="1093"/>
      <c r="P17" s="454">
        <v>12104.5</v>
      </c>
      <c r="Q17" s="356">
        <v>45481</v>
      </c>
      <c r="R17" s="357"/>
      <c r="S17" s="355"/>
      <c r="T17" s="355"/>
      <c r="U17" s="1096"/>
      <c r="V17" s="1099"/>
      <c r="W17" s="1102"/>
      <c r="X17" s="110">
        <v>74</v>
      </c>
    </row>
    <row r="18" spans="1:24" s="80" customFormat="1" ht="75" x14ac:dyDescent="0.25">
      <c r="A18" s="206">
        <v>5</v>
      </c>
      <c r="B18" s="205" t="s">
        <v>56</v>
      </c>
      <c r="C18" s="208" t="s">
        <v>147</v>
      </c>
      <c r="D18" s="205" t="s">
        <v>158</v>
      </c>
      <c r="E18" s="222">
        <v>1021</v>
      </c>
      <c r="F18" s="220">
        <v>45400</v>
      </c>
      <c r="G18" s="208" t="s">
        <v>251</v>
      </c>
      <c r="H18" s="207">
        <v>3000</v>
      </c>
      <c r="I18" s="211">
        <f>IF(X18 = 75, H18 + SUM(S18:S18) - SUM(T18:T18) - SUM(P18:P18) - V18,0)</f>
        <v>0</v>
      </c>
      <c r="J18" s="208" t="s">
        <v>252</v>
      </c>
      <c r="K18" s="208" t="s">
        <v>253</v>
      </c>
      <c r="L18" s="208" t="s">
        <v>147</v>
      </c>
      <c r="M18" s="208" t="s">
        <v>256</v>
      </c>
      <c r="N18" s="220">
        <v>45400</v>
      </c>
      <c r="O18" s="220" t="s">
        <v>268</v>
      </c>
      <c r="P18" s="232">
        <v>3000</v>
      </c>
      <c r="Q18" s="210">
        <v>45406</v>
      </c>
      <c r="R18" s="208"/>
      <c r="S18" s="207"/>
      <c r="T18" s="207"/>
      <c r="U18" s="207"/>
      <c r="V18" s="219"/>
      <c r="W18" s="209"/>
      <c r="X18" s="80">
        <v>75</v>
      </c>
    </row>
    <row r="19" spans="1:24" s="80" customFormat="1" ht="75" x14ac:dyDescent="0.25">
      <c r="A19" s="218">
        <v>6</v>
      </c>
      <c r="B19" s="216" t="s">
        <v>56</v>
      </c>
      <c r="C19" s="215" t="s">
        <v>147</v>
      </c>
      <c r="D19" s="216" t="s">
        <v>158</v>
      </c>
      <c r="E19" s="222">
        <v>102</v>
      </c>
      <c r="F19" s="223">
        <v>45399</v>
      </c>
      <c r="G19" s="215" t="s">
        <v>254</v>
      </c>
      <c r="H19" s="213">
        <v>4500</v>
      </c>
      <c r="I19" s="214">
        <f>IF(X19 = 76, H19 + SUM(S19:S19) - SUM(T19:T19) - SUM(P19:P19) - V19,0)</f>
        <v>0</v>
      </c>
      <c r="J19" s="215" t="s">
        <v>255</v>
      </c>
      <c r="K19" s="215" t="s">
        <v>182</v>
      </c>
      <c r="L19" s="215" t="s">
        <v>147</v>
      </c>
      <c r="M19" s="215" t="s">
        <v>257</v>
      </c>
      <c r="N19" s="223">
        <v>45399</v>
      </c>
      <c r="O19" s="220" t="s">
        <v>302</v>
      </c>
      <c r="P19" s="232">
        <v>4500</v>
      </c>
      <c r="Q19" s="212">
        <v>45405</v>
      </c>
      <c r="R19" s="215"/>
      <c r="S19" s="213"/>
      <c r="T19" s="213"/>
      <c r="U19" s="213"/>
      <c r="V19" s="219"/>
      <c r="W19" s="217"/>
      <c r="X19" s="80">
        <v>76</v>
      </c>
    </row>
    <row r="20" spans="1:24" s="80" customFormat="1" ht="75" x14ac:dyDescent="0.25">
      <c r="A20" s="218">
        <v>7</v>
      </c>
      <c r="B20" s="216" t="s">
        <v>56</v>
      </c>
      <c r="C20" s="215" t="s">
        <v>147</v>
      </c>
      <c r="D20" s="216" t="s">
        <v>158</v>
      </c>
      <c r="E20" s="222">
        <v>3086</v>
      </c>
      <c r="F20" s="223">
        <v>45400</v>
      </c>
      <c r="G20" s="215" t="s">
        <v>258</v>
      </c>
      <c r="H20" s="213">
        <v>8000</v>
      </c>
      <c r="I20" s="214">
        <f>IF(X20 = 77, H20 + SUM(S20:S20) - SUM(T20:T20) - SUM(P20:P20) - V20,0)</f>
        <v>0</v>
      </c>
      <c r="J20" s="215" t="s">
        <v>259</v>
      </c>
      <c r="K20" s="215" t="s">
        <v>260</v>
      </c>
      <c r="L20" s="215" t="s">
        <v>147</v>
      </c>
      <c r="M20" s="215" t="s">
        <v>261</v>
      </c>
      <c r="N20" s="223">
        <v>45400</v>
      </c>
      <c r="O20" s="223" t="s">
        <v>302</v>
      </c>
      <c r="P20" s="232">
        <v>8000</v>
      </c>
      <c r="Q20" s="212">
        <v>45401</v>
      </c>
      <c r="R20" s="215"/>
      <c r="S20" s="213"/>
      <c r="T20" s="213"/>
      <c r="U20" s="213"/>
      <c r="V20" s="219"/>
      <c r="W20" s="217"/>
      <c r="X20" s="80">
        <v>77</v>
      </c>
    </row>
    <row r="21" spans="1:24" s="80" customFormat="1" ht="75" x14ac:dyDescent="0.25">
      <c r="A21" s="230">
        <v>8</v>
      </c>
      <c r="B21" s="224" t="s">
        <v>56</v>
      </c>
      <c r="C21" s="225" t="s">
        <v>147</v>
      </c>
      <c r="D21" s="224" t="s">
        <v>158</v>
      </c>
      <c r="E21" s="222">
        <v>52</v>
      </c>
      <c r="F21" s="242">
        <v>45400</v>
      </c>
      <c r="G21" s="225" t="s">
        <v>267</v>
      </c>
      <c r="H21" s="226">
        <v>8900</v>
      </c>
      <c r="I21" s="229">
        <f>IF(X21 = 78, H21 + SUM(S21:S21) - SUM(T21:T21) - SUM(P21:P21) - V21,0)</f>
        <v>0</v>
      </c>
      <c r="J21" s="225" t="s">
        <v>264</v>
      </c>
      <c r="K21" s="225" t="s">
        <v>265</v>
      </c>
      <c r="L21" s="225" t="s">
        <v>147</v>
      </c>
      <c r="M21" s="225" t="s">
        <v>266</v>
      </c>
      <c r="N21" s="242">
        <v>45400</v>
      </c>
      <c r="O21" s="234" t="s">
        <v>302</v>
      </c>
      <c r="P21" s="232">
        <v>8900</v>
      </c>
      <c r="Q21" s="228">
        <v>45405</v>
      </c>
      <c r="R21" s="225"/>
      <c r="S21" s="226"/>
      <c r="T21" s="226"/>
      <c r="U21" s="226"/>
      <c r="V21" s="219"/>
      <c r="W21" s="227"/>
      <c r="X21" s="80">
        <v>78</v>
      </c>
    </row>
    <row r="22" spans="1:24" s="80" customFormat="1" ht="75" x14ac:dyDescent="0.25">
      <c r="A22" s="230">
        <v>9</v>
      </c>
      <c r="B22" s="244" t="s">
        <v>56</v>
      </c>
      <c r="C22" s="225" t="s">
        <v>147</v>
      </c>
      <c r="D22" s="244" t="s">
        <v>158</v>
      </c>
      <c r="E22" s="222" t="s">
        <v>270</v>
      </c>
      <c r="F22" s="242">
        <v>45407</v>
      </c>
      <c r="G22" s="225" t="s">
        <v>271</v>
      </c>
      <c r="H22" s="226">
        <v>3000</v>
      </c>
      <c r="I22" s="229">
        <f>IF(X22 = 79, H22 + SUM(S22:S22) - SUM(T22:T22) - SUM(P22:P22) - V22,0)</f>
        <v>0</v>
      </c>
      <c r="J22" s="225" t="s">
        <v>272</v>
      </c>
      <c r="K22" s="225" t="s">
        <v>273</v>
      </c>
      <c r="L22" s="225" t="s">
        <v>147</v>
      </c>
      <c r="M22" s="225" t="s">
        <v>274</v>
      </c>
      <c r="N22" s="242">
        <v>45407</v>
      </c>
      <c r="O22" s="245" t="s">
        <v>302</v>
      </c>
      <c r="P22" s="232">
        <v>3000</v>
      </c>
      <c r="Q22" s="228">
        <v>45415</v>
      </c>
      <c r="R22" s="225"/>
      <c r="S22" s="226"/>
      <c r="T22" s="226"/>
      <c r="U22" s="226"/>
      <c r="V22" s="219"/>
      <c r="W22" s="227"/>
      <c r="X22" s="80">
        <v>79</v>
      </c>
    </row>
    <row r="23" spans="1:24" s="80" customFormat="1" ht="93.75" x14ac:dyDescent="0.25">
      <c r="A23" s="230">
        <v>10</v>
      </c>
      <c r="B23" s="244" t="s">
        <v>56</v>
      </c>
      <c r="C23" s="225" t="s">
        <v>147</v>
      </c>
      <c r="D23" s="244" t="s">
        <v>158</v>
      </c>
      <c r="E23" s="222" t="s">
        <v>282</v>
      </c>
      <c r="F23" s="242">
        <v>45378</v>
      </c>
      <c r="G23" s="225" t="s">
        <v>332</v>
      </c>
      <c r="H23" s="226">
        <v>4265.5</v>
      </c>
      <c r="I23" s="229">
        <f>IF(X23 = 80, H23 + SUM(S23:S23) - SUM(T23:T23) - SUM(P23:P23) - V23,0)</f>
        <v>0</v>
      </c>
      <c r="J23" s="225" t="s">
        <v>283</v>
      </c>
      <c r="K23" s="225" t="s">
        <v>284</v>
      </c>
      <c r="L23" s="225" t="s">
        <v>147</v>
      </c>
      <c r="M23" s="225" t="s">
        <v>285</v>
      </c>
      <c r="N23" s="242">
        <v>45405</v>
      </c>
      <c r="O23" s="245" t="s">
        <v>303</v>
      </c>
      <c r="P23" s="232">
        <v>4265.5</v>
      </c>
      <c r="Q23" s="228">
        <v>45435</v>
      </c>
      <c r="R23" s="225"/>
      <c r="S23" s="226"/>
      <c r="T23" s="226"/>
      <c r="U23" s="226"/>
      <c r="V23" s="219"/>
      <c r="W23" s="227"/>
      <c r="X23" s="80">
        <v>80</v>
      </c>
    </row>
    <row r="24" spans="1:24" s="80" customFormat="1" ht="75" x14ac:dyDescent="0.25">
      <c r="A24" s="240">
        <v>11</v>
      </c>
      <c r="B24" s="244" t="s">
        <v>56</v>
      </c>
      <c r="C24" s="239" t="s">
        <v>147</v>
      </c>
      <c r="D24" s="244" t="s">
        <v>158</v>
      </c>
      <c r="E24" s="222" t="s">
        <v>286</v>
      </c>
      <c r="F24" s="243">
        <v>45371</v>
      </c>
      <c r="G24" s="239" t="s">
        <v>287</v>
      </c>
      <c r="H24" s="237">
        <v>7000</v>
      </c>
      <c r="I24" s="238">
        <f>IF(X24 = 81, H24 + SUM(S24:S24) - SUM(T24:T24) - SUM(P24:P24) - V24,0)</f>
        <v>0</v>
      </c>
      <c r="J24" s="239" t="s">
        <v>288</v>
      </c>
      <c r="K24" s="239" t="s">
        <v>289</v>
      </c>
      <c r="L24" s="239" t="s">
        <v>147</v>
      </c>
      <c r="M24" s="239" t="s">
        <v>290</v>
      </c>
      <c r="N24" s="243">
        <v>45436</v>
      </c>
      <c r="O24" s="245" t="s">
        <v>302</v>
      </c>
      <c r="P24" s="232">
        <v>7000</v>
      </c>
      <c r="Q24" s="236">
        <v>45446</v>
      </c>
      <c r="R24" s="239"/>
      <c r="S24" s="237"/>
      <c r="T24" s="237"/>
      <c r="U24" s="237"/>
      <c r="V24" s="219"/>
      <c r="W24" s="241"/>
      <c r="X24" s="80">
        <v>81</v>
      </c>
    </row>
    <row r="25" spans="1:24" s="80" customFormat="1" ht="75" x14ac:dyDescent="0.25">
      <c r="A25" s="304">
        <v>12</v>
      </c>
      <c r="B25" s="244" t="s">
        <v>56</v>
      </c>
      <c r="C25" s="306" t="s">
        <v>147</v>
      </c>
      <c r="D25" s="244" t="s">
        <v>158</v>
      </c>
      <c r="E25" s="310" t="s">
        <v>196</v>
      </c>
      <c r="F25" s="312">
        <v>45433</v>
      </c>
      <c r="G25" s="306" t="s">
        <v>299</v>
      </c>
      <c r="H25" s="305">
        <v>800</v>
      </c>
      <c r="I25" s="309">
        <f>IF(X25 = 82, H25 + SUM(S25:S25) - SUM(T25:T25) - SUM(P25:P25) - V25,0)</f>
        <v>0</v>
      </c>
      <c r="J25" s="306" t="s">
        <v>300</v>
      </c>
      <c r="K25" s="306" t="s">
        <v>301</v>
      </c>
      <c r="L25" s="306" t="s">
        <v>147</v>
      </c>
      <c r="M25" s="306" t="s">
        <v>290</v>
      </c>
      <c r="N25" s="312">
        <v>45436</v>
      </c>
      <c r="O25" s="245" t="s">
        <v>302</v>
      </c>
      <c r="P25" s="341">
        <v>800</v>
      </c>
      <c r="Q25" s="308">
        <v>45450</v>
      </c>
      <c r="R25" s="306"/>
      <c r="S25" s="305"/>
      <c r="T25" s="305"/>
      <c r="U25" s="305"/>
      <c r="V25" s="311"/>
      <c r="W25" s="307"/>
      <c r="X25" s="80">
        <v>82</v>
      </c>
    </row>
    <row r="26" spans="1:24" s="80" customFormat="1" ht="72" customHeight="1" x14ac:dyDescent="0.25">
      <c r="A26" s="1043">
        <v>13</v>
      </c>
      <c r="B26" s="1049" t="s">
        <v>56</v>
      </c>
      <c r="C26" s="1049" t="s">
        <v>147</v>
      </c>
      <c r="D26" s="1049" t="s">
        <v>158</v>
      </c>
      <c r="E26" s="1051">
        <v>34550724</v>
      </c>
      <c r="F26" s="1045">
        <v>45474</v>
      </c>
      <c r="G26" s="1049" t="s">
        <v>215</v>
      </c>
      <c r="H26" s="1047">
        <v>71210.16</v>
      </c>
      <c r="I26" s="1053">
        <f>IF(X26 = 83, H26 + SUM(S26:S27) - SUM(T26:T27) - SUM(P26:P27) - V26,0)</f>
        <v>0</v>
      </c>
      <c r="J26" s="1049" t="s">
        <v>193</v>
      </c>
      <c r="K26" s="1049" t="s">
        <v>308</v>
      </c>
      <c r="L26" s="1049" t="s">
        <v>147</v>
      </c>
      <c r="M26" s="1049" t="s">
        <v>309</v>
      </c>
      <c r="N26" s="555">
        <v>45504</v>
      </c>
      <c r="O26" s="1045" t="s">
        <v>302</v>
      </c>
      <c r="P26" s="548">
        <v>3198</v>
      </c>
      <c r="Q26" s="549">
        <v>45510</v>
      </c>
      <c r="R26" s="550"/>
      <c r="S26" s="551"/>
      <c r="T26" s="551"/>
      <c r="U26" s="1047" t="s">
        <v>419</v>
      </c>
      <c r="V26" s="1124">
        <v>33391.660000000003</v>
      </c>
      <c r="W26" s="1122"/>
      <c r="X26" s="80">
        <v>83</v>
      </c>
    </row>
    <row r="27" spans="1:24" s="110" customFormat="1" x14ac:dyDescent="0.25">
      <c r="A27" s="1044"/>
      <c r="B27" s="1050"/>
      <c r="C27" s="1050"/>
      <c r="D27" s="1050"/>
      <c r="E27" s="1052"/>
      <c r="F27" s="1046"/>
      <c r="G27" s="1050"/>
      <c r="H27" s="1048"/>
      <c r="I27" s="1054"/>
      <c r="J27" s="1050"/>
      <c r="K27" s="1050"/>
      <c r="L27" s="1050"/>
      <c r="M27" s="1050"/>
      <c r="N27" s="556">
        <v>45565</v>
      </c>
      <c r="O27" s="1046"/>
      <c r="P27" s="608">
        <v>34620.5</v>
      </c>
      <c r="Q27" s="553">
        <v>45572</v>
      </c>
      <c r="R27" s="554"/>
      <c r="S27" s="552"/>
      <c r="T27" s="552"/>
      <c r="U27" s="1048"/>
      <c r="V27" s="1125"/>
      <c r="W27" s="1123"/>
      <c r="X27" s="110">
        <v>83</v>
      </c>
    </row>
    <row r="28" spans="1:24" s="80" customFormat="1" ht="75" x14ac:dyDescent="0.25">
      <c r="A28" s="367">
        <v>14</v>
      </c>
      <c r="B28" s="244" t="s">
        <v>56</v>
      </c>
      <c r="C28" s="361" t="s">
        <v>147</v>
      </c>
      <c r="D28" s="244" t="s">
        <v>158</v>
      </c>
      <c r="E28" s="362" t="s">
        <v>326</v>
      </c>
      <c r="F28" s="376">
        <v>45478</v>
      </c>
      <c r="G28" s="361" t="s">
        <v>327</v>
      </c>
      <c r="H28" s="363">
        <v>18311</v>
      </c>
      <c r="I28" s="366">
        <f>IF(X28 = 84, H28 + SUM(S28:S28) - SUM(T28:T28) - SUM(P28:P28) - V28,0)</f>
        <v>0</v>
      </c>
      <c r="J28" s="361" t="s">
        <v>328</v>
      </c>
      <c r="K28" s="361" t="s">
        <v>333</v>
      </c>
      <c r="L28" s="361" t="s">
        <v>147</v>
      </c>
      <c r="M28" s="361" t="s">
        <v>334</v>
      </c>
      <c r="N28" s="376">
        <v>45482</v>
      </c>
      <c r="O28" s="245" t="s">
        <v>302</v>
      </c>
      <c r="P28" s="454">
        <v>18311</v>
      </c>
      <c r="Q28" s="375">
        <v>45484</v>
      </c>
      <c r="R28" s="361"/>
      <c r="S28" s="363"/>
      <c r="T28" s="363"/>
      <c r="U28" s="363"/>
      <c r="V28" s="364"/>
      <c r="W28" s="365"/>
      <c r="X28" s="80">
        <v>84</v>
      </c>
    </row>
    <row r="29" spans="1:24" s="80" customFormat="1" ht="93.75" x14ac:dyDescent="0.25">
      <c r="A29" s="368">
        <v>15</v>
      </c>
      <c r="B29" s="244" t="s">
        <v>56</v>
      </c>
      <c r="C29" s="369" t="s">
        <v>147</v>
      </c>
      <c r="D29" s="244" t="s">
        <v>158</v>
      </c>
      <c r="E29" s="374">
        <v>4.416666666666667</v>
      </c>
      <c r="F29" s="377">
        <v>45450</v>
      </c>
      <c r="G29" s="369" t="s">
        <v>329</v>
      </c>
      <c r="H29" s="370">
        <v>78016</v>
      </c>
      <c r="I29" s="373">
        <f>IF(X29 = 85, H29 + SUM(S29:S29) - SUM(T29:T29) - SUM(P29:P29) - V29,0)</f>
        <v>0</v>
      </c>
      <c r="J29" s="369" t="s">
        <v>330</v>
      </c>
      <c r="K29" s="369" t="s">
        <v>331</v>
      </c>
      <c r="L29" s="369" t="s">
        <v>147</v>
      </c>
      <c r="M29" s="369" t="s">
        <v>358</v>
      </c>
      <c r="N29" s="377">
        <v>45496</v>
      </c>
      <c r="O29" s="245" t="s">
        <v>361</v>
      </c>
      <c r="P29" s="454">
        <v>78016</v>
      </c>
      <c r="Q29" s="375">
        <v>45499</v>
      </c>
      <c r="R29" s="369"/>
      <c r="S29" s="370"/>
      <c r="T29" s="370"/>
      <c r="U29" s="370"/>
      <c r="V29" s="371"/>
      <c r="W29" s="372"/>
      <c r="X29" s="80">
        <v>85</v>
      </c>
    </row>
    <row r="30" spans="1:24" s="80" customFormat="1" ht="225" x14ac:dyDescent="0.25">
      <c r="A30" s="388">
        <v>16</v>
      </c>
      <c r="B30" s="244" t="s">
        <v>56</v>
      </c>
      <c r="C30" s="379" t="s">
        <v>147</v>
      </c>
      <c r="D30" s="244" t="s">
        <v>158</v>
      </c>
      <c r="E30" s="389" t="s">
        <v>359</v>
      </c>
      <c r="F30" s="391" t="s">
        <v>335</v>
      </c>
      <c r="G30" s="379" t="s">
        <v>336</v>
      </c>
      <c r="H30" s="381">
        <v>33000</v>
      </c>
      <c r="I30" s="382">
        <f>IF(X30 = 86, H30 + SUM(S30:S30) - SUM(T30:T30) - SUM(P30:P30) - V30,0)</f>
        <v>0</v>
      </c>
      <c r="J30" s="379" t="s">
        <v>337</v>
      </c>
      <c r="K30" s="379" t="s">
        <v>338</v>
      </c>
      <c r="L30" s="379" t="s">
        <v>147</v>
      </c>
      <c r="M30" s="379" t="s">
        <v>339</v>
      </c>
      <c r="N30" s="391">
        <v>45479</v>
      </c>
      <c r="O30" s="391" t="s">
        <v>302</v>
      </c>
      <c r="P30" s="455">
        <v>33000</v>
      </c>
      <c r="Q30" s="380">
        <v>45484</v>
      </c>
      <c r="R30" s="379"/>
      <c r="S30" s="381"/>
      <c r="T30" s="381"/>
      <c r="U30" s="381"/>
      <c r="V30" s="390"/>
      <c r="W30" s="378"/>
      <c r="X30" s="80">
        <v>86</v>
      </c>
    </row>
    <row r="31" spans="1:24" s="80" customFormat="1" ht="75" x14ac:dyDescent="0.25">
      <c r="A31" s="388">
        <v>17</v>
      </c>
      <c r="B31" s="383" t="s">
        <v>56</v>
      </c>
      <c r="C31" s="383" t="s">
        <v>147</v>
      </c>
      <c r="D31" s="383" t="s">
        <v>158</v>
      </c>
      <c r="E31" s="389">
        <v>13</v>
      </c>
      <c r="F31" s="398">
        <v>45483</v>
      </c>
      <c r="G31" s="383" t="s">
        <v>340</v>
      </c>
      <c r="H31" s="386">
        <v>30000</v>
      </c>
      <c r="I31" s="387">
        <f>IF(X31 = 87, H31 + SUM(S31:S31) - SUM(T31:T31) - SUM(P31:P31) - V31,0)</f>
        <v>0</v>
      </c>
      <c r="J31" s="383" t="s">
        <v>341</v>
      </c>
      <c r="K31" s="383" t="s">
        <v>342</v>
      </c>
      <c r="L31" s="383" t="s">
        <v>147</v>
      </c>
      <c r="M31" s="383" t="s">
        <v>343</v>
      </c>
      <c r="N31" s="398">
        <v>45483</v>
      </c>
      <c r="O31" s="398" t="s">
        <v>302</v>
      </c>
      <c r="P31" s="455">
        <v>30000</v>
      </c>
      <c r="Q31" s="385">
        <v>45484</v>
      </c>
      <c r="R31" s="383"/>
      <c r="S31" s="386"/>
      <c r="T31" s="386"/>
      <c r="U31" s="386"/>
      <c r="V31" s="390"/>
      <c r="W31" s="384"/>
      <c r="X31" s="80">
        <v>87</v>
      </c>
    </row>
    <row r="32" spans="1:24" s="80" customFormat="1" ht="75" x14ac:dyDescent="0.25">
      <c r="A32" s="388">
        <v>18</v>
      </c>
      <c r="B32" s="407" t="s">
        <v>56</v>
      </c>
      <c r="C32" s="407" t="s">
        <v>147</v>
      </c>
      <c r="D32" s="394" t="s">
        <v>158</v>
      </c>
      <c r="E32" s="389">
        <v>14</v>
      </c>
      <c r="F32" s="399">
        <v>45484</v>
      </c>
      <c r="G32" s="394" t="s">
        <v>347</v>
      </c>
      <c r="H32" s="396">
        <v>28846.5</v>
      </c>
      <c r="I32" s="397">
        <f>IF(X32 = 89, H32 + SUM(S32:S32) - SUM(T32:T32) - SUM(P32:P32) - V32,0)</f>
        <v>0</v>
      </c>
      <c r="J32" s="394" t="s">
        <v>341</v>
      </c>
      <c r="K32" s="394" t="s">
        <v>342</v>
      </c>
      <c r="L32" s="394" t="s">
        <v>147</v>
      </c>
      <c r="M32" s="394" t="s">
        <v>343</v>
      </c>
      <c r="N32" s="399">
        <v>45484</v>
      </c>
      <c r="O32" s="398" t="s">
        <v>302</v>
      </c>
      <c r="P32" s="455">
        <v>28846.5</v>
      </c>
      <c r="Q32" s="395">
        <v>45484</v>
      </c>
      <c r="R32" s="394"/>
      <c r="S32" s="396"/>
      <c r="T32" s="396"/>
      <c r="U32" s="396"/>
      <c r="V32" s="390"/>
      <c r="W32" s="393"/>
      <c r="X32" s="80">
        <v>89</v>
      </c>
    </row>
    <row r="33" spans="1:24" s="80" customFormat="1" ht="131.25" x14ac:dyDescent="0.25">
      <c r="A33" s="413">
        <v>19</v>
      </c>
      <c r="B33" s="407" t="s">
        <v>56</v>
      </c>
      <c r="C33" s="407" t="s">
        <v>147</v>
      </c>
      <c r="D33" s="407" t="s">
        <v>158</v>
      </c>
      <c r="E33" s="419" t="s">
        <v>351</v>
      </c>
      <c r="F33" s="421">
        <v>45464</v>
      </c>
      <c r="G33" s="411" t="s">
        <v>352</v>
      </c>
      <c r="H33" s="409">
        <v>6600</v>
      </c>
      <c r="I33" s="414">
        <f>IF(X33 = 91, H33 + SUM(S33:S33) - SUM(T33:T33) - SUM(P33:P33) - V33,0)</f>
        <v>0</v>
      </c>
      <c r="J33" s="411" t="s">
        <v>353</v>
      </c>
      <c r="K33" s="411" t="s">
        <v>357</v>
      </c>
      <c r="L33" s="411" t="s">
        <v>147</v>
      </c>
      <c r="M33" s="411" t="s">
        <v>355</v>
      </c>
      <c r="N33" s="421">
        <v>45485</v>
      </c>
      <c r="O33" s="412" t="s">
        <v>354</v>
      </c>
      <c r="P33" s="456">
        <v>6600</v>
      </c>
      <c r="Q33" s="410">
        <v>45492</v>
      </c>
      <c r="R33" s="411"/>
      <c r="S33" s="409"/>
      <c r="T33" s="409"/>
      <c r="U33" s="409"/>
      <c r="V33" s="420"/>
      <c r="W33" s="418"/>
      <c r="X33" s="80">
        <v>91</v>
      </c>
    </row>
    <row r="34" spans="1:24" s="80" customFormat="1" ht="93.75" x14ac:dyDescent="0.25">
      <c r="A34" s="413">
        <v>20</v>
      </c>
      <c r="B34" s="407" t="s">
        <v>56</v>
      </c>
      <c r="C34" s="407" t="s">
        <v>147</v>
      </c>
      <c r="D34" s="407" t="s">
        <v>158</v>
      </c>
      <c r="E34" s="419">
        <v>10</v>
      </c>
      <c r="F34" s="421">
        <v>45484</v>
      </c>
      <c r="G34" s="411" t="s">
        <v>344</v>
      </c>
      <c r="H34" s="409">
        <v>31000</v>
      </c>
      <c r="I34" s="414">
        <f>IF(X34 = 92, H34 + SUM(S34:S34) - SUM(T34:T34) - SUM(P34:P34) - V34,0)</f>
        <v>0</v>
      </c>
      <c r="J34" s="411" t="s">
        <v>345</v>
      </c>
      <c r="K34" s="411" t="s">
        <v>346</v>
      </c>
      <c r="L34" s="411" t="s">
        <v>147</v>
      </c>
      <c r="M34" s="411" t="s">
        <v>343</v>
      </c>
      <c r="N34" s="421">
        <v>45484</v>
      </c>
      <c r="O34" s="421" t="s">
        <v>356</v>
      </c>
      <c r="P34" s="456">
        <v>31000</v>
      </c>
      <c r="Q34" s="410">
        <v>45484</v>
      </c>
      <c r="R34" s="411"/>
      <c r="S34" s="409"/>
      <c r="T34" s="409"/>
      <c r="U34" s="409"/>
      <c r="V34" s="420"/>
      <c r="W34" s="418"/>
      <c r="X34" s="80">
        <v>92</v>
      </c>
    </row>
    <row r="35" spans="1:24" s="80" customFormat="1" ht="93.75" x14ac:dyDescent="0.25">
      <c r="A35" s="413">
        <v>21</v>
      </c>
      <c r="B35" s="422" t="s">
        <v>56</v>
      </c>
      <c r="C35" s="411" t="s">
        <v>147</v>
      </c>
      <c r="D35" s="422" t="s">
        <v>158</v>
      </c>
      <c r="E35" s="419" t="s">
        <v>360</v>
      </c>
      <c r="F35" s="425">
        <v>45450</v>
      </c>
      <c r="G35" s="411" t="s">
        <v>329</v>
      </c>
      <c r="H35" s="409">
        <v>7342</v>
      </c>
      <c r="I35" s="414">
        <f>IF(X35 = 93, H35 + SUM(S35:S35) - SUM(T35:T35) - SUM(P35:P35) - V35,0)</f>
        <v>0</v>
      </c>
      <c r="J35" s="411" t="s">
        <v>330</v>
      </c>
      <c r="K35" s="411" t="s">
        <v>331</v>
      </c>
      <c r="L35" s="411" t="s">
        <v>147</v>
      </c>
      <c r="M35" s="411" t="s">
        <v>358</v>
      </c>
      <c r="N35" s="425">
        <v>45496</v>
      </c>
      <c r="O35" s="425" t="s">
        <v>361</v>
      </c>
      <c r="P35" s="456">
        <v>7342</v>
      </c>
      <c r="Q35" s="410">
        <v>45502</v>
      </c>
      <c r="R35" s="411"/>
      <c r="S35" s="409"/>
      <c r="T35" s="409"/>
      <c r="U35" s="409"/>
      <c r="V35" s="420"/>
      <c r="W35" s="418"/>
      <c r="X35" s="80">
        <v>93</v>
      </c>
    </row>
    <row r="36" spans="1:24" s="80" customFormat="1" ht="93.75" x14ac:dyDescent="0.25">
      <c r="A36" s="428">
        <v>22</v>
      </c>
      <c r="B36" s="427" t="s">
        <v>56</v>
      </c>
      <c r="C36" s="429" t="s">
        <v>147</v>
      </c>
      <c r="D36" s="427" t="s">
        <v>158</v>
      </c>
      <c r="E36" s="441" t="s">
        <v>366</v>
      </c>
      <c r="F36" s="443">
        <v>45489</v>
      </c>
      <c r="G36" s="429" t="s">
        <v>367</v>
      </c>
      <c r="H36" s="431">
        <v>4950</v>
      </c>
      <c r="I36" s="432">
        <f>IF(X36 = 94, H36 + SUM(S36:S36) - SUM(T36:T36) - SUM(P36:P36) - V36,0)</f>
        <v>0</v>
      </c>
      <c r="J36" s="429" t="s">
        <v>368</v>
      </c>
      <c r="K36" s="429" t="s">
        <v>369</v>
      </c>
      <c r="L36" s="429" t="s">
        <v>147</v>
      </c>
      <c r="M36" s="429" t="s">
        <v>370</v>
      </c>
      <c r="N36" s="443">
        <v>45489</v>
      </c>
      <c r="O36" s="443" t="s">
        <v>354</v>
      </c>
      <c r="P36" s="457">
        <v>4950</v>
      </c>
      <c r="Q36" s="430">
        <v>45499</v>
      </c>
      <c r="R36" s="429"/>
      <c r="S36" s="431"/>
      <c r="T36" s="431"/>
      <c r="U36" s="431"/>
      <c r="V36" s="442"/>
      <c r="W36" s="433"/>
      <c r="X36" s="80">
        <v>94</v>
      </c>
    </row>
    <row r="37" spans="1:24" s="80" customFormat="1" ht="93.75" x14ac:dyDescent="0.25">
      <c r="A37" s="434">
        <v>23</v>
      </c>
      <c r="B37" s="440" t="s">
        <v>56</v>
      </c>
      <c r="C37" s="436" t="s">
        <v>147</v>
      </c>
      <c r="D37" s="440" t="s">
        <v>158</v>
      </c>
      <c r="E37" s="441">
        <v>1144</v>
      </c>
      <c r="F37" s="451">
        <v>45489</v>
      </c>
      <c r="G37" s="436" t="s">
        <v>371</v>
      </c>
      <c r="H37" s="435">
        <v>1000</v>
      </c>
      <c r="I37" s="439">
        <f>IF(X37 = 95, H37 + SUM(S37:S37) - SUM(T37:T37) - SUM(P37:P37) - V37,0)</f>
        <v>0</v>
      </c>
      <c r="J37" s="436" t="s">
        <v>372</v>
      </c>
      <c r="K37" s="436" t="s">
        <v>373</v>
      </c>
      <c r="L37" s="436" t="s">
        <v>147</v>
      </c>
      <c r="M37" s="436" t="s">
        <v>374</v>
      </c>
      <c r="N37" s="451">
        <v>45489</v>
      </c>
      <c r="O37" s="443" t="s">
        <v>354</v>
      </c>
      <c r="P37" s="457">
        <v>1000</v>
      </c>
      <c r="Q37" s="438">
        <v>45499</v>
      </c>
      <c r="R37" s="436"/>
      <c r="S37" s="435"/>
      <c r="T37" s="435"/>
      <c r="U37" s="435"/>
      <c r="V37" s="442"/>
      <c r="W37" s="437"/>
      <c r="X37" s="80">
        <v>95</v>
      </c>
    </row>
    <row r="38" spans="1:24" s="80" customFormat="1" ht="93.75" x14ac:dyDescent="0.25">
      <c r="A38" s="445">
        <v>24</v>
      </c>
      <c r="B38" s="444" t="s">
        <v>56</v>
      </c>
      <c r="C38" s="447" t="s">
        <v>147</v>
      </c>
      <c r="D38" s="444" t="s">
        <v>158</v>
      </c>
      <c r="E38" s="441">
        <v>531</v>
      </c>
      <c r="F38" s="452">
        <v>45492</v>
      </c>
      <c r="G38" s="447" t="s">
        <v>375</v>
      </c>
      <c r="H38" s="446">
        <v>15299.3</v>
      </c>
      <c r="I38" s="450">
        <f>IF(X38 = 96, H38 + SUM(S38:S38) - SUM(T38:T38) - SUM(P38:P38) - V38,0)</f>
        <v>0</v>
      </c>
      <c r="J38" s="447" t="s">
        <v>376</v>
      </c>
      <c r="K38" s="447" t="s">
        <v>377</v>
      </c>
      <c r="L38" s="447" t="s">
        <v>147</v>
      </c>
      <c r="M38" s="447" t="s">
        <v>378</v>
      </c>
      <c r="N38" s="452">
        <v>45492</v>
      </c>
      <c r="O38" s="452" t="s">
        <v>361</v>
      </c>
      <c r="P38" s="457">
        <v>15299.3</v>
      </c>
      <c r="Q38" s="449">
        <v>45499</v>
      </c>
      <c r="R38" s="447"/>
      <c r="S38" s="446"/>
      <c r="T38" s="446"/>
      <c r="U38" s="446"/>
      <c r="V38" s="442"/>
      <c r="W38" s="448"/>
      <c r="X38" s="80">
        <v>96</v>
      </c>
    </row>
    <row r="39" spans="1:24" s="80" customFormat="1" ht="90" customHeight="1" x14ac:dyDescent="0.25">
      <c r="A39" s="1005">
        <v>25</v>
      </c>
      <c r="B39" s="1011" t="s">
        <v>56</v>
      </c>
      <c r="C39" s="1011" t="s">
        <v>147</v>
      </c>
      <c r="D39" s="1011" t="s">
        <v>158</v>
      </c>
      <c r="E39" s="1118">
        <v>210009817619</v>
      </c>
      <c r="F39" s="1007">
        <v>45481</v>
      </c>
      <c r="G39" s="1011" t="s">
        <v>385</v>
      </c>
      <c r="H39" s="1009">
        <v>3294</v>
      </c>
      <c r="I39" s="1120">
        <f>IF(X39 = 97, H39 + SUM(S39:S43) - SUM(T39:T43) - SUM(P39:P43) - V39,0)</f>
        <v>2964</v>
      </c>
      <c r="J39" s="1011" t="s">
        <v>386</v>
      </c>
      <c r="K39" s="1011" t="s">
        <v>387</v>
      </c>
      <c r="L39" s="1011" t="s">
        <v>147</v>
      </c>
      <c r="M39" s="1011" t="s">
        <v>388</v>
      </c>
      <c r="N39" s="847">
        <v>45504</v>
      </c>
      <c r="O39" s="1007" t="s">
        <v>361</v>
      </c>
      <c r="P39" s="832">
        <v>66</v>
      </c>
      <c r="Q39" s="833">
        <v>45524</v>
      </c>
      <c r="R39" s="834"/>
      <c r="S39" s="835"/>
      <c r="T39" s="835"/>
      <c r="U39" s="1009"/>
      <c r="V39" s="1017"/>
      <c r="W39" s="1116"/>
      <c r="X39" s="80">
        <v>97</v>
      </c>
    </row>
    <row r="40" spans="1:24" s="110" customFormat="1" x14ac:dyDescent="0.25">
      <c r="A40" s="1006"/>
      <c r="B40" s="1012"/>
      <c r="C40" s="1012"/>
      <c r="D40" s="1012"/>
      <c r="E40" s="1119"/>
      <c r="F40" s="1008"/>
      <c r="G40" s="1012"/>
      <c r="H40" s="1010"/>
      <c r="I40" s="1121"/>
      <c r="J40" s="1012"/>
      <c r="K40" s="1012"/>
      <c r="L40" s="1012"/>
      <c r="M40" s="1012"/>
      <c r="N40" s="848">
        <v>45535</v>
      </c>
      <c r="O40" s="1008"/>
      <c r="P40" s="836">
        <v>66</v>
      </c>
      <c r="Q40" s="837">
        <v>45551</v>
      </c>
      <c r="R40" s="838"/>
      <c r="S40" s="839"/>
      <c r="T40" s="839"/>
      <c r="U40" s="1010"/>
      <c r="V40" s="1018"/>
      <c r="W40" s="1117"/>
      <c r="X40" s="110">
        <v>97</v>
      </c>
    </row>
    <row r="41" spans="1:24" s="110" customFormat="1" x14ac:dyDescent="0.25">
      <c r="A41" s="1006"/>
      <c r="B41" s="1012"/>
      <c r="C41" s="1012"/>
      <c r="D41" s="1012"/>
      <c r="E41" s="1119"/>
      <c r="F41" s="1008"/>
      <c r="G41" s="1012"/>
      <c r="H41" s="1010"/>
      <c r="I41" s="1121"/>
      <c r="J41" s="1012"/>
      <c r="K41" s="1012"/>
      <c r="L41" s="1012"/>
      <c r="M41" s="1012"/>
      <c r="N41" s="848">
        <v>45565</v>
      </c>
      <c r="O41" s="1008"/>
      <c r="P41" s="836">
        <v>66</v>
      </c>
      <c r="Q41" s="837">
        <v>45579</v>
      </c>
      <c r="R41" s="838"/>
      <c r="S41" s="839"/>
      <c r="T41" s="839"/>
      <c r="U41" s="1010"/>
      <c r="V41" s="1018"/>
      <c r="W41" s="1117"/>
      <c r="X41" s="110">
        <v>97</v>
      </c>
    </row>
    <row r="42" spans="1:24" s="110" customFormat="1" x14ac:dyDescent="0.25">
      <c r="A42" s="1006"/>
      <c r="B42" s="1012"/>
      <c r="C42" s="1012"/>
      <c r="D42" s="1012"/>
      <c r="E42" s="1119"/>
      <c r="F42" s="1008"/>
      <c r="G42" s="1012"/>
      <c r="H42" s="1010"/>
      <c r="I42" s="1121"/>
      <c r="J42" s="1012"/>
      <c r="K42" s="1012"/>
      <c r="L42" s="1012"/>
      <c r="M42" s="1012"/>
      <c r="N42" s="848">
        <v>45596</v>
      </c>
      <c r="O42" s="1008"/>
      <c r="P42" s="836">
        <v>66</v>
      </c>
      <c r="Q42" s="837">
        <v>45611</v>
      </c>
      <c r="R42" s="838"/>
      <c r="S42" s="839"/>
      <c r="T42" s="839"/>
      <c r="U42" s="1010"/>
      <c r="V42" s="1018"/>
      <c r="W42" s="1117"/>
      <c r="X42" s="110">
        <v>97</v>
      </c>
    </row>
    <row r="43" spans="1:24" s="110" customFormat="1" x14ac:dyDescent="0.25">
      <c r="A43" s="1006"/>
      <c r="B43" s="1012"/>
      <c r="C43" s="1012"/>
      <c r="D43" s="1012"/>
      <c r="E43" s="1119"/>
      <c r="F43" s="1008"/>
      <c r="G43" s="1012"/>
      <c r="H43" s="1010"/>
      <c r="I43" s="1121"/>
      <c r="J43" s="1012"/>
      <c r="K43" s="1012"/>
      <c r="L43" s="1012"/>
      <c r="M43" s="1012"/>
      <c r="N43" s="848">
        <v>45626</v>
      </c>
      <c r="O43" s="1008"/>
      <c r="P43" s="836">
        <v>66</v>
      </c>
      <c r="Q43" s="837">
        <v>45645</v>
      </c>
      <c r="R43" s="838"/>
      <c r="S43" s="839"/>
      <c r="T43" s="839"/>
      <c r="U43" s="1010"/>
      <c r="V43" s="1018"/>
      <c r="W43" s="1117"/>
      <c r="X43" s="110">
        <v>97</v>
      </c>
    </row>
    <row r="44" spans="1:24" s="80" customFormat="1" ht="93.75" x14ac:dyDescent="0.25">
      <c r="A44" s="484">
        <v>26</v>
      </c>
      <c r="B44" s="458" t="s">
        <v>56</v>
      </c>
      <c r="C44" s="487" t="s">
        <v>147</v>
      </c>
      <c r="D44" s="458" t="s">
        <v>158</v>
      </c>
      <c r="E44" s="485">
        <v>3</v>
      </c>
      <c r="F44" s="492">
        <v>45504</v>
      </c>
      <c r="G44" s="487" t="s">
        <v>389</v>
      </c>
      <c r="H44" s="490">
        <v>11809</v>
      </c>
      <c r="I44" s="491">
        <f>IF(X44 = 98, H44 + SUM(S44:S44) - SUM(T44:T44) - SUM(P44:P44) - V44,0)</f>
        <v>0</v>
      </c>
      <c r="J44" s="487" t="s">
        <v>341</v>
      </c>
      <c r="K44" s="487" t="s">
        <v>342</v>
      </c>
      <c r="L44" s="487" t="s">
        <v>147</v>
      </c>
      <c r="M44" s="487" t="s">
        <v>343</v>
      </c>
      <c r="N44" s="492">
        <v>45504</v>
      </c>
      <c r="O44" s="492" t="s">
        <v>356</v>
      </c>
      <c r="P44" s="502">
        <v>11809</v>
      </c>
      <c r="Q44" s="489">
        <v>45510</v>
      </c>
      <c r="R44" s="487"/>
      <c r="S44" s="490"/>
      <c r="T44" s="490"/>
      <c r="U44" s="490"/>
      <c r="V44" s="486"/>
      <c r="W44" s="488"/>
      <c r="X44" s="80">
        <v>98</v>
      </c>
    </row>
    <row r="45" spans="1:24" s="80" customFormat="1" ht="93.75" x14ac:dyDescent="0.25">
      <c r="A45" s="495">
        <v>27</v>
      </c>
      <c r="B45" s="458" t="s">
        <v>56</v>
      </c>
      <c r="C45" s="496" t="s">
        <v>147</v>
      </c>
      <c r="D45" s="458" t="s">
        <v>158</v>
      </c>
      <c r="E45" s="496" t="s">
        <v>393</v>
      </c>
      <c r="F45" s="505">
        <v>45516</v>
      </c>
      <c r="G45" s="496" t="s">
        <v>390</v>
      </c>
      <c r="H45" s="498">
        <v>15848</v>
      </c>
      <c r="I45" s="499">
        <f>IF(X45 = 99, H45 + SUM(S45:S45) - SUM(T45:T45) - SUM(P45:P45) - V45,0)</f>
        <v>0</v>
      </c>
      <c r="J45" s="496" t="s">
        <v>345</v>
      </c>
      <c r="K45" s="496" t="s">
        <v>346</v>
      </c>
      <c r="L45" s="496" t="s">
        <v>147</v>
      </c>
      <c r="M45" s="493" t="s">
        <v>343</v>
      </c>
      <c r="N45" s="505">
        <v>45523</v>
      </c>
      <c r="O45" s="494" t="s">
        <v>356</v>
      </c>
      <c r="P45" s="500">
        <v>15848</v>
      </c>
      <c r="Q45" s="497">
        <v>45525</v>
      </c>
      <c r="R45" s="496"/>
      <c r="S45" s="498"/>
      <c r="T45" s="498"/>
      <c r="U45" s="498"/>
      <c r="V45" s="504"/>
      <c r="W45" s="501"/>
      <c r="X45" s="80">
        <v>99</v>
      </c>
    </row>
    <row r="46" spans="1:24" s="80" customFormat="1" ht="93.75" x14ac:dyDescent="0.25">
      <c r="A46" s="511">
        <v>28</v>
      </c>
      <c r="B46" s="458" t="s">
        <v>56</v>
      </c>
      <c r="C46" s="506" t="s">
        <v>147</v>
      </c>
      <c r="D46" s="458" t="s">
        <v>158</v>
      </c>
      <c r="E46" s="512">
        <v>15</v>
      </c>
      <c r="F46" s="514">
        <v>45531</v>
      </c>
      <c r="G46" s="506" t="s">
        <v>390</v>
      </c>
      <c r="H46" s="508">
        <v>4562</v>
      </c>
      <c r="I46" s="509">
        <f>IF(X46 = 100, H46 + SUM(S46:S46) - SUM(T46:T46) - SUM(P46:P46) - V46,0)</f>
        <v>0</v>
      </c>
      <c r="J46" s="506" t="s">
        <v>341</v>
      </c>
      <c r="K46" s="506" t="s">
        <v>342</v>
      </c>
      <c r="L46" s="506" t="s">
        <v>147</v>
      </c>
      <c r="M46" s="493" t="s">
        <v>343</v>
      </c>
      <c r="N46" s="514">
        <v>45531</v>
      </c>
      <c r="O46" s="494" t="s">
        <v>356</v>
      </c>
      <c r="P46" s="533">
        <v>4562</v>
      </c>
      <c r="Q46" s="507">
        <v>45540</v>
      </c>
      <c r="R46" s="506"/>
      <c r="S46" s="508"/>
      <c r="T46" s="508"/>
      <c r="U46" s="508"/>
      <c r="V46" s="513"/>
      <c r="W46" s="510"/>
      <c r="X46" s="80">
        <v>100</v>
      </c>
    </row>
    <row r="47" spans="1:24" s="80" customFormat="1" ht="93.75" x14ac:dyDescent="0.25">
      <c r="A47" s="511">
        <v>29</v>
      </c>
      <c r="B47" s="458" t="s">
        <v>56</v>
      </c>
      <c r="C47" s="515" t="s">
        <v>147</v>
      </c>
      <c r="D47" s="458" t="s">
        <v>158</v>
      </c>
      <c r="E47" s="520" t="s">
        <v>392</v>
      </c>
      <c r="F47" s="525">
        <v>45531</v>
      </c>
      <c r="G47" s="515" t="s">
        <v>390</v>
      </c>
      <c r="H47" s="518">
        <v>7157</v>
      </c>
      <c r="I47" s="519">
        <f>IF(X47 = 101, H47 + SUM(S47:S47) - SUM(T47:T47) - SUM(P47:P47) - V47,0)</f>
        <v>0</v>
      </c>
      <c r="J47" s="515" t="s">
        <v>345</v>
      </c>
      <c r="K47" s="515" t="s">
        <v>346</v>
      </c>
      <c r="L47" s="515" t="s">
        <v>147</v>
      </c>
      <c r="M47" s="493" t="s">
        <v>343</v>
      </c>
      <c r="N47" s="525">
        <v>45531</v>
      </c>
      <c r="O47" s="494" t="s">
        <v>356</v>
      </c>
      <c r="P47" s="533">
        <v>7157</v>
      </c>
      <c r="Q47" s="517">
        <v>45538</v>
      </c>
      <c r="R47" s="515"/>
      <c r="S47" s="518"/>
      <c r="T47" s="518"/>
      <c r="U47" s="518"/>
      <c r="V47" s="513"/>
      <c r="W47" s="516"/>
      <c r="X47" s="80">
        <v>101</v>
      </c>
    </row>
    <row r="48" spans="1:24" s="80" customFormat="1" ht="93.75" x14ac:dyDescent="0.25">
      <c r="A48" s="511">
        <v>30</v>
      </c>
      <c r="B48" s="458" t="s">
        <v>56</v>
      </c>
      <c r="C48" s="520" t="s">
        <v>147</v>
      </c>
      <c r="D48" s="458" t="s">
        <v>158</v>
      </c>
      <c r="E48" s="512" t="s">
        <v>394</v>
      </c>
      <c r="F48" s="531">
        <v>45533</v>
      </c>
      <c r="G48" s="520" t="s">
        <v>395</v>
      </c>
      <c r="H48" s="523">
        <v>19000</v>
      </c>
      <c r="I48" s="524">
        <f>IF(X48 = 102, H48 + SUM(S48:S48) - SUM(T48:T48) - SUM(P48:P48) - V48,0)</f>
        <v>0</v>
      </c>
      <c r="J48" s="520" t="s">
        <v>396</v>
      </c>
      <c r="K48" s="520" t="s">
        <v>397</v>
      </c>
      <c r="L48" s="520" t="s">
        <v>147</v>
      </c>
      <c r="M48" s="493" t="s">
        <v>343</v>
      </c>
      <c r="N48" s="531">
        <v>45533</v>
      </c>
      <c r="O48" s="494" t="s">
        <v>356</v>
      </c>
      <c r="P48" s="533">
        <v>19000</v>
      </c>
      <c r="Q48" s="522">
        <v>45540</v>
      </c>
      <c r="R48" s="520"/>
      <c r="S48" s="523"/>
      <c r="T48" s="523"/>
      <c r="U48" s="523"/>
      <c r="V48" s="513"/>
      <c r="W48" s="521"/>
      <c r="X48" s="80">
        <v>102</v>
      </c>
    </row>
    <row r="49" spans="1:24" s="80" customFormat="1" ht="93.75" x14ac:dyDescent="0.25">
      <c r="A49" s="511">
        <v>31</v>
      </c>
      <c r="B49" s="458" t="s">
        <v>56</v>
      </c>
      <c r="C49" s="526" t="s">
        <v>147</v>
      </c>
      <c r="D49" s="458" t="s">
        <v>158</v>
      </c>
      <c r="E49" s="512">
        <v>7882.73</v>
      </c>
      <c r="F49" s="532">
        <v>45535</v>
      </c>
      <c r="G49" s="526" t="s">
        <v>398</v>
      </c>
      <c r="H49" s="529">
        <v>7882.73</v>
      </c>
      <c r="I49" s="530">
        <f>IF(X49 = 103, H49 + SUM(S49:S49) - SUM(T49:T49) - SUM(P49:P49) - V49,0)</f>
        <v>0</v>
      </c>
      <c r="J49" s="526" t="s">
        <v>399</v>
      </c>
      <c r="K49" s="526" t="s">
        <v>400</v>
      </c>
      <c r="L49" s="526" t="s">
        <v>147</v>
      </c>
      <c r="M49" s="493" t="s">
        <v>343</v>
      </c>
      <c r="N49" s="532">
        <v>45535</v>
      </c>
      <c r="O49" s="494" t="s">
        <v>356</v>
      </c>
      <c r="P49" s="533">
        <v>7882.73</v>
      </c>
      <c r="Q49" s="528">
        <v>45540</v>
      </c>
      <c r="R49" s="526"/>
      <c r="S49" s="529"/>
      <c r="T49" s="529"/>
      <c r="U49" s="529"/>
      <c r="V49" s="513"/>
      <c r="W49" s="527"/>
      <c r="X49" s="80">
        <v>103</v>
      </c>
    </row>
    <row r="50" spans="1:24" s="80" customFormat="1" ht="409.6" customHeight="1" x14ac:dyDescent="0.25">
      <c r="A50" s="1025">
        <v>32</v>
      </c>
      <c r="B50" s="1001" t="s">
        <v>56</v>
      </c>
      <c r="C50" s="1001" t="s">
        <v>147</v>
      </c>
      <c r="D50" s="1001" t="s">
        <v>158</v>
      </c>
      <c r="E50" s="1033">
        <v>23070500320</v>
      </c>
      <c r="F50" s="1027">
        <v>45536</v>
      </c>
      <c r="G50" s="1001" t="s">
        <v>151</v>
      </c>
      <c r="H50" s="1019">
        <v>599000</v>
      </c>
      <c r="I50" s="1021">
        <f>IF(X50 = 104, H50 + SUM(S50:S57) - SUM(T50:T57) - SUM(P50:P57) - V50,0)</f>
        <v>393223.52</v>
      </c>
      <c r="J50" s="1001" t="s">
        <v>417</v>
      </c>
      <c r="K50" s="1001" t="s">
        <v>152</v>
      </c>
      <c r="L50" s="1001" t="s">
        <v>147</v>
      </c>
      <c r="M50" s="1001" t="s">
        <v>418</v>
      </c>
      <c r="N50" s="776">
        <v>45536</v>
      </c>
      <c r="O50" s="1027" t="s">
        <v>153</v>
      </c>
      <c r="P50" s="768">
        <v>6645.68</v>
      </c>
      <c r="Q50" s="769">
        <v>45537</v>
      </c>
      <c r="R50" s="770"/>
      <c r="S50" s="771"/>
      <c r="T50" s="771"/>
      <c r="U50" s="1019"/>
      <c r="V50" s="1029"/>
      <c r="W50" s="1031"/>
      <c r="X50" s="80">
        <v>104</v>
      </c>
    </row>
    <row r="51" spans="1:24" s="110" customFormat="1" x14ac:dyDescent="0.25">
      <c r="A51" s="1026"/>
      <c r="B51" s="1002"/>
      <c r="C51" s="1002"/>
      <c r="D51" s="1002"/>
      <c r="E51" s="1034"/>
      <c r="F51" s="1028"/>
      <c r="G51" s="1002"/>
      <c r="H51" s="1020"/>
      <c r="I51" s="1022"/>
      <c r="J51" s="1002"/>
      <c r="K51" s="1002"/>
      <c r="L51" s="1002"/>
      <c r="M51" s="1002"/>
      <c r="N51" s="777">
        <v>45536</v>
      </c>
      <c r="O51" s="1028"/>
      <c r="P51" s="772">
        <v>9672.64</v>
      </c>
      <c r="Q51" s="773">
        <v>45551</v>
      </c>
      <c r="R51" s="774"/>
      <c r="S51" s="775"/>
      <c r="T51" s="775"/>
      <c r="U51" s="1020"/>
      <c r="V51" s="1030"/>
      <c r="W51" s="1032"/>
      <c r="X51" s="110">
        <v>104</v>
      </c>
    </row>
    <row r="52" spans="1:24" s="110" customFormat="1" x14ac:dyDescent="0.25">
      <c r="A52" s="1026"/>
      <c r="B52" s="1002"/>
      <c r="C52" s="1002"/>
      <c r="D52" s="1002"/>
      <c r="E52" s="1034"/>
      <c r="F52" s="1028"/>
      <c r="G52" s="1002"/>
      <c r="H52" s="1020"/>
      <c r="I52" s="1022"/>
      <c r="J52" s="1002"/>
      <c r="K52" s="1002"/>
      <c r="L52" s="1002"/>
      <c r="M52" s="1002"/>
      <c r="N52" s="777">
        <v>45566</v>
      </c>
      <c r="O52" s="1028"/>
      <c r="P52" s="772">
        <v>17777.689999999999</v>
      </c>
      <c r="Q52" s="773">
        <v>45586</v>
      </c>
      <c r="R52" s="774"/>
      <c r="S52" s="775"/>
      <c r="T52" s="775"/>
      <c r="U52" s="1020"/>
      <c r="V52" s="1030"/>
      <c r="W52" s="1032"/>
      <c r="X52" s="110">
        <v>104</v>
      </c>
    </row>
    <row r="53" spans="1:24" s="110" customFormat="1" x14ac:dyDescent="0.25">
      <c r="A53" s="1026"/>
      <c r="B53" s="1002"/>
      <c r="C53" s="1002"/>
      <c r="D53" s="1002"/>
      <c r="E53" s="1034"/>
      <c r="F53" s="1028"/>
      <c r="G53" s="1002"/>
      <c r="H53" s="1020"/>
      <c r="I53" s="1022"/>
      <c r="J53" s="1002"/>
      <c r="K53" s="1002"/>
      <c r="L53" s="1002"/>
      <c r="M53" s="1002"/>
      <c r="N53" s="777">
        <v>45597</v>
      </c>
      <c r="O53" s="1028"/>
      <c r="P53" s="772">
        <v>13333.26</v>
      </c>
      <c r="Q53" s="773">
        <v>45597</v>
      </c>
      <c r="R53" s="774"/>
      <c r="S53" s="775"/>
      <c r="T53" s="775"/>
      <c r="U53" s="1020"/>
      <c r="V53" s="1030"/>
      <c r="W53" s="1032"/>
      <c r="X53" s="110">
        <v>104</v>
      </c>
    </row>
    <row r="54" spans="1:24" s="110" customFormat="1" x14ac:dyDescent="0.25">
      <c r="A54" s="1026"/>
      <c r="B54" s="1002"/>
      <c r="C54" s="1002"/>
      <c r="D54" s="1002"/>
      <c r="E54" s="1034"/>
      <c r="F54" s="1028"/>
      <c r="G54" s="1002"/>
      <c r="H54" s="1020"/>
      <c r="I54" s="1022"/>
      <c r="J54" s="1002"/>
      <c r="K54" s="1002"/>
      <c r="L54" s="1002"/>
      <c r="M54" s="1002"/>
      <c r="N54" s="777">
        <v>45597</v>
      </c>
      <c r="O54" s="1028"/>
      <c r="P54" s="772">
        <v>25567.49</v>
      </c>
      <c r="Q54" s="773">
        <v>45610</v>
      </c>
      <c r="R54" s="774"/>
      <c r="S54" s="775"/>
      <c r="T54" s="775"/>
      <c r="U54" s="1020"/>
      <c r="V54" s="1030"/>
      <c r="W54" s="1032"/>
      <c r="X54" s="110">
        <v>104</v>
      </c>
    </row>
    <row r="55" spans="1:24" s="110" customFormat="1" x14ac:dyDescent="0.25">
      <c r="A55" s="1026"/>
      <c r="B55" s="1002"/>
      <c r="C55" s="1002"/>
      <c r="D55" s="1002"/>
      <c r="E55" s="1034"/>
      <c r="F55" s="1028"/>
      <c r="G55" s="1002"/>
      <c r="H55" s="1020"/>
      <c r="I55" s="1022"/>
      <c r="J55" s="1002"/>
      <c r="K55" s="1002"/>
      <c r="L55" s="1002"/>
      <c r="M55" s="1002"/>
      <c r="N55" s="777">
        <v>45626</v>
      </c>
      <c r="O55" s="1028"/>
      <c r="P55" s="772">
        <v>66737.14</v>
      </c>
      <c r="Q55" s="773">
        <v>45639</v>
      </c>
      <c r="R55" s="774"/>
      <c r="S55" s="775"/>
      <c r="T55" s="775"/>
      <c r="U55" s="1020"/>
      <c r="V55" s="1030"/>
      <c r="W55" s="1032"/>
      <c r="X55" s="110">
        <v>104</v>
      </c>
    </row>
    <row r="56" spans="1:24" s="110" customFormat="1" x14ac:dyDescent="0.25">
      <c r="A56" s="1026"/>
      <c r="B56" s="1002"/>
      <c r="C56" s="1002"/>
      <c r="D56" s="1002"/>
      <c r="E56" s="1034"/>
      <c r="F56" s="1028"/>
      <c r="G56" s="1002"/>
      <c r="H56" s="1020"/>
      <c r="I56" s="1022"/>
      <c r="J56" s="1002"/>
      <c r="K56" s="1002"/>
      <c r="L56" s="1002"/>
      <c r="M56" s="1002"/>
      <c r="N56" s="777">
        <v>45627</v>
      </c>
      <c r="O56" s="1028"/>
      <c r="P56" s="772">
        <v>19175.62</v>
      </c>
      <c r="Q56" s="773">
        <v>45629</v>
      </c>
      <c r="R56" s="774"/>
      <c r="S56" s="775"/>
      <c r="T56" s="775"/>
      <c r="U56" s="1020"/>
      <c r="V56" s="1030"/>
      <c r="W56" s="1032"/>
      <c r="X56" s="110">
        <v>104</v>
      </c>
    </row>
    <row r="57" spans="1:24" s="110" customFormat="1" x14ac:dyDescent="0.25">
      <c r="A57" s="1026"/>
      <c r="B57" s="1002"/>
      <c r="C57" s="1002"/>
      <c r="D57" s="1002"/>
      <c r="E57" s="1034"/>
      <c r="F57" s="1028"/>
      <c r="G57" s="1002"/>
      <c r="H57" s="1020"/>
      <c r="I57" s="1022"/>
      <c r="J57" s="1002"/>
      <c r="K57" s="1002"/>
      <c r="L57" s="1002"/>
      <c r="M57" s="1002"/>
      <c r="N57" s="777">
        <v>45627</v>
      </c>
      <c r="O57" s="1028"/>
      <c r="P57" s="772">
        <v>46866.96</v>
      </c>
      <c r="Q57" s="773">
        <v>45639</v>
      </c>
      <c r="R57" s="774"/>
      <c r="S57" s="775"/>
      <c r="T57" s="775"/>
      <c r="U57" s="1020"/>
      <c r="V57" s="1030"/>
      <c r="W57" s="1032"/>
      <c r="X57" s="110">
        <v>104</v>
      </c>
    </row>
    <row r="58" spans="1:24" s="80" customFormat="1" ht="93.75" x14ac:dyDescent="0.25">
      <c r="A58" s="574">
        <v>33</v>
      </c>
      <c r="B58" s="571" t="s">
        <v>56</v>
      </c>
      <c r="C58" s="571" t="s">
        <v>147</v>
      </c>
      <c r="D58" s="571" t="s">
        <v>158</v>
      </c>
      <c r="E58" s="575" t="s">
        <v>424</v>
      </c>
      <c r="F58" s="577">
        <v>45580</v>
      </c>
      <c r="G58" s="571" t="s">
        <v>299</v>
      </c>
      <c r="H58" s="569">
        <v>2400</v>
      </c>
      <c r="I58" s="573">
        <f>IF(X58 = 105, H58 + SUM(S58:S58) - SUM(T58:T58) - SUM(P58:P58) - V58,0)</f>
        <v>0</v>
      </c>
      <c r="J58" s="571" t="s">
        <v>421</v>
      </c>
      <c r="K58" s="571" t="s">
        <v>422</v>
      </c>
      <c r="L58" s="571" t="s">
        <v>147</v>
      </c>
      <c r="M58" s="571" t="s">
        <v>423</v>
      </c>
      <c r="N58" s="577">
        <v>45582</v>
      </c>
      <c r="O58" s="577" t="s">
        <v>354</v>
      </c>
      <c r="P58" s="609">
        <v>2400</v>
      </c>
      <c r="Q58" s="572">
        <v>45595</v>
      </c>
      <c r="R58" s="571"/>
      <c r="S58" s="569"/>
      <c r="T58" s="569"/>
      <c r="U58" s="569"/>
      <c r="V58" s="576"/>
      <c r="W58" s="570"/>
      <c r="X58" s="80">
        <v>105</v>
      </c>
    </row>
    <row r="59" spans="1:24" s="80" customFormat="1" ht="90" customHeight="1" x14ac:dyDescent="0.25">
      <c r="A59" s="1041">
        <v>34</v>
      </c>
      <c r="B59" s="1015" t="s">
        <v>56</v>
      </c>
      <c r="C59" s="1015" t="s">
        <v>147</v>
      </c>
      <c r="D59" s="1015" t="s">
        <v>158</v>
      </c>
      <c r="E59" s="1035" t="s">
        <v>425</v>
      </c>
      <c r="F59" s="1037">
        <v>45592</v>
      </c>
      <c r="G59" s="1015" t="s">
        <v>426</v>
      </c>
      <c r="H59" s="1013">
        <v>9592.94</v>
      </c>
      <c r="I59" s="1039">
        <f>IF(X59 = 106, H59 + SUM(S59:S60) - SUM(T59:T60) - SUM(P59:P60) - V59,0)</f>
        <v>0</v>
      </c>
      <c r="J59" s="1015" t="s">
        <v>427</v>
      </c>
      <c r="K59" s="1015" t="s">
        <v>428</v>
      </c>
      <c r="L59" s="1015" t="s">
        <v>147</v>
      </c>
      <c r="M59" s="1015" t="s">
        <v>429</v>
      </c>
      <c r="N59" s="586">
        <v>45593</v>
      </c>
      <c r="O59" s="1037" t="s">
        <v>354</v>
      </c>
      <c r="P59" s="696">
        <v>8355.84</v>
      </c>
      <c r="Q59" s="588">
        <v>45597</v>
      </c>
      <c r="R59" s="589"/>
      <c r="S59" s="587"/>
      <c r="T59" s="587"/>
      <c r="U59" s="1013"/>
      <c r="V59" s="1003"/>
      <c r="W59" s="1023"/>
      <c r="X59" s="80">
        <v>106</v>
      </c>
    </row>
    <row r="60" spans="1:24" s="110" customFormat="1" x14ac:dyDescent="0.25">
      <c r="A60" s="1042"/>
      <c r="B60" s="1016"/>
      <c r="C60" s="1016"/>
      <c r="D60" s="1016"/>
      <c r="E60" s="1036"/>
      <c r="F60" s="1038"/>
      <c r="G60" s="1016"/>
      <c r="H60" s="1014"/>
      <c r="I60" s="1040"/>
      <c r="J60" s="1016"/>
      <c r="K60" s="1016"/>
      <c r="L60" s="1016"/>
      <c r="M60" s="1016"/>
      <c r="N60" s="590">
        <v>45593</v>
      </c>
      <c r="O60" s="1038"/>
      <c r="P60" s="697">
        <v>1237.0999999999999</v>
      </c>
      <c r="Q60" s="592">
        <v>45597</v>
      </c>
      <c r="R60" s="593"/>
      <c r="S60" s="591"/>
      <c r="T60" s="591"/>
      <c r="U60" s="1014"/>
      <c r="V60" s="1004"/>
      <c r="W60" s="1024"/>
      <c r="X60" s="110">
        <v>106</v>
      </c>
    </row>
    <row r="61" spans="1:24" s="80" customFormat="1" ht="81.599999999999994" customHeight="1" x14ac:dyDescent="0.25">
      <c r="A61" s="638">
        <v>35</v>
      </c>
      <c r="B61" s="639" t="s">
        <v>56</v>
      </c>
      <c r="C61" s="639" t="s">
        <v>147</v>
      </c>
      <c r="D61" s="639" t="s">
        <v>158</v>
      </c>
      <c r="E61" s="640" t="s">
        <v>432</v>
      </c>
      <c r="F61" s="645">
        <v>45603</v>
      </c>
      <c r="G61" s="639" t="s">
        <v>433</v>
      </c>
      <c r="H61" s="641">
        <v>10000</v>
      </c>
      <c r="I61" s="642">
        <f>IF(X61 = 107, H61 + SUM(S61:S61) - SUM(T61:T61) - SUM(P61:P61) - V61,0)</f>
        <v>0</v>
      </c>
      <c r="J61" s="639" t="s">
        <v>345</v>
      </c>
      <c r="K61" s="639" t="s">
        <v>346</v>
      </c>
      <c r="L61" s="639" t="s">
        <v>147</v>
      </c>
      <c r="M61" s="639" t="s">
        <v>434</v>
      </c>
      <c r="N61" s="645">
        <v>45603</v>
      </c>
      <c r="O61" s="645" t="s">
        <v>439</v>
      </c>
      <c r="P61" s="703">
        <v>10000</v>
      </c>
      <c r="Q61" s="644">
        <v>45611</v>
      </c>
      <c r="R61" s="639"/>
      <c r="S61" s="641"/>
      <c r="T61" s="641"/>
      <c r="U61" s="641"/>
      <c r="V61" s="643"/>
      <c r="W61" s="637"/>
      <c r="X61" s="80">
        <v>107</v>
      </c>
    </row>
    <row r="62" spans="1:24" s="80" customFormat="1" ht="75" x14ac:dyDescent="0.25">
      <c r="A62" s="638">
        <v>36</v>
      </c>
      <c r="B62" s="639" t="s">
        <v>56</v>
      </c>
      <c r="C62" s="639" t="s">
        <v>147</v>
      </c>
      <c r="D62" s="639" t="s">
        <v>158</v>
      </c>
      <c r="E62" s="640" t="s">
        <v>435</v>
      </c>
      <c r="F62" s="645">
        <v>45608</v>
      </c>
      <c r="G62" s="639" t="s">
        <v>436</v>
      </c>
      <c r="H62" s="641">
        <v>80700</v>
      </c>
      <c r="I62" s="642">
        <f>IF(X62 = 108, H62 + SUM(S62:S62) - SUM(T62:T62) - SUM(P62:P62) - V62,0)</f>
        <v>0</v>
      </c>
      <c r="J62" s="639" t="s">
        <v>437</v>
      </c>
      <c r="K62" s="639" t="s">
        <v>438</v>
      </c>
      <c r="L62" s="639" t="s">
        <v>147</v>
      </c>
      <c r="M62" s="639" t="s">
        <v>449</v>
      </c>
      <c r="N62" s="645">
        <v>45611</v>
      </c>
      <c r="O62" s="645" t="s">
        <v>439</v>
      </c>
      <c r="P62" s="703">
        <v>80700</v>
      </c>
      <c r="Q62" s="644">
        <v>45615</v>
      </c>
      <c r="R62" s="639"/>
      <c r="S62" s="641"/>
      <c r="T62" s="641"/>
      <c r="U62" s="641"/>
      <c r="V62" s="643"/>
      <c r="W62" s="637"/>
      <c r="X62" s="80">
        <v>108</v>
      </c>
    </row>
    <row r="63" spans="1:24" s="80" customFormat="1" ht="75" x14ac:dyDescent="0.25">
      <c r="A63" s="646">
        <v>37</v>
      </c>
      <c r="B63" s="639" t="s">
        <v>56</v>
      </c>
      <c r="C63" s="647" t="s">
        <v>147</v>
      </c>
      <c r="D63" s="639" t="s">
        <v>158</v>
      </c>
      <c r="E63" s="648" t="s">
        <v>440</v>
      </c>
      <c r="F63" s="661">
        <v>45609</v>
      </c>
      <c r="G63" s="647" t="s">
        <v>441</v>
      </c>
      <c r="H63" s="649">
        <v>135000</v>
      </c>
      <c r="I63" s="650">
        <f>IF(X63 = 109, H63 + SUM(S63:S63) - SUM(T63:T63) - SUM(P63:P63) - V63,0)</f>
        <v>0</v>
      </c>
      <c r="J63" s="647" t="s">
        <v>442</v>
      </c>
      <c r="K63" s="647" t="s">
        <v>443</v>
      </c>
      <c r="L63" s="647" t="s">
        <v>147</v>
      </c>
      <c r="M63" s="647" t="s">
        <v>444</v>
      </c>
      <c r="N63" s="661">
        <v>45610</v>
      </c>
      <c r="O63" s="645" t="s">
        <v>439</v>
      </c>
      <c r="P63" s="698">
        <v>135000</v>
      </c>
      <c r="Q63" s="660">
        <v>45618</v>
      </c>
      <c r="R63" s="647"/>
      <c r="S63" s="649"/>
      <c r="T63" s="649"/>
      <c r="U63" s="649"/>
      <c r="V63" s="651"/>
      <c r="W63" s="652"/>
      <c r="X63" s="80">
        <v>109</v>
      </c>
    </row>
    <row r="64" spans="1:24" s="80" customFormat="1" ht="75" x14ac:dyDescent="0.25">
      <c r="A64" s="653">
        <v>38</v>
      </c>
      <c r="B64" s="639" t="s">
        <v>56</v>
      </c>
      <c r="C64" s="655" t="s">
        <v>147</v>
      </c>
      <c r="D64" s="639" t="s">
        <v>158</v>
      </c>
      <c r="E64" s="658" t="s">
        <v>445</v>
      </c>
      <c r="F64" s="669">
        <v>45597</v>
      </c>
      <c r="G64" s="655" t="s">
        <v>446</v>
      </c>
      <c r="H64" s="654">
        <v>12940</v>
      </c>
      <c r="I64" s="659">
        <f>IF(X64 = 110, H64 + SUM(S64:S64) - SUM(T64:T64) - SUM(P64:P64) - V64,0)</f>
        <v>0</v>
      </c>
      <c r="J64" s="655" t="s">
        <v>447</v>
      </c>
      <c r="K64" s="655" t="s">
        <v>448</v>
      </c>
      <c r="L64" s="655" t="s">
        <v>147</v>
      </c>
      <c r="M64" s="655" t="s">
        <v>449</v>
      </c>
      <c r="N64" s="669">
        <v>45611</v>
      </c>
      <c r="O64" s="645" t="s">
        <v>450</v>
      </c>
      <c r="P64" s="698">
        <v>12940</v>
      </c>
      <c r="Q64" s="660">
        <v>45617</v>
      </c>
      <c r="R64" s="655"/>
      <c r="S64" s="654"/>
      <c r="T64" s="654"/>
      <c r="U64" s="654"/>
      <c r="V64" s="656"/>
      <c r="W64" s="657"/>
      <c r="X64" s="80">
        <v>110</v>
      </c>
    </row>
    <row r="65" spans="1:24" s="80" customFormat="1" ht="75" x14ac:dyDescent="0.25">
      <c r="A65" s="662">
        <v>39</v>
      </c>
      <c r="B65" s="639" t="s">
        <v>56</v>
      </c>
      <c r="C65" s="664" t="s">
        <v>147</v>
      </c>
      <c r="D65" s="639" t="s">
        <v>158</v>
      </c>
      <c r="E65" s="667" t="s">
        <v>451</v>
      </c>
      <c r="F65" s="670">
        <v>45597</v>
      </c>
      <c r="G65" s="664" t="s">
        <v>452</v>
      </c>
      <c r="H65" s="663">
        <v>229.84</v>
      </c>
      <c r="I65" s="668">
        <f>IF(X65 = 111, H65 + SUM(S65:S65) - SUM(T65:T65) - SUM(P65:P65) - V65,0)</f>
        <v>0</v>
      </c>
      <c r="J65" s="664" t="s">
        <v>453</v>
      </c>
      <c r="K65" s="664" t="s">
        <v>448</v>
      </c>
      <c r="L65" s="664" t="s">
        <v>147</v>
      </c>
      <c r="M65" s="664" t="s">
        <v>449</v>
      </c>
      <c r="N65" s="670">
        <v>45611</v>
      </c>
      <c r="O65" s="645" t="s">
        <v>450</v>
      </c>
      <c r="P65" s="698">
        <v>229.84</v>
      </c>
      <c r="Q65" s="660">
        <v>45617</v>
      </c>
      <c r="R65" s="664"/>
      <c r="S65" s="663"/>
      <c r="T65" s="663"/>
      <c r="U65" s="663"/>
      <c r="V65" s="665"/>
      <c r="W65" s="666"/>
      <c r="X65" s="80">
        <v>111</v>
      </c>
    </row>
    <row r="66" spans="1:24" s="80" customFormat="1" ht="131.25" x14ac:dyDescent="0.25">
      <c r="A66" s="671">
        <v>40</v>
      </c>
      <c r="B66" s="639" t="s">
        <v>56</v>
      </c>
      <c r="C66" s="673" t="s">
        <v>147</v>
      </c>
      <c r="D66" s="639" t="s">
        <v>158</v>
      </c>
      <c r="E66" s="676" t="s">
        <v>454</v>
      </c>
      <c r="F66" s="678">
        <v>45603</v>
      </c>
      <c r="G66" s="673" t="s">
        <v>352</v>
      </c>
      <c r="H66" s="672">
        <v>11250</v>
      </c>
      <c r="I66" s="677">
        <f>IF(X66 = 112, H66 + SUM(S66:S66) - SUM(T66:T66) - SUM(P66:P66) - V66,0)</f>
        <v>0</v>
      </c>
      <c r="J66" s="673" t="s">
        <v>353</v>
      </c>
      <c r="K66" s="673" t="s">
        <v>357</v>
      </c>
      <c r="L66" s="673" t="s">
        <v>147</v>
      </c>
      <c r="M66" s="673" t="s">
        <v>455</v>
      </c>
      <c r="N66" s="678">
        <v>45618</v>
      </c>
      <c r="O66" s="645" t="s">
        <v>462</v>
      </c>
      <c r="P66" s="698">
        <v>11250</v>
      </c>
      <c r="Q66" s="660">
        <v>45624</v>
      </c>
      <c r="R66" s="673"/>
      <c r="S66" s="672"/>
      <c r="T66" s="672"/>
      <c r="U66" s="672"/>
      <c r="V66" s="674"/>
      <c r="W66" s="675"/>
      <c r="X66" s="80">
        <v>112</v>
      </c>
    </row>
    <row r="67" spans="1:24" s="80" customFormat="1" ht="93.75" x14ac:dyDescent="0.25">
      <c r="A67" s="671">
        <v>41</v>
      </c>
      <c r="B67" s="639" t="s">
        <v>56</v>
      </c>
      <c r="C67" s="673" t="s">
        <v>147</v>
      </c>
      <c r="D67" s="639" t="s">
        <v>158</v>
      </c>
      <c r="E67" s="676" t="s">
        <v>458</v>
      </c>
      <c r="F67" s="678">
        <v>45617</v>
      </c>
      <c r="G67" s="673" t="s">
        <v>459</v>
      </c>
      <c r="H67" s="672">
        <v>1500</v>
      </c>
      <c r="I67" s="677">
        <f>IF(X67 = 113, H67 + SUM(S67:S67) - SUM(T67:T67) - SUM(P67:P67) - V67,0)</f>
        <v>0</v>
      </c>
      <c r="J67" s="673" t="s">
        <v>460</v>
      </c>
      <c r="K67" s="673" t="s">
        <v>461</v>
      </c>
      <c r="L67" s="673" t="s">
        <v>147</v>
      </c>
      <c r="M67" s="673" t="s">
        <v>463</v>
      </c>
      <c r="N67" s="678">
        <v>45629</v>
      </c>
      <c r="O67" s="645" t="s">
        <v>462</v>
      </c>
      <c r="P67" s="698">
        <v>1500</v>
      </c>
      <c r="Q67" s="660">
        <v>45630</v>
      </c>
      <c r="R67" s="673"/>
      <c r="S67" s="672"/>
      <c r="T67" s="672"/>
      <c r="U67" s="672"/>
      <c r="V67" s="674"/>
      <c r="W67" s="675"/>
      <c r="X67" s="80">
        <v>113</v>
      </c>
    </row>
    <row r="68" spans="1:24" s="80" customFormat="1" ht="92.1" customHeight="1" x14ac:dyDescent="0.25">
      <c r="A68" s="732">
        <v>42</v>
      </c>
      <c r="B68" s="639" t="s">
        <v>56</v>
      </c>
      <c r="C68" s="731" t="s">
        <v>147</v>
      </c>
      <c r="D68" s="639" t="s">
        <v>158</v>
      </c>
      <c r="E68" s="734">
        <v>124</v>
      </c>
      <c r="F68" s="739">
        <v>45624</v>
      </c>
      <c r="G68" s="733" t="s">
        <v>468</v>
      </c>
      <c r="H68" s="735">
        <v>126720</v>
      </c>
      <c r="I68" s="736">
        <f>IF(X68 = 114, H68 + SUM(S68:S68) - SUM(T68:T68) - SUM(P68:P68) - V68,0)</f>
        <v>119040</v>
      </c>
      <c r="J68" s="733" t="s">
        <v>314</v>
      </c>
      <c r="K68" s="733" t="s">
        <v>405</v>
      </c>
      <c r="L68" s="733" t="s">
        <v>147</v>
      </c>
      <c r="M68" s="733" t="s">
        <v>464</v>
      </c>
      <c r="N68" s="739">
        <v>45626</v>
      </c>
      <c r="O68" s="645" t="s">
        <v>471</v>
      </c>
      <c r="P68" s="948">
        <v>7680</v>
      </c>
      <c r="Q68" s="737">
        <v>45636</v>
      </c>
      <c r="R68" s="733"/>
      <c r="S68" s="735"/>
      <c r="T68" s="735"/>
      <c r="U68" s="735"/>
      <c r="V68" s="738"/>
      <c r="W68" s="730"/>
      <c r="X68" s="80">
        <v>114</v>
      </c>
    </row>
    <row r="69" spans="1:24" s="80" customFormat="1" ht="93.75" x14ac:dyDescent="0.25">
      <c r="A69" s="753">
        <v>43</v>
      </c>
      <c r="B69" s="639" t="s">
        <v>56</v>
      </c>
      <c r="C69" s="754" t="s">
        <v>147</v>
      </c>
      <c r="D69" s="639" t="s">
        <v>158</v>
      </c>
      <c r="E69" s="764">
        <v>225</v>
      </c>
      <c r="F69" s="766">
        <v>45625</v>
      </c>
      <c r="G69" s="754" t="s">
        <v>470</v>
      </c>
      <c r="H69" s="756">
        <v>3920</v>
      </c>
      <c r="I69" s="757">
        <f>IF(X69 = 115, H69 + SUM(S69:S69) - SUM(T69:T69) - SUM(P69:P69) - V69,0)</f>
        <v>0</v>
      </c>
      <c r="J69" s="754" t="s">
        <v>467</v>
      </c>
      <c r="K69" s="754" t="s">
        <v>469</v>
      </c>
      <c r="L69" s="733" t="s">
        <v>147</v>
      </c>
      <c r="M69" s="754" t="s">
        <v>370</v>
      </c>
      <c r="N69" s="766">
        <v>45625</v>
      </c>
      <c r="O69" s="645" t="s">
        <v>466</v>
      </c>
      <c r="P69" s="932">
        <v>3920</v>
      </c>
      <c r="Q69" s="755">
        <v>45630</v>
      </c>
      <c r="R69" s="754"/>
      <c r="S69" s="756"/>
      <c r="T69" s="756"/>
      <c r="U69" s="756"/>
      <c r="V69" s="765"/>
      <c r="W69" s="761"/>
      <c r="X69" s="80">
        <v>115</v>
      </c>
    </row>
    <row r="70" spans="1:24" s="80" customFormat="1" ht="75" x14ac:dyDescent="0.25">
      <c r="A70" s="753">
        <v>44</v>
      </c>
      <c r="B70" s="639" t="s">
        <v>56</v>
      </c>
      <c r="C70" s="754" t="s">
        <v>147</v>
      </c>
      <c r="D70" s="639" t="s">
        <v>158</v>
      </c>
      <c r="E70" s="764" t="s">
        <v>474</v>
      </c>
      <c r="F70" s="766">
        <v>45644</v>
      </c>
      <c r="G70" s="754" t="s">
        <v>475</v>
      </c>
      <c r="H70" s="756">
        <v>4500</v>
      </c>
      <c r="I70" s="757">
        <f>IF(X70 = 116, H70 + SUM(S70:S70) - SUM(T70:T70) - SUM(P70:P70) - V70,0)</f>
        <v>0</v>
      </c>
      <c r="J70" s="754" t="s">
        <v>453</v>
      </c>
      <c r="K70" s="754" t="s">
        <v>448</v>
      </c>
      <c r="L70" s="733" t="s">
        <v>147</v>
      </c>
      <c r="M70" s="754" t="s">
        <v>478</v>
      </c>
      <c r="N70" s="766">
        <v>45644</v>
      </c>
      <c r="O70" s="645" t="s">
        <v>476</v>
      </c>
      <c r="P70" s="932">
        <v>4500</v>
      </c>
      <c r="Q70" s="755">
        <v>45645</v>
      </c>
      <c r="R70" s="754"/>
      <c r="S70" s="756"/>
      <c r="T70" s="756"/>
      <c r="U70" s="756"/>
      <c r="V70" s="765"/>
      <c r="W70" s="761"/>
      <c r="X70" s="80">
        <v>116</v>
      </c>
    </row>
    <row r="71" spans="1:24" s="80" customFormat="1" ht="93.75" x14ac:dyDescent="0.25">
      <c r="A71" s="840">
        <v>45</v>
      </c>
      <c r="B71" s="639" t="s">
        <v>56</v>
      </c>
      <c r="C71" s="841" t="s">
        <v>147</v>
      </c>
      <c r="D71" s="639" t="s">
        <v>158</v>
      </c>
      <c r="E71" s="842">
        <v>21</v>
      </c>
      <c r="F71" s="850">
        <v>45645</v>
      </c>
      <c r="G71" s="841" t="s">
        <v>479</v>
      </c>
      <c r="H71" s="843">
        <v>56970</v>
      </c>
      <c r="I71" s="844">
        <f>IF(X71 = 119, H71 + SUM(S71:S71) - SUM(T71:T71) - SUM(P71:P71) - V71,0)</f>
        <v>0</v>
      </c>
      <c r="J71" s="841" t="s">
        <v>480</v>
      </c>
      <c r="K71" s="841" t="s">
        <v>481</v>
      </c>
      <c r="L71" s="841" t="s">
        <v>147</v>
      </c>
      <c r="M71" s="841" t="s">
        <v>343</v>
      </c>
      <c r="N71" s="850">
        <v>45645</v>
      </c>
      <c r="O71" s="645" t="s">
        <v>356</v>
      </c>
      <c r="P71" s="937">
        <v>56970</v>
      </c>
      <c r="Q71" s="849">
        <v>45645</v>
      </c>
      <c r="R71" s="841"/>
      <c r="S71" s="843"/>
      <c r="T71" s="843"/>
      <c r="U71" s="843"/>
      <c r="V71" s="845"/>
      <c r="W71" s="846"/>
      <c r="X71" s="80">
        <v>119</v>
      </c>
    </row>
    <row r="72" spans="1:24" s="80" customFormat="1" ht="93.75" x14ac:dyDescent="0.25">
      <c r="A72" s="840">
        <v>46</v>
      </c>
      <c r="B72" s="639" t="s">
        <v>56</v>
      </c>
      <c r="C72" s="841" t="s">
        <v>147</v>
      </c>
      <c r="D72" s="639" t="s">
        <v>158</v>
      </c>
      <c r="E72" s="842">
        <v>1</v>
      </c>
      <c r="F72" s="850">
        <v>45645</v>
      </c>
      <c r="G72" s="841" t="s">
        <v>482</v>
      </c>
      <c r="H72" s="843">
        <v>9400</v>
      </c>
      <c r="I72" s="844">
        <f>IF(X72 = 120, H72 + SUM(S72:S72) - SUM(T72:T72) - SUM(P72:P72) - V72,0)</f>
        <v>0</v>
      </c>
      <c r="J72" s="841" t="s">
        <v>483</v>
      </c>
      <c r="K72" s="841" t="s">
        <v>484</v>
      </c>
      <c r="L72" s="841" t="s">
        <v>147</v>
      </c>
      <c r="M72" s="841" t="s">
        <v>485</v>
      </c>
      <c r="N72" s="850">
        <v>45645</v>
      </c>
      <c r="O72" s="645" t="s">
        <v>471</v>
      </c>
      <c r="P72" s="937">
        <v>9400</v>
      </c>
      <c r="Q72" s="849">
        <v>45645</v>
      </c>
      <c r="R72" s="841"/>
      <c r="S72" s="843"/>
      <c r="T72" s="843"/>
      <c r="U72" s="843"/>
      <c r="V72" s="845"/>
      <c r="W72" s="846"/>
      <c r="X72" s="80">
        <v>120</v>
      </c>
    </row>
    <row r="73" spans="1:24" ht="16.7" hidden="1" customHeight="1" x14ac:dyDescent="0.25">
      <c r="A73" s="101"/>
      <c r="B73" s="639" t="s">
        <v>56</v>
      </c>
      <c r="C73" s="102" t="s">
        <v>147</v>
      </c>
      <c r="D73" s="639" t="s">
        <v>473</v>
      </c>
      <c r="E73" s="392"/>
      <c r="F73" s="106"/>
      <c r="G73" s="102"/>
      <c r="H73" s="107"/>
      <c r="I73" s="108">
        <f>IF(X73 = 72, H73 + SUM(S73:S73) - SUM(T73:T73) - SUM(P73:P73) - V73,0)</f>
        <v>0</v>
      </c>
      <c r="J73" s="102"/>
      <c r="K73" s="102"/>
      <c r="L73" s="102"/>
      <c r="M73" s="383"/>
      <c r="N73" s="106"/>
      <c r="O73" s="398"/>
      <c r="P73" s="107"/>
      <c r="Q73" s="103"/>
      <c r="R73" s="105"/>
      <c r="S73" s="107"/>
      <c r="T73" s="107"/>
      <c r="U73" s="107"/>
      <c r="V73" s="104"/>
      <c r="W73" s="105"/>
      <c r="X73" s="2">
        <v>122</v>
      </c>
    </row>
  </sheetData>
  <sheetProtection algorithmName="SHA-512" hashValue="ufVqye64vzDBy0/ozinOpQ4XPJNERLjkjIQnJBGFA9INbXW2FSHdb/u8AINnCZzOct2hNp0FHSDeoXJhzRh0wg==" saltValue="rmOut9JfNN7FEsrPvYP8ew==" spinCount="100000" sheet="1" objects="1" scenarios="1" formatCells="0" formatColumns="0" formatRows="0"/>
  <mergeCells count="126">
    <mergeCell ref="W39:W43"/>
    <mergeCell ref="D39:D43"/>
    <mergeCell ref="E39:E43"/>
    <mergeCell ref="F39:F43"/>
    <mergeCell ref="G39:G43"/>
    <mergeCell ref="H39:H43"/>
    <mergeCell ref="I39:I43"/>
    <mergeCell ref="J39:J43"/>
    <mergeCell ref="W26:W27"/>
    <mergeCell ref="V26:V27"/>
    <mergeCell ref="V14:V17"/>
    <mergeCell ref="W14:W17"/>
    <mergeCell ref="I14:I17"/>
    <mergeCell ref="J14:J17"/>
    <mergeCell ref="K14:K17"/>
    <mergeCell ref="L14:L17"/>
    <mergeCell ref="M14:M17"/>
    <mergeCell ref="W9:W10"/>
    <mergeCell ref="M9:M10"/>
    <mergeCell ref="O11:O12"/>
    <mergeCell ref="U11:U12"/>
    <mergeCell ref="V11:V12"/>
    <mergeCell ref="W11:W12"/>
    <mergeCell ref="I11:I12"/>
    <mergeCell ref="J11:J12"/>
    <mergeCell ref="K11:K12"/>
    <mergeCell ref="L11:L12"/>
    <mergeCell ref="M11:M12"/>
    <mergeCell ref="V9:V10"/>
    <mergeCell ref="O14:O17"/>
    <mergeCell ref="U14:U17"/>
    <mergeCell ref="A14:A17"/>
    <mergeCell ref="B14:B17"/>
    <mergeCell ref="C14:C17"/>
    <mergeCell ref="C9:C10"/>
    <mergeCell ref="A9:A10"/>
    <mergeCell ref="O9:O10"/>
    <mergeCell ref="U9:U10"/>
    <mergeCell ref="B9:B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D14:D17"/>
    <mergeCell ref="E14:E17"/>
    <mergeCell ref="F14:F17"/>
    <mergeCell ref="G14:G17"/>
    <mergeCell ref="H14:H17"/>
    <mergeCell ref="A3:E3"/>
    <mergeCell ref="S2:U2"/>
    <mergeCell ref="N2:O2"/>
    <mergeCell ref="J4:K4"/>
    <mergeCell ref="M4:N4"/>
    <mergeCell ref="O4:P4"/>
    <mergeCell ref="K2:M2"/>
    <mergeCell ref="A11:A12"/>
    <mergeCell ref="B11:B12"/>
    <mergeCell ref="C11:C12"/>
    <mergeCell ref="D11:D12"/>
    <mergeCell ref="E11:E12"/>
    <mergeCell ref="F11:F12"/>
    <mergeCell ref="G11:G12"/>
    <mergeCell ref="H11:H12"/>
    <mergeCell ref="A26:A27"/>
    <mergeCell ref="O26:O27"/>
    <mergeCell ref="U26:U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W59:W60"/>
    <mergeCell ref="M59:M60"/>
    <mergeCell ref="A50:A57"/>
    <mergeCell ref="O50:O57"/>
    <mergeCell ref="U50:U57"/>
    <mergeCell ref="B50:B57"/>
    <mergeCell ref="V50:V57"/>
    <mergeCell ref="C50:C57"/>
    <mergeCell ref="W50:W57"/>
    <mergeCell ref="E50:E57"/>
    <mergeCell ref="E59:E60"/>
    <mergeCell ref="F59:F60"/>
    <mergeCell ref="G59:G60"/>
    <mergeCell ref="H59:H60"/>
    <mergeCell ref="I59:I60"/>
    <mergeCell ref="J59:J60"/>
    <mergeCell ref="K59:K60"/>
    <mergeCell ref="L59:L60"/>
    <mergeCell ref="F50:F57"/>
    <mergeCell ref="G50:G57"/>
    <mergeCell ref="K50:K57"/>
    <mergeCell ref="L50:L57"/>
    <mergeCell ref="A59:A60"/>
    <mergeCell ref="O59:O60"/>
    <mergeCell ref="J50:J57"/>
    <mergeCell ref="V59:V60"/>
    <mergeCell ref="A39:A43"/>
    <mergeCell ref="O39:O43"/>
    <mergeCell ref="U39:U43"/>
    <mergeCell ref="B39:B43"/>
    <mergeCell ref="U59:U60"/>
    <mergeCell ref="B59:B60"/>
    <mergeCell ref="V39:V43"/>
    <mergeCell ref="C39:C43"/>
    <mergeCell ref="C59:C60"/>
    <mergeCell ref="M50:M57"/>
    <mergeCell ref="D50:D57"/>
    <mergeCell ref="D59:D60"/>
    <mergeCell ref="K39:K43"/>
    <mergeCell ref="L39:L43"/>
    <mergeCell ref="M39:M43"/>
    <mergeCell ref="H50:H57"/>
    <mergeCell ref="I50:I57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87"/>
  <sheetViews>
    <sheetView showGridLines="0" topLeftCell="K1" zoomScale="50" zoomScaleNormal="50" workbookViewId="0">
      <pane ySplit="8" topLeftCell="A9" activePane="bottomLeft" state="frozen"/>
      <selection pane="bottomLeft" activeCell="I39" sqref="I39:I44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42578125" style="3" customWidth="1"/>
    <col min="6" max="6" width="32.42578125" style="3" customWidth="1"/>
    <col min="7" max="7" width="40.42578125" style="11" customWidth="1"/>
    <col min="8" max="8" width="27.5703125" style="3" customWidth="1"/>
    <col min="9" max="9" width="33" style="3" customWidth="1"/>
    <col min="10" max="11" width="27.425781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42578125" style="3" customWidth="1"/>
    <col min="16" max="16" width="24.5703125" style="26" customWidth="1"/>
    <col min="17" max="17" width="24.42578125" style="11" customWidth="1"/>
    <col min="18" max="18" width="23.42578125" style="3" customWidth="1"/>
    <col min="19" max="19" width="25.5703125" style="3" customWidth="1"/>
    <col min="20" max="20" width="26" style="3" customWidth="1"/>
    <col min="21" max="21" width="23.570312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1402" t="s">
        <v>24</v>
      </c>
      <c r="G2" s="1403"/>
      <c r="H2" s="75">
        <f>SUM(H9:H9999)</f>
        <v>2973116.0500000003</v>
      </c>
      <c r="I2" s="65"/>
      <c r="N2" s="1056" t="s">
        <v>137</v>
      </c>
      <c r="O2" s="1058"/>
      <c r="P2" s="66">
        <f>SUM(P9:P9999)</f>
        <v>2630727.223999999</v>
      </c>
      <c r="R2" s="65"/>
      <c r="S2" s="1056" t="s">
        <v>45</v>
      </c>
      <c r="T2" s="1057"/>
      <c r="U2" s="1058"/>
      <c r="V2" s="67">
        <f>SUM(V9:V9999)</f>
        <v>202233.07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35000000000002" customHeight="1" x14ac:dyDescent="0.25">
      <c r="A9" s="1680">
        <v>1</v>
      </c>
      <c r="B9" s="1689" t="s">
        <v>56</v>
      </c>
      <c r="C9" s="1689" t="s">
        <v>147</v>
      </c>
      <c r="D9" s="1689" t="s">
        <v>160</v>
      </c>
      <c r="E9" s="1689" t="s">
        <v>195</v>
      </c>
      <c r="F9" s="1683">
        <v>45289</v>
      </c>
      <c r="G9" s="1698" t="s">
        <v>148</v>
      </c>
      <c r="H9" s="1686">
        <v>186161.96</v>
      </c>
      <c r="I9" s="1701">
        <f>IF(X9 = 1, H9 + SUM(S9:S20) - SUM(T9:T20) - SUM(P9:P20) - V9,0)</f>
        <v>1948.0800000000163</v>
      </c>
      <c r="J9" s="1704">
        <v>2308070396</v>
      </c>
      <c r="K9" s="1707" t="s">
        <v>149</v>
      </c>
      <c r="L9" s="1689" t="s">
        <v>147</v>
      </c>
      <c r="M9" s="1689" t="s">
        <v>175</v>
      </c>
      <c r="N9" s="790">
        <v>45300</v>
      </c>
      <c r="O9" s="1683" t="s">
        <v>159</v>
      </c>
      <c r="P9" s="778">
        <v>23384.94</v>
      </c>
      <c r="Q9" s="779">
        <v>45320</v>
      </c>
      <c r="R9" s="780"/>
      <c r="S9" s="781"/>
      <c r="T9" s="782"/>
      <c r="U9" s="1686"/>
      <c r="V9" s="1692"/>
      <c r="W9" s="1695"/>
      <c r="X9" s="80">
        <v>1</v>
      </c>
    </row>
    <row r="10" spans="1:24" s="110" customFormat="1" x14ac:dyDescent="0.25">
      <c r="A10" s="1681"/>
      <c r="B10" s="1690"/>
      <c r="C10" s="1690"/>
      <c r="D10" s="1690"/>
      <c r="E10" s="1690"/>
      <c r="F10" s="1684"/>
      <c r="G10" s="1699"/>
      <c r="H10" s="1687"/>
      <c r="I10" s="1702"/>
      <c r="J10" s="1705"/>
      <c r="K10" s="1708"/>
      <c r="L10" s="1690"/>
      <c r="M10" s="1690"/>
      <c r="N10" s="791">
        <v>45322</v>
      </c>
      <c r="O10" s="1684"/>
      <c r="P10" s="783">
        <v>45807.29</v>
      </c>
      <c r="Q10" s="784">
        <v>45334</v>
      </c>
      <c r="R10" s="785"/>
      <c r="S10" s="786"/>
      <c r="T10" s="786"/>
      <c r="U10" s="1687"/>
      <c r="V10" s="1693"/>
      <c r="W10" s="1696"/>
      <c r="X10" s="110">
        <v>1</v>
      </c>
    </row>
    <row r="11" spans="1:24" s="110" customFormat="1" x14ac:dyDescent="0.25">
      <c r="A11" s="1681"/>
      <c r="B11" s="1690"/>
      <c r="C11" s="1690"/>
      <c r="D11" s="1690"/>
      <c r="E11" s="1690"/>
      <c r="F11" s="1684"/>
      <c r="G11" s="1699"/>
      <c r="H11" s="1687"/>
      <c r="I11" s="1702"/>
      <c r="J11" s="1705"/>
      <c r="K11" s="1708"/>
      <c r="L11" s="1690"/>
      <c r="M11" s="1690"/>
      <c r="N11" s="791">
        <v>45323</v>
      </c>
      <c r="O11" s="1684"/>
      <c r="P11" s="783">
        <v>7936.09</v>
      </c>
      <c r="Q11" s="784">
        <v>45327</v>
      </c>
      <c r="R11" s="785"/>
      <c r="S11" s="786"/>
      <c r="T11" s="786"/>
      <c r="U11" s="1687"/>
      <c r="V11" s="1693"/>
      <c r="W11" s="1696"/>
      <c r="X11" s="110">
        <v>1</v>
      </c>
    </row>
    <row r="12" spans="1:24" s="110" customFormat="1" x14ac:dyDescent="0.25">
      <c r="A12" s="1681"/>
      <c r="B12" s="1690"/>
      <c r="C12" s="1690"/>
      <c r="D12" s="1690"/>
      <c r="E12" s="1690"/>
      <c r="F12" s="1684"/>
      <c r="G12" s="1699"/>
      <c r="H12" s="1687"/>
      <c r="I12" s="1702"/>
      <c r="J12" s="1705"/>
      <c r="K12" s="1708"/>
      <c r="L12" s="1690"/>
      <c r="M12" s="1690"/>
      <c r="N12" s="791">
        <v>45351</v>
      </c>
      <c r="O12" s="1684"/>
      <c r="P12" s="783">
        <v>22190.18</v>
      </c>
      <c r="Q12" s="784">
        <v>45363</v>
      </c>
      <c r="R12" s="785"/>
      <c r="S12" s="786"/>
      <c r="T12" s="786"/>
      <c r="U12" s="1687"/>
      <c r="V12" s="1693"/>
      <c r="W12" s="1696"/>
      <c r="X12" s="110">
        <v>1</v>
      </c>
    </row>
    <row r="13" spans="1:24" s="110" customFormat="1" x14ac:dyDescent="0.25">
      <c r="A13" s="1681"/>
      <c r="B13" s="1690"/>
      <c r="C13" s="1690"/>
      <c r="D13" s="1690"/>
      <c r="E13" s="1690"/>
      <c r="F13" s="1684"/>
      <c r="G13" s="1699"/>
      <c r="H13" s="1687"/>
      <c r="I13" s="1702"/>
      <c r="J13" s="1705"/>
      <c r="K13" s="1708"/>
      <c r="L13" s="1690"/>
      <c r="M13" s="1690"/>
      <c r="N13" s="791">
        <v>45352</v>
      </c>
      <c r="O13" s="1684"/>
      <c r="P13" s="783">
        <v>5957.8</v>
      </c>
      <c r="Q13" s="784">
        <v>45363</v>
      </c>
      <c r="R13" s="785"/>
      <c r="S13" s="786"/>
      <c r="T13" s="786"/>
      <c r="U13" s="1687"/>
      <c r="V13" s="1693"/>
      <c r="W13" s="1696"/>
      <c r="X13" s="110">
        <v>1</v>
      </c>
    </row>
    <row r="14" spans="1:24" s="110" customFormat="1" x14ac:dyDescent="0.25">
      <c r="A14" s="1681"/>
      <c r="B14" s="1690"/>
      <c r="C14" s="1690"/>
      <c r="D14" s="1690"/>
      <c r="E14" s="1690"/>
      <c r="F14" s="1684"/>
      <c r="G14" s="1699"/>
      <c r="H14" s="1687"/>
      <c r="I14" s="1702"/>
      <c r="J14" s="1705"/>
      <c r="K14" s="1708"/>
      <c r="L14" s="1690"/>
      <c r="M14" s="1690"/>
      <c r="N14" s="791">
        <v>45382</v>
      </c>
      <c r="O14" s="1684"/>
      <c r="P14" s="783">
        <v>16667.91</v>
      </c>
      <c r="Q14" s="784">
        <v>45393</v>
      </c>
      <c r="R14" s="785"/>
      <c r="S14" s="786"/>
      <c r="T14" s="786"/>
      <c r="U14" s="1687"/>
      <c r="V14" s="1693"/>
      <c r="W14" s="1696"/>
      <c r="X14" s="110">
        <v>1</v>
      </c>
    </row>
    <row r="15" spans="1:24" s="110" customFormat="1" x14ac:dyDescent="0.25">
      <c r="A15" s="1681"/>
      <c r="B15" s="1690"/>
      <c r="C15" s="1690"/>
      <c r="D15" s="1690"/>
      <c r="E15" s="1690"/>
      <c r="F15" s="1684"/>
      <c r="G15" s="1699"/>
      <c r="H15" s="1687"/>
      <c r="I15" s="1702"/>
      <c r="J15" s="1705"/>
      <c r="K15" s="1708"/>
      <c r="L15" s="1690"/>
      <c r="M15" s="1690"/>
      <c r="N15" s="791">
        <v>45383</v>
      </c>
      <c r="O15" s="1684"/>
      <c r="P15" s="783">
        <v>7498.37</v>
      </c>
      <c r="Q15" s="784">
        <v>45385</v>
      </c>
      <c r="R15" s="785"/>
      <c r="S15" s="786"/>
      <c r="T15" s="786"/>
      <c r="U15" s="1687"/>
      <c r="V15" s="1693"/>
      <c r="W15" s="1696"/>
      <c r="X15" s="110">
        <v>1</v>
      </c>
    </row>
    <row r="16" spans="1:24" s="110" customFormat="1" x14ac:dyDescent="0.25">
      <c r="A16" s="1681"/>
      <c r="B16" s="1690"/>
      <c r="C16" s="1690"/>
      <c r="D16" s="1690"/>
      <c r="E16" s="1690"/>
      <c r="F16" s="1684"/>
      <c r="G16" s="1699"/>
      <c r="H16" s="1687"/>
      <c r="I16" s="1702"/>
      <c r="J16" s="1705"/>
      <c r="K16" s="1708"/>
      <c r="L16" s="1690"/>
      <c r="M16" s="1690"/>
      <c r="N16" s="791">
        <v>45412</v>
      </c>
      <c r="O16" s="1684"/>
      <c r="P16" s="783">
        <v>21104.79</v>
      </c>
      <c r="Q16" s="784">
        <v>45427</v>
      </c>
      <c r="R16" s="785"/>
      <c r="S16" s="786"/>
      <c r="T16" s="786"/>
      <c r="U16" s="1687"/>
      <c r="V16" s="1693"/>
      <c r="W16" s="1696"/>
      <c r="X16" s="110">
        <v>1</v>
      </c>
    </row>
    <row r="17" spans="1:24" s="110" customFormat="1" x14ac:dyDescent="0.25">
      <c r="A17" s="1681"/>
      <c r="B17" s="1690"/>
      <c r="C17" s="1690"/>
      <c r="D17" s="1690"/>
      <c r="E17" s="1690"/>
      <c r="F17" s="1684"/>
      <c r="G17" s="1699"/>
      <c r="H17" s="1687"/>
      <c r="I17" s="1702"/>
      <c r="J17" s="1705"/>
      <c r="K17" s="1708"/>
      <c r="L17" s="1690"/>
      <c r="M17" s="1690"/>
      <c r="N17" s="791">
        <v>45597</v>
      </c>
      <c r="O17" s="1684"/>
      <c r="P17" s="783">
        <v>6979.56</v>
      </c>
      <c r="Q17" s="784">
        <v>45603</v>
      </c>
      <c r="R17" s="785"/>
      <c r="S17" s="786"/>
      <c r="T17" s="786"/>
      <c r="U17" s="1687"/>
      <c r="V17" s="1693"/>
      <c r="W17" s="1696"/>
      <c r="X17" s="110">
        <v>1</v>
      </c>
    </row>
    <row r="18" spans="1:24" s="110" customFormat="1" x14ac:dyDescent="0.25">
      <c r="A18" s="1681"/>
      <c r="B18" s="1690"/>
      <c r="C18" s="1690"/>
      <c r="D18" s="1690"/>
      <c r="E18" s="1690"/>
      <c r="F18" s="1684"/>
      <c r="G18" s="1699"/>
      <c r="H18" s="1687"/>
      <c r="I18" s="1702"/>
      <c r="J18" s="1705"/>
      <c r="K18" s="1708"/>
      <c r="L18" s="1690"/>
      <c r="M18" s="1690"/>
      <c r="N18" s="791">
        <v>45626</v>
      </c>
      <c r="O18" s="1684"/>
      <c r="P18" s="783">
        <v>4357.5200000000004</v>
      </c>
      <c r="Q18" s="784">
        <v>45638</v>
      </c>
      <c r="R18" s="785"/>
      <c r="S18" s="786"/>
      <c r="T18" s="786"/>
      <c r="U18" s="1687"/>
      <c r="V18" s="1693"/>
      <c r="W18" s="1696"/>
      <c r="X18" s="110">
        <v>1</v>
      </c>
    </row>
    <row r="19" spans="1:24" s="110" customFormat="1" x14ac:dyDescent="0.25">
      <c r="A19" s="1681"/>
      <c r="B19" s="1690"/>
      <c r="C19" s="1690"/>
      <c r="D19" s="1690"/>
      <c r="E19" s="1690"/>
      <c r="F19" s="1684"/>
      <c r="G19" s="1699"/>
      <c r="H19" s="1687"/>
      <c r="I19" s="1702"/>
      <c r="J19" s="1705"/>
      <c r="K19" s="1708"/>
      <c r="L19" s="1690"/>
      <c r="M19" s="1690"/>
      <c r="N19" s="791">
        <v>45627</v>
      </c>
      <c r="O19" s="1684"/>
      <c r="P19" s="783">
        <v>4121.1099999999997</v>
      </c>
      <c r="Q19" s="784">
        <v>45629</v>
      </c>
      <c r="R19" s="785"/>
      <c r="S19" s="786"/>
      <c r="T19" s="786"/>
      <c r="U19" s="1687"/>
      <c r="V19" s="1693"/>
      <c r="W19" s="1696"/>
      <c r="X19" s="110">
        <v>1</v>
      </c>
    </row>
    <row r="20" spans="1:24" s="110" customFormat="1" x14ac:dyDescent="0.25">
      <c r="A20" s="1682"/>
      <c r="B20" s="1691"/>
      <c r="C20" s="1691"/>
      <c r="D20" s="1691"/>
      <c r="E20" s="1691"/>
      <c r="F20" s="1685"/>
      <c r="G20" s="1700"/>
      <c r="H20" s="1688"/>
      <c r="I20" s="1703"/>
      <c r="J20" s="1706"/>
      <c r="K20" s="1709"/>
      <c r="L20" s="1691"/>
      <c r="M20" s="1691"/>
      <c r="N20" s="792">
        <v>45657</v>
      </c>
      <c r="O20" s="1685"/>
      <c r="P20" s="942">
        <v>18208.32</v>
      </c>
      <c r="Q20" s="788">
        <v>45651</v>
      </c>
      <c r="R20" s="789"/>
      <c r="S20" s="787"/>
      <c r="T20" s="787"/>
      <c r="U20" s="1688"/>
      <c r="V20" s="1694"/>
      <c r="W20" s="1697"/>
      <c r="X20" s="110">
        <v>1</v>
      </c>
    </row>
    <row r="21" spans="1:24" s="80" customFormat="1" ht="395.45" customHeight="1" x14ac:dyDescent="0.25">
      <c r="A21" s="1273">
        <v>2</v>
      </c>
      <c r="B21" s="1279" t="s">
        <v>56</v>
      </c>
      <c r="C21" s="1279" t="s">
        <v>147</v>
      </c>
      <c r="D21" s="1279" t="s">
        <v>160</v>
      </c>
      <c r="E21" s="1279" t="s">
        <v>150</v>
      </c>
      <c r="F21" s="1275">
        <v>45289</v>
      </c>
      <c r="G21" s="1611" t="s">
        <v>151</v>
      </c>
      <c r="H21" s="1613">
        <v>599000</v>
      </c>
      <c r="I21" s="1615">
        <f>IF(X21 = 2, H21 + SUM(S21:S38) - SUM(T21:T38) - SUM(P21:P38) - V21,0)</f>
        <v>1.3005774235352874E-10</v>
      </c>
      <c r="J21" s="1425">
        <v>2308119595</v>
      </c>
      <c r="K21" s="1427" t="s">
        <v>152</v>
      </c>
      <c r="L21" s="1279" t="s">
        <v>147</v>
      </c>
      <c r="M21" s="1279" t="s">
        <v>175</v>
      </c>
      <c r="N21" s="623">
        <v>45292</v>
      </c>
      <c r="O21" s="1275"/>
      <c r="P21" s="614">
        <v>19127.439999999999</v>
      </c>
      <c r="Q21" s="615">
        <v>45309</v>
      </c>
      <c r="R21" s="616"/>
      <c r="S21" s="617"/>
      <c r="T21" s="618"/>
      <c r="U21" s="1277" t="s">
        <v>465</v>
      </c>
      <c r="V21" s="1281">
        <v>5142.1400000000003</v>
      </c>
      <c r="W21" s="1283"/>
      <c r="X21" s="80">
        <v>2</v>
      </c>
    </row>
    <row r="22" spans="1:24" s="110" customFormat="1" x14ac:dyDescent="0.25">
      <c r="A22" s="1274"/>
      <c r="B22" s="1280"/>
      <c r="C22" s="1280"/>
      <c r="D22" s="1280"/>
      <c r="E22" s="1280"/>
      <c r="F22" s="1276"/>
      <c r="G22" s="1612"/>
      <c r="H22" s="1614"/>
      <c r="I22" s="1616"/>
      <c r="J22" s="1426"/>
      <c r="K22" s="1428"/>
      <c r="L22" s="1280"/>
      <c r="M22" s="1280"/>
      <c r="N22" s="624">
        <v>45292</v>
      </c>
      <c r="O22" s="1276"/>
      <c r="P22" s="619">
        <v>58498.75</v>
      </c>
      <c r="Q22" s="620">
        <v>45309</v>
      </c>
      <c r="R22" s="621"/>
      <c r="S22" s="622"/>
      <c r="T22" s="622"/>
      <c r="U22" s="1278"/>
      <c r="V22" s="1282"/>
      <c r="W22" s="1284"/>
      <c r="X22" s="110">
        <v>2</v>
      </c>
    </row>
    <row r="23" spans="1:24" s="110" customFormat="1" x14ac:dyDescent="0.25">
      <c r="A23" s="1274"/>
      <c r="B23" s="1280"/>
      <c r="C23" s="1280"/>
      <c r="D23" s="1280"/>
      <c r="E23" s="1280"/>
      <c r="F23" s="1276"/>
      <c r="G23" s="1612"/>
      <c r="H23" s="1614"/>
      <c r="I23" s="1616"/>
      <c r="J23" s="1426"/>
      <c r="K23" s="1428"/>
      <c r="L23" s="1280"/>
      <c r="M23" s="1280"/>
      <c r="N23" s="624">
        <v>45322</v>
      </c>
      <c r="O23" s="1276"/>
      <c r="P23" s="619">
        <v>64640.95</v>
      </c>
      <c r="Q23" s="620">
        <v>45337</v>
      </c>
      <c r="R23" s="621"/>
      <c r="S23" s="622"/>
      <c r="T23" s="622"/>
      <c r="U23" s="1278"/>
      <c r="V23" s="1282"/>
      <c r="W23" s="1284"/>
      <c r="X23" s="110">
        <v>2</v>
      </c>
    </row>
    <row r="24" spans="1:24" s="110" customFormat="1" x14ac:dyDescent="0.25">
      <c r="A24" s="1274"/>
      <c r="B24" s="1280"/>
      <c r="C24" s="1280"/>
      <c r="D24" s="1280"/>
      <c r="E24" s="1280"/>
      <c r="F24" s="1276"/>
      <c r="G24" s="1612"/>
      <c r="H24" s="1614"/>
      <c r="I24" s="1616"/>
      <c r="J24" s="1426"/>
      <c r="K24" s="1428"/>
      <c r="L24" s="1280"/>
      <c r="M24" s="1280"/>
      <c r="N24" s="624">
        <v>45323</v>
      </c>
      <c r="O24" s="1276"/>
      <c r="P24" s="619">
        <v>43874.06</v>
      </c>
      <c r="Q24" s="620">
        <v>45323</v>
      </c>
      <c r="R24" s="621"/>
      <c r="S24" s="622"/>
      <c r="T24" s="622"/>
      <c r="U24" s="1278"/>
      <c r="V24" s="1282"/>
      <c r="W24" s="1284"/>
      <c r="X24" s="110">
        <v>2</v>
      </c>
    </row>
    <row r="25" spans="1:24" s="110" customFormat="1" x14ac:dyDescent="0.25">
      <c r="A25" s="1274"/>
      <c r="B25" s="1280"/>
      <c r="C25" s="1280"/>
      <c r="D25" s="1280"/>
      <c r="E25" s="1280"/>
      <c r="F25" s="1276"/>
      <c r="G25" s="1612"/>
      <c r="H25" s="1614"/>
      <c r="I25" s="1616"/>
      <c r="J25" s="1426"/>
      <c r="K25" s="1428"/>
      <c r="L25" s="1280"/>
      <c r="M25" s="1280"/>
      <c r="N25" s="624">
        <v>45323</v>
      </c>
      <c r="O25" s="1276"/>
      <c r="P25" s="619">
        <v>62638.09</v>
      </c>
      <c r="Q25" s="620">
        <v>45337</v>
      </c>
      <c r="R25" s="621"/>
      <c r="S25" s="622"/>
      <c r="T25" s="622"/>
      <c r="U25" s="1278"/>
      <c r="V25" s="1282"/>
      <c r="W25" s="1284"/>
      <c r="X25" s="110">
        <v>2</v>
      </c>
    </row>
    <row r="26" spans="1:24" s="110" customFormat="1" x14ac:dyDescent="0.25">
      <c r="A26" s="1274"/>
      <c r="B26" s="1280"/>
      <c r="C26" s="1280"/>
      <c r="D26" s="1280"/>
      <c r="E26" s="1280"/>
      <c r="F26" s="1276"/>
      <c r="G26" s="1612"/>
      <c r="H26" s="1614"/>
      <c r="I26" s="1616"/>
      <c r="J26" s="1426"/>
      <c r="K26" s="1428"/>
      <c r="L26" s="1280"/>
      <c r="M26" s="1280"/>
      <c r="N26" s="624">
        <v>45351</v>
      </c>
      <c r="O26" s="1276"/>
      <c r="P26" s="619">
        <v>27216.2</v>
      </c>
      <c r="Q26" s="620">
        <v>45365</v>
      </c>
      <c r="R26" s="621"/>
      <c r="S26" s="622"/>
      <c r="T26" s="622"/>
      <c r="U26" s="1278"/>
      <c r="V26" s="1282"/>
      <c r="W26" s="1284"/>
      <c r="X26" s="110">
        <v>2</v>
      </c>
    </row>
    <row r="27" spans="1:24" s="110" customFormat="1" x14ac:dyDescent="0.25">
      <c r="A27" s="1274"/>
      <c r="B27" s="1280"/>
      <c r="C27" s="1280"/>
      <c r="D27" s="1280"/>
      <c r="E27" s="1280"/>
      <c r="F27" s="1276"/>
      <c r="G27" s="1612"/>
      <c r="H27" s="1614"/>
      <c r="I27" s="1616"/>
      <c r="J27" s="1426"/>
      <c r="K27" s="1428"/>
      <c r="L27" s="1280"/>
      <c r="M27" s="1280"/>
      <c r="N27" s="624">
        <v>45352</v>
      </c>
      <c r="O27" s="1276"/>
      <c r="P27" s="619">
        <v>46978.57</v>
      </c>
      <c r="Q27" s="620">
        <v>45352</v>
      </c>
      <c r="R27" s="621"/>
      <c r="S27" s="622"/>
      <c r="T27" s="622"/>
      <c r="U27" s="1278"/>
      <c r="V27" s="1282"/>
      <c r="W27" s="1284"/>
      <c r="X27" s="110">
        <v>2</v>
      </c>
    </row>
    <row r="28" spans="1:24" s="110" customFormat="1" x14ac:dyDescent="0.25">
      <c r="A28" s="1274"/>
      <c r="B28" s="1280"/>
      <c r="C28" s="1280"/>
      <c r="D28" s="1280"/>
      <c r="E28" s="1280"/>
      <c r="F28" s="1276"/>
      <c r="G28" s="1612"/>
      <c r="H28" s="1614"/>
      <c r="I28" s="1616"/>
      <c r="J28" s="1426"/>
      <c r="K28" s="1428"/>
      <c r="L28" s="1280"/>
      <c r="M28" s="1280"/>
      <c r="N28" s="624">
        <v>45352</v>
      </c>
      <c r="O28" s="1276"/>
      <c r="P28" s="619">
        <v>58728.04</v>
      </c>
      <c r="Q28" s="620">
        <v>45365</v>
      </c>
      <c r="R28" s="621"/>
      <c r="S28" s="622"/>
      <c r="T28" s="622"/>
      <c r="U28" s="1278"/>
      <c r="V28" s="1282"/>
      <c r="W28" s="1284"/>
      <c r="X28" s="110">
        <v>2</v>
      </c>
    </row>
    <row r="29" spans="1:24" s="110" customFormat="1" x14ac:dyDescent="0.25">
      <c r="A29" s="1274"/>
      <c r="B29" s="1280"/>
      <c r="C29" s="1280"/>
      <c r="D29" s="1280"/>
      <c r="E29" s="1280"/>
      <c r="F29" s="1276"/>
      <c r="G29" s="1612"/>
      <c r="H29" s="1614"/>
      <c r="I29" s="1616"/>
      <c r="J29" s="1426"/>
      <c r="K29" s="1428"/>
      <c r="L29" s="1280"/>
      <c r="M29" s="1280"/>
      <c r="N29" s="624">
        <v>45382</v>
      </c>
      <c r="O29" s="1276"/>
      <c r="P29" s="619">
        <v>1422.68</v>
      </c>
      <c r="Q29" s="620">
        <v>45398</v>
      </c>
      <c r="R29" s="621"/>
      <c r="S29" s="622"/>
      <c r="T29" s="622"/>
      <c r="U29" s="1278"/>
      <c r="V29" s="1282"/>
      <c r="W29" s="1284"/>
      <c r="X29" s="110">
        <v>2</v>
      </c>
    </row>
    <row r="30" spans="1:24" s="110" customFormat="1" x14ac:dyDescent="0.25">
      <c r="A30" s="1274"/>
      <c r="B30" s="1280"/>
      <c r="C30" s="1280"/>
      <c r="D30" s="1280"/>
      <c r="E30" s="1280"/>
      <c r="F30" s="1276"/>
      <c r="G30" s="1612"/>
      <c r="H30" s="1614"/>
      <c r="I30" s="1616"/>
      <c r="J30" s="1426"/>
      <c r="K30" s="1428"/>
      <c r="L30" s="1280"/>
      <c r="M30" s="1280"/>
      <c r="N30" s="624">
        <v>45383</v>
      </c>
      <c r="O30" s="1276"/>
      <c r="P30" s="619">
        <v>44046.02</v>
      </c>
      <c r="Q30" s="620">
        <v>45383</v>
      </c>
      <c r="R30" s="621"/>
      <c r="S30" s="622"/>
      <c r="T30" s="622"/>
      <c r="U30" s="1278"/>
      <c r="V30" s="1282"/>
      <c r="W30" s="1284"/>
      <c r="X30" s="110">
        <v>2</v>
      </c>
    </row>
    <row r="31" spans="1:24" s="110" customFormat="1" x14ac:dyDescent="0.25">
      <c r="A31" s="1274"/>
      <c r="B31" s="1280"/>
      <c r="C31" s="1280"/>
      <c r="D31" s="1280"/>
      <c r="E31" s="1280"/>
      <c r="F31" s="1276"/>
      <c r="G31" s="1612"/>
      <c r="H31" s="1614"/>
      <c r="I31" s="1616"/>
      <c r="J31" s="1426"/>
      <c r="K31" s="1428"/>
      <c r="L31" s="1280"/>
      <c r="M31" s="1280"/>
      <c r="N31" s="624">
        <v>45383</v>
      </c>
      <c r="O31" s="1276"/>
      <c r="P31" s="619">
        <v>47195.78</v>
      </c>
      <c r="Q31" s="620">
        <v>45398</v>
      </c>
      <c r="R31" s="621"/>
      <c r="S31" s="622"/>
      <c r="T31" s="622"/>
      <c r="U31" s="1278"/>
      <c r="V31" s="1282"/>
      <c r="W31" s="1284"/>
      <c r="X31" s="110">
        <v>2</v>
      </c>
    </row>
    <row r="32" spans="1:24" s="110" customFormat="1" x14ac:dyDescent="0.25">
      <c r="A32" s="1274"/>
      <c r="B32" s="1280"/>
      <c r="C32" s="1280"/>
      <c r="D32" s="1280"/>
      <c r="E32" s="1280"/>
      <c r="F32" s="1276"/>
      <c r="G32" s="1612"/>
      <c r="H32" s="1614"/>
      <c r="I32" s="1616"/>
      <c r="J32" s="1426"/>
      <c r="K32" s="1428"/>
      <c r="L32" s="1280"/>
      <c r="M32" s="1280"/>
      <c r="N32" s="624">
        <v>45413</v>
      </c>
      <c r="O32" s="1276"/>
      <c r="P32" s="619">
        <v>35396.839999999997</v>
      </c>
      <c r="Q32" s="620">
        <v>45415</v>
      </c>
      <c r="R32" s="621"/>
      <c r="S32" s="622"/>
      <c r="T32" s="622"/>
      <c r="U32" s="1278"/>
      <c r="V32" s="1282"/>
      <c r="W32" s="1284"/>
      <c r="X32" s="110">
        <v>2</v>
      </c>
    </row>
    <row r="33" spans="1:24" s="110" customFormat="1" x14ac:dyDescent="0.25">
      <c r="A33" s="1274"/>
      <c r="B33" s="1280"/>
      <c r="C33" s="1280"/>
      <c r="D33" s="1280"/>
      <c r="E33" s="1280"/>
      <c r="F33" s="1276"/>
      <c r="G33" s="1612"/>
      <c r="H33" s="1614"/>
      <c r="I33" s="1616"/>
      <c r="J33" s="1426"/>
      <c r="K33" s="1428"/>
      <c r="L33" s="1280"/>
      <c r="M33" s="1280"/>
      <c r="N33" s="624">
        <v>45413</v>
      </c>
      <c r="O33" s="1276"/>
      <c r="P33" s="619">
        <v>16003.2</v>
      </c>
      <c r="Q33" s="620">
        <v>45428</v>
      </c>
      <c r="R33" s="621"/>
      <c r="S33" s="622"/>
      <c r="T33" s="622"/>
      <c r="U33" s="1278"/>
      <c r="V33" s="1282"/>
      <c r="W33" s="1284"/>
      <c r="X33" s="110">
        <v>2</v>
      </c>
    </row>
    <row r="34" spans="1:24" s="110" customFormat="1" x14ac:dyDescent="0.25">
      <c r="A34" s="1274"/>
      <c r="B34" s="1280"/>
      <c r="C34" s="1280"/>
      <c r="D34" s="1280"/>
      <c r="E34" s="1280"/>
      <c r="F34" s="1276"/>
      <c r="G34" s="1612"/>
      <c r="H34" s="1614"/>
      <c r="I34" s="1616"/>
      <c r="J34" s="1426"/>
      <c r="K34" s="1428"/>
      <c r="L34" s="1280"/>
      <c r="M34" s="1280"/>
      <c r="N34" s="624">
        <v>45444</v>
      </c>
      <c r="O34" s="1276"/>
      <c r="P34" s="619">
        <v>11999.1</v>
      </c>
      <c r="Q34" s="620">
        <v>45446</v>
      </c>
      <c r="R34" s="621"/>
      <c r="S34" s="622"/>
      <c r="T34" s="622"/>
      <c r="U34" s="1278"/>
      <c r="V34" s="1282"/>
      <c r="W34" s="1284"/>
      <c r="X34" s="110">
        <v>2</v>
      </c>
    </row>
    <row r="35" spans="1:24" s="110" customFormat="1" x14ac:dyDescent="0.25">
      <c r="A35" s="1274"/>
      <c r="B35" s="1280"/>
      <c r="C35" s="1280"/>
      <c r="D35" s="1280"/>
      <c r="E35" s="1280"/>
      <c r="F35" s="1276"/>
      <c r="G35" s="1612"/>
      <c r="H35" s="1614"/>
      <c r="I35" s="1616"/>
      <c r="J35" s="1426"/>
      <c r="K35" s="1428"/>
      <c r="L35" s="1280"/>
      <c r="M35" s="1280"/>
      <c r="N35" s="624">
        <v>45444</v>
      </c>
      <c r="O35" s="1276"/>
      <c r="P35" s="619">
        <v>18119.52</v>
      </c>
      <c r="Q35" s="620">
        <v>45460</v>
      </c>
      <c r="R35" s="621"/>
      <c r="S35" s="622"/>
      <c r="T35" s="622"/>
      <c r="U35" s="1278"/>
      <c r="V35" s="1282"/>
      <c r="W35" s="1284"/>
      <c r="X35" s="110">
        <v>2</v>
      </c>
    </row>
    <row r="36" spans="1:24" s="110" customFormat="1" x14ac:dyDescent="0.25">
      <c r="A36" s="1274"/>
      <c r="B36" s="1280"/>
      <c r="C36" s="1280"/>
      <c r="D36" s="1280"/>
      <c r="E36" s="1280"/>
      <c r="F36" s="1276"/>
      <c r="G36" s="1612"/>
      <c r="H36" s="1614"/>
      <c r="I36" s="1616"/>
      <c r="J36" s="1426"/>
      <c r="K36" s="1428"/>
      <c r="L36" s="1280"/>
      <c r="M36" s="1280"/>
      <c r="N36" s="624">
        <v>45474</v>
      </c>
      <c r="O36" s="1276"/>
      <c r="P36" s="619">
        <v>14414.53</v>
      </c>
      <c r="Q36" s="620">
        <v>45475</v>
      </c>
      <c r="R36" s="621"/>
      <c r="S36" s="622"/>
      <c r="T36" s="622"/>
      <c r="U36" s="1278"/>
      <c r="V36" s="1282"/>
      <c r="W36" s="1284"/>
      <c r="X36" s="110">
        <v>2</v>
      </c>
    </row>
    <row r="37" spans="1:24" s="110" customFormat="1" x14ac:dyDescent="0.25">
      <c r="A37" s="1274"/>
      <c r="B37" s="1280"/>
      <c r="C37" s="1280"/>
      <c r="D37" s="1280"/>
      <c r="E37" s="1280"/>
      <c r="F37" s="1276"/>
      <c r="G37" s="1612"/>
      <c r="H37" s="1614"/>
      <c r="I37" s="1616"/>
      <c r="J37" s="1426"/>
      <c r="K37" s="1428"/>
      <c r="L37" s="1280"/>
      <c r="M37" s="1280"/>
      <c r="N37" s="624">
        <v>45474</v>
      </c>
      <c r="O37" s="1276"/>
      <c r="P37" s="619">
        <v>13461.77</v>
      </c>
      <c r="Q37" s="620">
        <v>45488</v>
      </c>
      <c r="R37" s="621"/>
      <c r="S37" s="622"/>
      <c r="T37" s="622"/>
      <c r="U37" s="1278"/>
      <c r="V37" s="1282"/>
      <c r="W37" s="1284"/>
      <c r="X37" s="110">
        <v>2</v>
      </c>
    </row>
    <row r="38" spans="1:24" s="110" customFormat="1" x14ac:dyDescent="0.25">
      <c r="A38" s="1274"/>
      <c r="B38" s="1280"/>
      <c r="C38" s="1280"/>
      <c r="D38" s="1280"/>
      <c r="E38" s="1280"/>
      <c r="F38" s="1276"/>
      <c r="G38" s="1612"/>
      <c r="H38" s="1614"/>
      <c r="I38" s="1616"/>
      <c r="J38" s="1426"/>
      <c r="K38" s="1428"/>
      <c r="L38" s="1280"/>
      <c r="M38" s="1280"/>
      <c r="N38" s="624">
        <v>45505</v>
      </c>
      <c r="O38" s="1276"/>
      <c r="P38" s="619">
        <v>10096.32</v>
      </c>
      <c r="Q38" s="620">
        <v>45505</v>
      </c>
      <c r="R38" s="621"/>
      <c r="S38" s="622"/>
      <c r="T38" s="622"/>
      <c r="U38" s="1278"/>
      <c r="V38" s="1282"/>
      <c r="W38" s="1284"/>
      <c r="X38" s="110">
        <v>2</v>
      </c>
    </row>
    <row r="39" spans="1:24" s="80" customFormat="1" ht="63.6" customHeight="1" x14ac:dyDescent="0.25">
      <c r="A39" s="1288">
        <v>3</v>
      </c>
      <c r="B39" s="1294" t="s">
        <v>56</v>
      </c>
      <c r="C39" s="1294" t="s">
        <v>147</v>
      </c>
      <c r="D39" s="1294" t="s">
        <v>158</v>
      </c>
      <c r="E39" s="1294" t="s">
        <v>176</v>
      </c>
      <c r="F39" s="1306">
        <v>45289</v>
      </c>
      <c r="G39" s="1309" t="s">
        <v>177</v>
      </c>
      <c r="H39" s="1297">
        <v>22628.22</v>
      </c>
      <c r="I39" s="1300">
        <f>IF(X39 = 33, H39 + SUM(S39:S44) - SUM(T39:T44) - SUM(P39:P44) - V39,0)</f>
        <v>3.637978807091713E-12</v>
      </c>
      <c r="J39" s="1303">
        <v>2308131994</v>
      </c>
      <c r="K39" s="1291" t="s">
        <v>178</v>
      </c>
      <c r="L39" s="1294" t="s">
        <v>147</v>
      </c>
      <c r="M39" s="1294" t="s">
        <v>175</v>
      </c>
      <c r="N39" s="326">
        <v>45322</v>
      </c>
      <c r="O39" s="1306" t="s">
        <v>179</v>
      </c>
      <c r="P39" s="315">
        <v>3771.37</v>
      </c>
      <c r="Q39" s="316">
        <v>45327</v>
      </c>
      <c r="R39" s="317"/>
      <c r="S39" s="318"/>
      <c r="T39" s="318"/>
      <c r="U39" s="1297"/>
      <c r="V39" s="1429"/>
      <c r="W39" s="1413"/>
      <c r="X39" s="80">
        <v>33</v>
      </c>
    </row>
    <row r="40" spans="1:24" s="110" customFormat="1" x14ac:dyDescent="0.25">
      <c r="A40" s="1289"/>
      <c r="B40" s="1295"/>
      <c r="C40" s="1295"/>
      <c r="D40" s="1295"/>
      <c r="E40" s="1295"/>
      <c r="F40" s="1307"/>
      <c r="G40" s="1310"/>
      <c r="H40" s="1298"/>
      <c r="I40" s="1301"/>
      <c r="J40" s="1304"/>
      <c r="K40" s="1292"/>
      <c r="L40" s="1295"/>
      <c r="M40" s="1295"/>
      <c r="N40" s="327">
        <v>45351</v>
      </c>
      <c r="O40" s="1307"/>
      <c r="P40" s="319">
        <v>3771.37</v>
      </c>
      <c r="Q40" s="320">
        <v>45363</v>
      </c>
      <c r="R40" s="321"/>
      <c r="S40" s="322"/>
      <c r="T40" s="322"/>
      <c r="U40" s="1298"/>
      <c r="V40" s="1430"/>
      <c r="W40" s="1414"/>
      <c r="X40" s="110">
        <v>33</v>
      </c>
    </row>
    <row r="41" spans="1:24" s="110" customFormat="1" x14ac:dyDescent="0.25">
      <c r="A41" s="1289"/>
      <c r="B41" s="1295"/>
      <c r="C41" s="1295"/>
      <c r="D41" s="1295"/>
      <c r="E41" s="1295"/>
      <c r="F41" s="1307"/>
      <c r="G41" s="1310"/>
      <c r="H41" s="1298"/>
      <c r="I41" s="1301"/>
      <c r="J41" s="1304"/>
      <c r="K41" s="1292"/>
      <c r="L41" s="1295"/>
      <c r="M41" s="1295"/>
      <c r="N41" s="327">
        <v>45382</v>
      </c>
      <c r="O41" s="1307"/>
      <c r="P41" s="319">
        <v>3771.37</v>
      </c>
      <c r="Q41" s="320">
        <v>45385</v>
      </c>
      <c r="R41" s="321"/>
      <c r="S41" s="322"/>
      <c r="T41" s="322"/>
      <c r="U41" s="1298"/>
      <c r="V41" s="1430"/>
      <c r="W41" s="1414"/>
      <c r="X41" s="110">
        <v>33</v>
      </c>
    </row>
    <row r="42" spans="1:24" s="110" customFormat="1" x14ac:dyDescent="0.25">
      <c r="A42" s="1289"/>
      <c r="B42" s="1295"/>
      <c r="C42" s="1295"/>
      <c r="D42" s="1295"/>
      <c r="E42" s="1295"/>
      <c r="F42" s="1307"/>
      <c r="G42" s="1310"/>
      <c r="H42" s="1298"/>
      <c r="I42" s="1301"/>
      <c r="J42" s="1304"/>
      <c r="K42" s="1292"/>
      <c r="L42" s="1295"/>
      <c r="M42" s="1295"/>
      <c r="N42" s="327">
        <v>45412</v>
      </c>
      <c r="O42" s="1307"/>
      <c r="P42" s="319">
        <v>3771.37</v>
      </c>
      <c r="Q42" s="320">
        <v>45419</v>
      </c>
      <c r="R42" s="321"/>
      <c r="S42" s="322"/>
      <c r="T42" s="322"/>
      <c r="U42" s="1298"/>
      <c r="V42" s="1430"/>
      <c r="W42" s="1414"/>
      <c r="X42" s="110">
        <v>33</v>
      </c>
    </row>
    <row r="43" spans="1:24" s="110" customFormat="1" x14ac:dyDescent="0.25">
      <c r="A43" s="1289"/>
      <c r="B43" s="1295"/>
      <c r="C43" s="1295"/>
      <c r="D43" s="1295"/>
      <c r="E43" s="1295"/>
      <c r="F43" s="1307"/>
      <c r="G43" s="1310"/>
      <c r="H43" s="1298"/>
      <c r="I43" s="1301"/>
      <c r="J43" s="1304"/>
      <c r="K43" s="1292"/>
      <c r="L43" s="1295"/>
      <c r="M43" s="1295"/>
      <c r="N43" s="327">
        <v>45443</v>
      </c>
      <c r="O43" s="1307"/>
      <c r="P43" s="319">
        <v>3771.37</v>
      </c>
      <c r="Q43" s="320">
        <v>45454</v>
      </c>
      <c r="R43" s="321"/>
      <c r="S43" s="322"/>
      <c r="T43" s="322"/>
      <c r="U43" s="1298"/>
      <c r="V43" s="1430"/>
      <c r="W43" s="1414"/>
      <c r="X43" s="110">
        <v>33</v>
      </c>
    </row>
    <row r="44" spans="1:24" s="110" customFormat="1" x14ac:dyDescent="0.25">
      <c r="A44" s="1290"/>
      <c r="B44" s="1296"/>
      <c r="C44" s="1296"/>
      <c r="D44" s="1296"/>
      <c r="E44" s="1296"/>
      <c r="F44" s="1308"/>
      <c r="G44" s="1311"/>
      <c r="H44" s="1299"/>
      <c r="I44" s="1302"/>
      <c r="J44" s="1305"/>
      <c r="K44" s="1293"/>
      <c r="L44" s="1296"/>
      <c r="M44" s="1296"/>
      <c r="N44" s="328">
        <v>45473</v>
      </c>
      <c r="O44" s="1308"/>
      <c r="P44" s="453">
        <v>3771.37</v>
      </c>
      <c r="Q44" s="324">
        <v>45477</v>
      </c>
      <c r="R44" s="325"/>
      <c r="S44" s="323"/>
      <c r="T44" s="323"/>
      <c r="U44" s="1299"/>
      <c r="V44" s="1431"/>
      <c r="W44" s="1415"/>
      <c r="X44" s="110">
        <v>33</v>
      </c>
    </row>
    <row r="45" spans="1:24" s="80" customFormat="1" ht="54" customHeight="1" x14ac:dyDescent="0.25">
      <c r="A45" s="1285">
        <v>4</v>
      </c>
      <c r="B45" s="1232" t="s">
        <v>56</v>
      </c>
      <c r="C45" s="1232" t="s">
        <v>147</v>
      </c>
      <c r="D45" s="1232" t="s">
        <v>158</v>
      </c>
      <c r="E45" s="1232" t="s">
        <v>180</v>
      </c>
      <c r="F45" s="1235">
        <v>45289</v>
      </c>
      <c r="G45" s="1238" t="s">
        <v>181</v>
      </c>
      <c r="H45" s="1241">
        <v>24000</v>
      </c>
      <c r="I45" s="1244">
        <f>IF(X45 = 34, H45 + SUM(S45:S56) - SUM(T45:T56) - SUM(P45:P56) - V45,0)</f>
        <v>0</v>
      </c>
      <c r="J45" s="1247">
        <v>2353002302</v>
      </c>
      <c r="K45" s="1250" t="s">
        <v>182</v>
      </c>
      <c r="L45" s="1232" t="s">
        <v>147</v>
      </c>
      <c r="M45" s="1232" t="s">
        <v>175</v>
      </c>
      <c r="N45" s="829">
        <v>45322</v>
      </c>
      <c r="O45" s="1235" t="s">
        <v>183</v>
      </c>
      <c r="P45" s="818">
        <v>2000</v>
      </c>
      <c r="Q45" s="819">
        <v>45327</v>
      </c>
      <c r="R45" s="820"/>
      <c r="S45" s="821"/>
      <c r="T45" s="821"/>
      <c r="U45" s="1241"/>
      <c r="V45" s="1226"/>
      <c r="W45" s="1229"/>
      <c r="X45" s="80">
        <v>34</v>
      </c>
    </row>
    <row r="46" spans="1:24" s="110" customFormat="1" x14ac:dyDescent="0.25">
      <c r="A46" s="1286"/>
      <c r="B46" s="1233"/>
      <c r="C46" s="1233"/>
      <c r="D46" s="1233"/>
      <c r="E46" s="1233"/>
      <c r="F46" s="1236"/>
      <c r="G46" s="1239"/>
      <c r="H46" s="1242"/>
      <c r="I46" s="1245"/>
      <c r="J46" s="1248"/>
      <c r="K46" s="1251"/>
      <c r="L46" s="1233"/>
      <c r="M46" s="1233"/>
      <c r="N46" s="830">
        <v>45351</v>
      </c>
      <c r="O46" s="1236"/>
      <c r="P46" s="822">
        <v>2000</v>
      </c>
      <c r="Q46" s="823">
        <v>45351</v>
      </c>
      <c r="R46" s="824"/>
      <c r="S46" s="825"/>
      <c r="T46" s="825"/>
      <c r="U46" s="1242"/>
      <c r="V46" s="1227"/>
      <c r="W46" s="1230"/>
      <c r="X46" s="110">
        <v>34</v>
      </c>
    </row>
    <row r="47" spans="1:24" s="110" customFormat="1" x14ac:dyDescent="0.25">
      <c r="A47" s="1286"/>
      <c r="B47" s="1233"/>
      <c r="C47" s="1233"/>
      <c r="D47" s="1233"/>
      <c r="E47" s="1233"/>
      <c r="F47" s="1236"/>
      <c r="G47" s="1239"/>
      <c r="H47" s="1242"/>
      <c r="I47" s="1245"/>
      <c r="J47" s="1248"/>
      <c r="K47" s="1251"/>
      <c r="L47" s="1233"/>
      <c r="M47" s="1233"/>
      <c r="N47" s="830">
        <v>45382</v>
      </c>
      <c r="O47" s="1236"/>
      <c r="P47" s="822">
        <v>2000</v>
      </c>
      <c r="Q47" s="823">
        <v>45385</v>
      </c>
      <c r="R47" s="824"/>
      <c r="S47" s="825"/>
      <c r="T47" s="825"/>
      <c r="U47" s="1242"/>
      <c r="V47" s="1227"/>
      <c r="W47" s="1230"/>
      <c r="X47" s="110">
        <v>34</v>
      </c>
    </row>
    <row r="48" spans="1:24" s="110" customFormat="1" x14ac:dyDescent="0.25">
      <c r="A48" s="1286"/>
      <c r="B48" s="1233"/>
      <c r="C48" s="1233"/>
      <c r="D48" s="1233"/>
      <c r="E48" s="1233"/>
      <c r="F48" s="1236"/>
      <c r="G48" s="1239"/>
      <c r="H48" s="1242"/>
      <c r="I48" s="1245"/>
      <c r="J48" s="1248"/>
      <c r="K48" s="1251"/>
      <c r="L48" s="1233"/>
      <c r="M48" s="1233"/>
      <c r="N48" s="830">
        <v>45412</v>
      </c>
      <c r="O48" s="1236"/>
      <c r="P48" s="822">
        <v>2000</v>
      </c>
      <c r="Q48" s="823">
        <v>45419</v>
      </c>
      <c r="R48" s="824"/>
      <c r="S48" s="825"/>
      <c r="T48" s="825"/>
      <c r="U48" s="1242"/>
      <c r="V48" s="1227"/>
      <c r="W48" s="1230"/>
      <c r="X48" s="110">
        <v>34</v>
      </c>
    </row>
    <row r="49" spans="1:24" s="110" customFormat="1" x14ac:dyDescent="0.25">
      <c r="A49" s="1286"/>
      <c r="B49" s="1233"/>
      <c r="C49" s="1233"/>
      <c r="D49" s="1233"/>
      <c r="E49" s="1233"/>
      <c r="F49" s="1236"/>
      <c r="G49" s="1239"/>
      <c r="H49" s="1242"/>
      <c r="I49" s="1245"/>
      <c r="J49" s="1248"/>
      <c r="K49" s="1251"/>
      <c r="L49" s="1233"/>
      <c r="M49" s="1233"/>
      <c r="N49" s="830">
        <v>45443</v>
      </c>
      <c r="O49" s="1236"/>
      <c r="P49" s="822">
        <v>2000</v>
      </c>
      <c r="Q49" s="823">
        <v>45448</v>
      </c>
      <c r="R49" s="824"/>
      <c r="S49" s="825"/>
      <c r="T49" s="825"/>
      <c r="U49" s="1242"/>
      <c r="V49" s="1227"/>
      <c r="W49" s="1230"/>
      <c r="X49" s="110">
        <v>34</v>
      </c>
    </row>
    <row r="50" spans="1:24" s="110" customFormat="1" x14ac:dyDescent="0.25">
      <c r="A50" s="1286"/>
      <c r="B50" s="1233"/>
      <c r="C50" s="1233"/>
      <c r="D50" s="1233"/>
      <c r="E50" s="1233"/>
      <c r="F50" s="1236"/>
      <c r="G50" s="1239"/>
      <c r="H50" s="1242"/>
      <c r="I50" s="1245"/>
      <c r="J50" s="1248"/>
      <c r="K50" s="1251"/>
      <c r="L50" s="1233"/>
      <c r="M50" s="1233"/>
      <c r="N50" s="830">
        <v>45473</v>
      </c>
      <c r="O50" s="1236"/>
      <c r="P50" s="822">
        <v>2000</v>
      </c>
      <c r="Q50" s="823">
        <v>45477</v>
      </c>
      <c r="R50" s="824"/>
      <c r="S50" s="825"/>
      <c r="T50" s="825"/>
      <c r="U50" s="1242"/>
      <c r="V50" s="1227"/>
      <c r="W50" s="1230"/>
      <c r="X50" s="110">
        <v>34</v>
      </c>
    </row>
    <row r="51" spans="1:24" s="110" customFormat="1" x14ac:dyDescent="0.25">
      <c r="A51" s="1286"/>
      <c r="B51" s="1233"/>
      <c r="C51" s="1233"/>
      <c r="D51" s="1233"/>
      <c r="E51" s="1233"/>
      <c r="F51" s="1236"/>
      <c r="G51" s="1239"/>
      <c r="H51" s="1242"/>
      <c r="I51" s="1245"/>
      <c r="J51" s="1248"/>
      <c r="K51" s="1251"/>
      <c r="L51" s="1233"/>
      <c r="M51" s="1233"/>
      <c r="N51" s="830">
        <v>45504</v>
      </c>
      <c r="O51" s="1236"/>
      <c r="P51" s="822">
        <v>2000</v>
      </c>
      <c r="Q51" s="823">
        <v>45505</v>
      </c>
      <c r="R51" s="824"/>
      <c r="S51" s="825"/>
      <c r="T51" s="825"/>
      <c r="U51" s="1242"/>
      <c r="V51" s="1227"/>
      <c r="W51" s="1230"/>
      <c r="X51" s="110">
        <v>34</v>
      </c>
    </row>
    <row r="52" spans="1:24" s="110" customFormat="1" x14ac:dyDescent="0.25">
      <c r="A52" s="1286"/>
      <c r="B52" s="1233"/>
      <c r="C52" s="1233"/>
      <c r="D52" s="1233"/>
      <c r="E52" s="1233"/>
      <c r="F52" s="1236"/>
      <c r="G52" s="1239"/>
      <c r="H52" s="1242"/>
      <c r="I52" s="1245"/>
      <c r="J52" s="1248"/>
      <c r="K52" s="1251"/>
      <c r="L52" s="1233"/>
      <c r="M52" s="1233"/>
      <c r="N52" s="830">
        <v>45535</v>
      </c>
      <c r="O52" s="1236"/>
      <c r="P52" s="822">
        <v>2000</v>
      </c>
      <c r="Q52" s="823">
        <v>45539</v>
      </c>
      <c r="R52" s="824"/>
      <c r="S52" s="825"/>
      <c r="T52" s="825"/>
      <c r="U52" s="1242"/>
      <c r="V52" s="1227"/>
      <c r="W52" s="1230"/>
      <c r="X52" s="110">
        <v>34</v>
      </c>
    </row>
    <row r="53" spans="1:24" s="110" customFormat="1" x14ac:dyDescent="0.25">
      <c r="A53" s="1286"/>
      <c r="B53" s="1233"/>
      <c r="C53" s="1233"/>
      <c r="D53" s="1233"/>
      <c r="E53" s="1233"/>
      <c r="F53" s="1236"/>
      <c r="G53" s="1239"/>
      <c r="H53" s="1242"/>
      <c r="I53" s="1245"/>
      <c r="J53" s="1248"/>
      <c r="K53" s="1251"/>
      <c r="L53" s="1233"/>
      <c r="M53" s="1233"/>
      <c r="N53" s="830">
        <v>45565</v>
      </c>
      <c r="O53" s="1236"/>
      <c r="P53" s="822">
        <v>2000</v>
      </c>
      <c r="Q53" s="823">
        <v>45568</v>
      </c>
      <c r="R53" s="824"/>
      <c r="S53" s="825"/>
      <c r="T53" s="825"/>
      <c r="U53" s="1242"/>
      <c r="V53" s="1227"/>
      <c r="W53" s="1230"/>
      <c r="X53" s="110">
        <v>34</v>
      </c>
    </row>
    <row r="54" spans="1:24" s="110" customFormat="1" x14ac:dyDescent="0.25">
      <c r="A54" s="1286"/>
      <c r="B54" s="1233"/>
      <c r="C54" s="1233"/>
      <c r="D54" s="1233"/>
      <c r="E54" s="1233"/>
      <c r="F54" s="1236"/>
      <c r="G54" s="1239"/>
      <c r="H54" s="1242"/>
      <c r="I54" s="1245"/>
      <c r="J54" s="1248"/>
      <c r="K54" s="1251"/>
      <c r="L54" s="1233"/>
      <c r="M54" s="1233"/>
      <c r="N54" s="830">
        <v>45596</v>
      </c>
      <c r="O54" s="1236"/>
      <c r="P54" s="822">
        <v>2000</v>
      </c>
      <c r="Q54" s="823">
        <v>45608</v>
      </c>
      <c r="R54" s="824"/>
      <c r="S54" s="825"/>
      <c r="T54" s="825"/>
      <c r="U54" s="1242"/>
      <c r="V54" s="1227"/>
      <c r="W54" s="1230"/>
      <c r="X54" s="110">
        <v>34</v>
      </c>
    </row>
    <row r="55" spans="1:24" s="110" customFormat="1" x14ac:dyDescent="0.25">
      <c r="A55" s="1286"/>
      <c r="B55" s="1233"/>
      <c r="C55" s="1233"/>
      <c r="D55" s="1233"/>
      <c r="E55" s="1233"/>
      <c r="F55" s="1236"/>
      <c r="G55" s="1239"/>
      <c r="H55" s="1242"/>
      <c r="I55" s="1245"/>
      <c r="J55" s="1248"/>
      <c r="K55" s="1251"/>
      <c r="L55" s="1233"/>
      <c r="M55" s="1233"/>
      <c r="N55" s="830">
        <v>45626</v>
      </c>
      <c r="O55" s="1236"/>
      <c r="P55" s="822">
        <v>2000</v>
      </c>
      <c r="Q55" s="823">
        <v>45629</v>
      </c>
      <c r="R55" s="824"/>
      <c r="S55" s="825"/>
      <c r="T55" s="825"/>
      <c r="U55" s="1242"/>
      <c r="V55" s="1227"/>
      <c r="W55" s="1230"/>
      <c r="X55" s="110">
        <v>34</v>
      </c>
    </row>
    <row r="56" spans="1:24" s="110" customFormat="1" x14ac:dyDescent="0.25">
      <c r="A56" s="1287"/>
      <c r="B56" s="1234"/>
      <c r="C56" s="1234"/>
      <c r="D56" s="1234"/>
      <c r="E56" s="1234"/>
      <c r="F56" s="1237"/>
      <c r="G56" s="1240"/>
      <c r="H56" s="1243"/>
      <c r="I56" s="1246"/>
      <c r="J56" s="1249"/>
      <c r="K56" s="1252"/>
      <c r="L56" s="1234"/>
      <c r="M56" s="1234"/>
      <c r="N56" s="831">
        <v>45645</v>
      </c>
      <c r="O56" s="1237"/>
      <c r="P56" s="938">
        <v>2000</v>
      </c>
      <c r="Q56" s="827">
        <v>45646</v>
      </c>
      <c r="R56" s="828"/>
      <c r="S56" s="826"/>
      <c r="T56" s="826"/>
      <c r="U56" s="1243"/>
      <c r="V56" s="1228"/>
      <c r="W56" s="1231"/>
      <c r="X56" s="110">
        <v>34</v>
      </c>
    </row>
    <row r="57" spans="1:24" s="80" customFormat="1" ht="72" customHeight="1" x14ac:dyDescent="0.25">
      <c r="A57" s="1285">
        <v>5</v>
      </c>
      <c r="B57" s="1232" t="s">
        <v>56</v>
      </c>
      <c r="C57" s="1232" t="s">
        <v>147</v>
      </c>
      <c r="D57" s="1232" t="s">
        <v>158</v>
      </c>
      <c r="E57" s="1232" t="s">
        <v>184</v>
      </c>
      <c r="F57" s="1235">
        <v>45289</v>
      </c>
      <c r="G57" s="1238" t="s">
        <v>185</v>
      </c>
      <c r="H57" s="1241">
        <v>36000</v>
      </c>
      <c r="I57" s="1244">
        <f>IF(X57 = 35, H57 + SUM(S57:S68) - SUM(T57:T68) - SUM(P57:P68) - V57,0)</f>
        <v>0</v>
      </c>
      <c r="J57" s="1247">
        <v>2353002302</v>
      </c>
      <c r="K57" s="1250" t="s">
        <v>182</v>
      </c>
      <c r="L57" s="1232" t="s">
        <v>147</v>
      </c>
      <c r="M57" s="1232" t="s">
        <v>175</v>
      </c>
      <c r="N57" s="829">
        <v>45322</v>
      </c>
      <c r="O57" s="1235" t="s">
        <v>203</v>
      </c>
      <c r="P57" s="818">
        <v>3000</v>
      </c>
      <c r="Q57" s="819">
        <v>45327</v>
      </c>
      <c r="R57" s="820"/>
      <c r="S57" s="821"/>
      <c r="T57" s="821"/>
      <c r="U57" s="1241"/>
      <c r="V57" s="1226"/>
      <c r="W57" s="1229"/>
      <c r="X57" s="80">
        <v>35</v>
      </c>
    </row>
    <row r="58" spans="1:24" s="110" customFormat="1" x14ac:dyDescent="0.25">
      <c r="A58" s="1286"/>
      <c r="B58" s="1233"/>
      <c r="C58" s="1233"/>
      <c r="D58" s="1233"/>
      <c r="E58" s="1233"/>
      <c r="F58" s="1236"/>
      <c r="G58" s="1239"/>
      <c r="H58" s="1242"/>
      <c r="I58" s="1245"/>
      <c r="J58" s="1248"/>
      <c r="K58" s="1251"/>
      <c r="L58" s="1233"/>
      <c r="M58" s="1233"/>
      <c r="N58" s="830">
        <v>45351</v>
      </c>
      <c r="O58" s="1236"/>
      <c r="P58" s="822">
        <v>3000</v>
      </c>
      <c r="Q58" s="823">
        <v>45351</v>
      </c>
      <c r="R58" s="824"/>
      <c r="S58" s="825"/>
      <c r="T58" s="825"/>
      <c r="U58" s="1242"/>
      <c r="V58" s="1227"/>
      <c r="W58" s="1230"/>
      <c r="X58" s="110">
        <v>35</v>
      </c>
    </row>
    <row r="59" spans="1:24" s="110" customFormat="1" x14ac:dyDescent="0.25">
      <c r="A59" s="1286"/>
      <c r="B59" s="1233"/>
      <c r="C59" s="1233"/>
      <c r="D59" s="1233"/>
      <c r="E59" s="1233"/>
      <c r="F59" s="1236"/>
      <c r="G59" s="1239"/>
      <c r="H59" s="1242"/>
      <c r="I59" s="1245"/>
      <c r="J59" s="1248"/>
      <c r="K59" s="1251"/>
      <c r="L59" s="1233"/>
      <c r="M59" s="1233"/>
      <c r="N59" s="830">
        <v>45382</v>
      </c>
      <c r="O59" s="1236"/>
      <c r="P59" s="822">
        <v>3000</v>
      </c>
      <c r="Q59" s="823">
        <v>38080</v>
      </c>
      <c r="R59" s="824"/>
      <c r="S59" s="825"/>
      <c r="T59" s="825"/>
      <c r="U59" s="1242"/>
      <c r="V59" s="1227"/>
      <c r="W59" s="1230"/>
      <c r="X59" s="110">
        <v>35</v>
      </c>
    </row>
    <row r="60" spans="1:24" s="110" customFormat="1" x14ac:dyDescent="0.25">
      <c r="A60" s="1286"/>
      <c r="B60" s="1233"/>
      <c r="C60" s="1233"/>
      <c r="D60" s="1233"/>
      <c r="E60" s="1233"/>
      <c r="F60" s="1236"/>
      <c r="G60" s="1239"/>
      <c r="H60" s="1242"/>
      <c r="I60" s="1245"/>
      <c r="J60" s="1248"/>
      <c r="K60" s="1251"/>
      <c r="L60" s="1233"/>
      <c r="M60" s="1233"/>
      <c r="N60" s="830">
        <v>45412</v>
      </c>
      <c r="O60" s="1236"/>
      <c r="P60" s="822">
        <v>3000</v>
      </c>
      <c r="Q60" s="823">
        <v>45419</v>
      </c>
      <c r="R60" s="824"/>
      <c r="S60" s="825"/>
      <c r="T60" s="825"/>
      <c r="U60" s="1242"/>
      <c r="V60" s="1227"/>
      <c r="W60" s="1230"/>
      <c r="X60" s="110">
        <v>35</v>
      </c>
    </row>
    <row r="61" spans="1:24" s="110" customFormat="1" x14ac:dyDescent="0.25">
      <c r="A61" s="1286"/>
      <c r="B61" s="1233"/>
      <c r="C61" s="1233"/>
      <c r="D61" s="1233"/>
      <c r="E61" s="1233"/>
      <c r="F61" s="1236"/>
      <c r="G61" s="1239"/>
      <c r="H61" s="1242"/>
      <c r="I61" s="1245"/>
      <c r="J61" s="1248"/>
      <c r="K61" s="1251"/>
      <c r="L61" s="1233"/>
      <c r="M61" s="1233"/>
      <c r="N61" s="830">
        <v>45443</v>
      </c>
      <c r="O61" s="1236"/>
      <c r="P61" s="822">
        <v>3000</v>
      </c>
      <c r="Q61" s="823">
        <v>45448</v>
      </c>
      <c r="R61" s="824"/>
      <c r="S61" s="825"/>
      <c r="T61" s="825"/>
      <c r="U61" s="1242"/>
      <c r="V61" s="1227"/>
      <c r="W61" s="1230"/>
      <c r="X61" s="110">
        <v>35</v>
      </c>
    </row>
    <row r="62" spans="1:24" s="110" customFormat="1" x14ac:dyDescent="0.25">
      <c r="A62" s="1286"/>
      <c r="B62" s="1233"/>
      <c r="C62" s="1233"/>
      <c r="D62" s="1233"/>
      <c r="E62" s="1233"/>
      <c r="F62" s="1236"/>
      <c r="G62" s="1239"/>
      <c r="H62" s="1242"/>
      <c r="I62" s="1245"/>
      <c r="J62" s="1248"/>
      <c r="K62" s="1251"/>
      <c r="L62" s="1233"/>
      <c r="M62" s="1233"/>
      <c r="N62" s="830">
        <v>45473</v>
      </c>
      <c r="O62" s="1236"/>
      <c r="P62" s="822">
        <v>3000</v>
      </c>
      <c r="Q62" s="823">
        <v>45446</v>
      </c>
      <c r="R62" s="824"/>
      <c r="S62" s="825"/>
      <c r="T62" s="825"/>
      <c r="U62" s="1242"/>
      <c r="V62" s="1227"/>
      <c r="W62" s="1230"/>
      <c r="X62" s="110">
        <v>35</v>
      </c>
    </row>
    <row r="63" spans="1:24" s="110" customFormat="1" x14ac:dyDescent="0.25">
      <c r="A63" s="1286"/>
      <c r="B63" s="1233"/>
      <c r="C63" s="1233"/>
      <c r="D63" s="1233"/>
      <c r="E63" s="1233"/>
      <c r="F63" s="1236"/>
      <c r="G63" s="1239"/>
      <c r="H63" s="1242"/>
      <c r="I63" s="1245"/>
      <c r="J63" s="1248"/>
      <c r="K63" s="1251"/>
      <c r="L63" s="1233"/>
      <c r="M63" s="1233"/>
      <c r="N63" s="830" t="s">
        <v>365</v>
      </c>
      <c r="O63" s="1236"/>
      <c r="P63" s="822">
        <v>3000</v>
      </c>
      <c r="Q63" s="823">
        <v>45505</v>
      </c>
      <c r="R63" s="824"/>
      <c r="S63" s="825"/>
      <c r="T63" s="825"/>
      <c r="U63" s="1242"/>
      <c r="V63" s="1227"/>
      <c r="W63" s="1230"/>
      <c r="X63" s="110">
        <v>35</v>
      </c>
    </row>
    <row r="64" spans="1:24" s="110" customFormat="1" x14ac:dyDescent="0.25">
      <c r="A64" s="1286"/>
      <c r="B64" s="1233"/>
      <c r="C64" s="1233"/>
      <c r="D64" s="1233"/>
      <c r="E64" s="1233"/>
      <c r="F64" s="1236"/>
      <c r="G64" s="1239"/>
      <c r="H64" s="1242"/>
      <c r="I64" s="1245"/>
      <c r="J64" s="1248"/>
      <c r="K64" s="1251"/>
      <c r="L64" s="1233"/>
      <c r="M64" s="1233"/>
      <c r="N64" s="830">
        <v>45535</v>
      </c>
      <c r="O64" s="1236"/>
      <c r="P64" s="822">
        <v>3000</v>
      </c>
      <c r="Q64" s="823">
        <v>45539</v>
      </c>
      <c r="R64" s="824"/>
      <c r="S64" s="825"/>
      <c r="T64" s="825"/>
      <c r="U64" s="1242"/>
      <c r="V64" s="1227"/>
      <c r="W64" s="1230"/>
      <c r="X64" s="110">
        <v>35</v>
      </c>
    </row>
    <row r="65" spans="1:24" s="110" customFormat="1" x14ac:dyDescent="0.25">
      <c r="A65" s="1286"/>
      <c r="B65" s="1233"/>
      <c r="C65" s="1233"/>
      <c r="D65" s="1233"/>
      <c r="E65" s="1233"/>
      <c r="F65" s="1236"/>
      <c r="G65" s="1239"/>
      <c r="H65" s="1242"/>
      <c r="I65" s="1245"/>
      <c r="J65" s="1248"/>
      <c r="K65" s="1251"/>
      <c r="L65" s="1233"/>
      <c r="M65" s="1233"/>
      <c r="N65" s="830">
        <v>45565</v>
      </c>
      <c r="O65" s="1236"/>
      <c r="P65" s="822">
        <v>3000</v>
      </c>
      <c r="Q65" s="823">
        <v>45568</v>
      </c>
      <c r="R65" s="824"/>
      <c r="S65" s="825"/>
      <c r="T65" s="825"/>
      <c r="U65" s="1242"/>
      <c r="V65" s="1227"/>
      <c r="W65" s="1230"/>
      <c r="X65" s="110">
        <v>35</v>
      </c>
    </row>
    <row r="66" spans="1:24" s="110" customFormat="1" x14ac:dyDescent="0.25">
      <c r="A66" s="1286"/>
      <c r="B66" s="1233"/>
      <c r="C66" s="1233"/>
      <c r="D66" s="1233"/>
      <c r="E66" s="1233"/>
      <c r="F66" s="1236"/>
      <c r="G66" s="1239"/>
      <c r="H66" s="1242"/>
      <c r="I66" s="1245"/>
      <c r="J66" s="1248"/>
      <c r="K66" s="1251"/>
      <c r="L66" s="1233"/>
      <c r="M66" s="1233"/>
      <c r="N66" s="830">
        <v>45596</v>
      </c>
      <c r="O66" s="1236"/>
      <c r="P66" s="822">
        <v>3000</v>
      </c>
      <c r="Q66" s="823">
        <v>45604</v>
      </c>
      <c r="R66" s="824"/>
      <c r="S66" s="825"/>
      <c r="T66" s="825"/>
      <c r="U66" s="1242"/>
      <c r="V66" s="1227"/>
      <c r="W66" s="1230"/>
      <c r="X66" s="110">
        <v>35</v>
      </c>
    </row>
    <row r="67" spans="1:24" s="110" customFormat="1" x14ac:dyDescent="0.25">
      <c r="A67" s="1286"/>
      <c r="B67" s="1233"/>
      <c r="C67" s="1233"/>
      <c r="D67" s="1233"/>
      <c r="E67" s="1233"/>
      <c r="F67" s="1236"/>
      <c r="G67" s="1239"/>
      <c r="H67" s="1242"/>
      <c r="I67" s="1245"/>
      <c r="J67" s="1248"/>
      <c r="K67" s="1251"/>
      <c r="L67" s="1233"/>
      <c r="M67" s="1233"/>
      <c r="N67" s="830">
        <v>45626</v>
      </c>
      <c r="O67" s="1236"/>
      <c r="P67" s="822">
        <v>3000</v>
      </c>
      <c r="Q67" s="823">
        <v>45629</v>
      </c>
      <c r="R67" s="824"/>
      <c r="S67" s="825"/>
      <c r="T67" s="825"/>
      <c r="U67" s="1242"/>
      <c r="V67" s="1227"/>
      <c r="W67" s="1230"/>
      <c r="X67" s="110">
        <v>35</v>
      </c>
    </row>
    <row r="68" spans="1:24" s="110" customFormat="1" x14ac:dyDescent="0.25">
      <c r="A68" s="1287"/>
      <c r="B68" s="1234"/>
      <c r="C68" s="1234"/>
      <c r="D68" s="1234"/>
      <c r="E68" s="1234"/>
      <c r="F68" s="1237"/>
      <c r="G68" s="1240"/>
      <c r="H68" s="1243"/>
      <c r="I68" s="1246"/>
      <c r="J68" s="1249"/>
      <c r="K68" s="1252"/>
      <c r="L68" s="1234"/>
      <c r="M68" s="1234"/>
      <c r="N68" s="831">
        <v>45645</v>
      </c>
      <c r="O68" s="1237"/>
      <c r="P68" s="938">
        <v>3000</v>
      </c>
      <c r="Q68" s="827">
        <v>45646</v>
      </c>
      <c r="R68" s="828"/>
      <c r="S68" s="826"/>
      <c r="T68" s="826"/>
      <c r="U68" s="1243"/>
      <c r="V68" s="1228"/>
      <c r="W68" s="1231"/>
      <c r="X68" s="110">
        <v>35</v>
      </c>
    </row>
    <row r="69" spans="1:24" s="80" customFormat="1" ht="90" customHeight="1" x14ac:dyDescent="0.25">
      <c r="A69" s="1206">
        <v>6</v>
      </c>
      <c r="B69" s="1212" t="s">
        <v>56</v>
      </c>
      <c r="C69" s="1212" t="s">
        <v>147</v>
      </c>
      <c r="D69" s="1212" t="s">
        <v>158</v>
      </c>
      <c r="E69" s="1212" t="s">
        <v>186</v>
      </c>
      <c r="F69" s="1208">
        <v>45289</v>
      </c>
      <c r="G69" s="1218" t="s">
        <v>187</v>
      </c>
      <c r="H69" s="1210">
        <v>27406.080000000002</v>
      </c>
      <c r="I69" s="1220">
        <f>IF(X69 = 36, H69 + SUM(S69:S79) - SUM(T69:T79) - SUM(P69:P79) - V69,0)</f>
        <v>2283.84</v>
      </c>
      <c r="J69" s="1222">
        <v>2310163739</v>
      </c>
      <c r="K69" s="1224" t="s">
        <v>188</v>
      </c>
      <c r="L69" s="1212" t="s">
        <v>147</v>
      </c>
      <c r="M69" s="1212" t="s">
        <v>175</v>
      </c>
      <c r="N69" s="873">
        <v>45322</v>
      </c>
      <c r="O69" s="1208" t="s">
        <v>189</v>
      </c>
      <c r="P69" s="865">
        <v>2283.84</v>
      </c>
      <c r="Q69" s="866">
        <v>45334</v>
      </c>
      <c r="R69" s="867"/>
      <c r="S69" s="868"/>
      <c r="T69" s="868"/>
      <c r="U69" s="1210"/>
      <c r="V69" s="1214"/>
      <c r="W69" s="1216"/>
      <c r="X69" s="80">
        <v>36</v>
      </c>
    </row>
    <row r="70" spans="1:24" s="110" customFormat="1" x14ac:dyDescent="0.25">
      <c r="A70" s="1207"/>
      <c r="B70" s="1213"/>
      <c r="C70" s="1213"/>
      <c r="D70" s="1213"/>
      <c r="E70" s="1213"/>
      <c r="F70" s="1209"/>
      <c r="G70" s="1219"/>
      <c r="H70" s="1211"/>
      <c r="I70" s="1221"/>
      <c r="J70" s="1223"/>
      <c r="K70" s="1225"/>
      <c r="L70" s="1213"/>
      <c r="M70" s="1213"/>
      <c r="N70" s="874">
        <v>45351</v>
      </c>
      <c r="O70" s="1209"/>
      <c r="P70" s="869">
        <v>2283.84</v>
      </c>
      <c r="Q70" s="870">
        <v>45351</v>
      </c>
      <c r="R70" s="871"/>
      <c r="S70" s="872"/>
      <c r="T70" s="872"/>
      <c r="U70" s="1211"/>
      <c r="V70" s="1215"/>
      <c r="W70" s="1217"/>
      <c r="X70" s="110">
        <v>36</v>
      </c>
    </row>
    <row r="71" spans="1:24" s="110" customFormat="1" x14ac:dyDescent="0.25">
      <c r="A71" s="1207"/>
      <c r="B71" s="1213"/>
      <c r="C71" s="1213"/>
      <c r="D71" s="1213"/>
      <c r="E71" s="1213"/>
      <c r="F71" s="1209"/>
      <c r="G71" s="1219"/>
      <c r="H71" s="1211"/>
      <c r="I71" s="1221"/>
      <c r="J71" s="1223"/>
      <c r="K71" s="1225"/>
      <c r="L71" s="1213"/>
      <c r="M71" s="1213"/>
      <c r="N71" s="874">
        <v>45380</v>
      </c>
      <c r="O71" s="1209"/>
      <c r="P71" s="869">
        <v>2283.84</v>
      </c>
      <c r="Q71" s="870">
        <v>45385</v>
      </c>
      <c r="R71" s="871"/>
      <c r="S71" s="872"/>
      <c r="T71" s="872"/>
      <c r="U71" s="1211"/>
      <c r="V71" s="1215"/>
      <c r="W71" s="1217"/>
      <c r="X71" s="110">
        <v>36</v>
      </c>
    </row>
    <row r="72" spans="1:24" s="110" customFormat="1" x14ac:dyDescent="0.25">
      <c r="A72" s="1207"/>
      <c r="B72" s="1213"/>
      <c r="C72" s="1213"/>
      <c r="D72" s="1213"/>
      <c r="E72" s="1213"/>
      <c r="F72" s="1209"/>
      <c r="G72" s="1219"/>
      <c r="H72" s="1211"/>
      <c r="I72" s="1221"/>
      <c r="J72" s="1223"/>
      <c r="K72" s="1225"/>
      <c r="L72" s="1213"/>
      <c r="M72" s="1213"/>
      <c r="N72" s="874">
        <v>45409</v>
      </c>
      <c r="O72" s="1209"/>
      <c r="P72" s="869">
        <v>2283.84</v>
      </c>
      <c r="Q72" s="870">
        <v>45419</v>
      </c>
      <c r="R72" s="871"/>
      <c r="S72" s="872"/>
      <c r="T72" s="872"/>
      <c r="U72" s="1211"/>
      <c r="V72" s="1215"/>
      <c r="W72" s="1217"/>
      <c r="X72" s="110">
        <v>36</v>
      </c>
    </row>
    <row r="73" spans="1:24" s="110" customFormat="1" x14ac:dyDescent="0.25">
      <c r="A73" s="1207"/>
      <c r="B73" s="1213"/>
      <c r="C73" s="1213"/>
      <c r="D73" s="1213"/>
      <c r="E73" s="1213"/>
      <c r="F73" s="1209"/>
      <c r="G73" s="1219"/>
      <c r="H73" s="1211"/>
      <c r="I73" s="1221"/>
      <c r="J73" s="1223"/>
      <c r="K73" s="1225"/>
      <c r="L73" s="1213"/>
      <c r="M73" s="1213"/>
      <c r="N73" s="874">
        <v>45443</v>
      </c>
      <c r="O73" s="1209"/>
      <c r="P73" s="869">
        <v>2283.84</v>
      </c>
      <c r="Q73" s="870">
        <v>45448</v>
      </c>
      <c r="R73" s="871"/>
      <c r="S73" s="872"/>
      <c r="T73" s="872"/>
      <c r="U73" s="1211"/>
      <c r="V73" s="1215"/>
      <c r="W73" s="1217"/>
      <c r="X73" s="110">
        <v>36</v>
      </c>
    </row>
    <row r="74" spans="1:24" s="110" customFormat="1" x14ac:dyDescent="0.25">
      <c r="A74" s="1207"/>
      <c r="B74" s="1213"/>
      <c r="C74" s="1213"/>
      <c r="D74" s="1213"/>
      <c r="E74" s="1213"/>
      <c r="F74" s="1209"/>
      <c r="G74" s="1219"/>
      <c r="H74" s="1211"/>
      <c r="I74" s="1221"/>
      <c r="J74" s="1223"/>
      <c r="K74" s="1225"/>
      <c r="L74" s="1213"/>
      <c r="M74" s="1213"/>
      <c r="N74" s="874">
        <v>45471</v>
      </c>
      <c r="O74" s="1209"/>
      <c r="P74" s="869">
        <v>2283.84</v>
      </c>
      <c r="Q74" s="870">
        <v>45477</v>
      </c>
      <c r="R74" s="871"/>
      <c r="S74" s="872"/>
      <c r="T74" s="872"/>
      <c r="U74" s="1211"/>
      <c r="V74" s="1215"/>
      <c r="W74" s="1217"/>
      <c r="X74" s="110">
        <v>36</v>
      </c>
    </row>
    <row r="75" spans="1:24" s="110" customFormat="1" x14ac:dyDescent="0.25">
      <c r="A75" s="1207"/>
      <c r="B75" s="1213"/>
      <c r="C75" s="1213"/>
      <c r="D75" s="1213"/>
      <c r="E75" s="1213"/>
      <c r="F75" s="1209"/>
      <c r="G75" s="1219"/>
      <c r="H75" s="1211"/>
      <c r="I75" s="1221"/>
      <c r="J75" s="1223"/>
      <c r="K75" s="1225"/>
      <c r="L75" s="1213"/>
      <c r="M75" s="1213"/>
      <c r="N75" s="874">
        <v>45504</v>
      </c>
      <c r="O75" s="1209"/>
      <c r="P75" s="869">
        <v>2283.84</v>
      </c>
      <c r="Q75" s="870">
        <v>45505</v>
      </c>
      <c r="R75" s="871"/>
      <c r="S75" s="872"/>
      <c r="T75" s="872"/>
      <c r="U75" s="1211"/>
      <c r="V75" s="1215"/>
      <c r="W75" s="1217"/>
      <c r="X75" s="110">
        <v>36</v>
      </c>
    </row>
    <row r="76" spans="1:24" s="110" customFormat="1" x14ac:dyDescent="0.25">
      <c r="A76" s="1207"/>
      <c r="B76" s="1213"/>
      <c r="C76" s="1213"/>
      <c r="D76" s="1213"/>
      <c r="E76" s="1213"/>
      <c r="F76" s="1209"/>
      <c r="G76" s="1219"/>
      <c r="H76" s="1211"/>
      <c r="I76" s="1221"/>
      <c r="J76" s="1223"/>
      <c r="K76" s="1225"/>
      <c r="L76" s="1213"/>
      <c r="M76" s="1213"/>
      <c r="N76" s="874">
        <v>45534</v>
      </c>
      <c r="O76" s="1209"/>
      <c r="P76" s="869">
        <v>2283.84</v>
      </c>
      <c r="Q76" s="870">
        <v>45545</v>
      </c>
      <c r="R76" s="871"/>
      <c r="S76" s="872"/>
      <c r="T76" s="872"/>
      <c r="U76" s="1211"/>
      <c r="V76" s="1215"/>
      <c r="W76" s="1217"/>
      <c r="X76" s="110">
        <v>36</v>
      </c>
    </row>
    <row r="77" spans="1:24" s="110" customFormat="1" x14ac:dyDescent="0.25">
      <c r="A77" s="1207"/>
      <c r="B77" s="1213"/>
      <c r="C77" s="1213"/>
      <c r="D77" s="1213"/>
      <c r="E77" s="1213"/>
      <c r="F77" s="1209"/>
      <c r="G77" s="1219"/>
      <c r="H77" s="1211"/>
      <c r="I77" s="1221"/>
      <c r="J77" s="1223"/>
      <c r="K77" s="1225"/>
      <c r="L77" s="1213"/>
      <c r="M77" s="1213"/>
      <c r="N77" s="874">
        <v>45565</v>
      </c>
      <c r="O77" s="1209"/>
      <c r="P77" s="869">
        <v>2283.84</v>
      </c>
      <c r="Q77" s="870">
        <v>45568</v>
      </c>
      <c r="R77" s="871"/>
      <c r="S77" s="872"/>
      <c r="T77" s="872"/>
      <c r="U77" s="1211"/>
      <c r="V77" s="1215"/>
      <c r="W77" s="1217"/>
      <c r="X77" s="110">
        <v>36</v>
      </c>
    </row>
    <row r="78" spans="1:24" s="110" customFormat="1" x14ac:dyDescent="0.25">
      <c r="A78" s="1207"/>
      <c r="B78" s="1213"/>
      <c r="C78" s="1213"/>
      <c r="D78" s="1213"/>
      <c r="E78" s="1213"/>
      <c r="F78" s="1209"/>
      <c r="G78" s="1219"/>
      <c r="H78" s="1211"/>
      <c r="I78" s="1221"/>
      <c r="J78" s="1223"/>
      <c r="K78" s="1225"/>
      <c r="L78" s="1213"/>
      <c r="M78" s="1213"/>
      <c r="N78" s="874">
        <v>45596</v>
      </c>
      <c r="O78" s="1209"/>
      <c r="P78" s="869">
        <v>2283.84</v>
      </c>
      <c r="Q78" s="870">
        <v>45596</v>
      </c>
      <c r="R78" s="871"/>
      <c r="S78" s="872"/>
      <c r="T78" s="872"/>
      <c r="U78" s="1211"/>
      <c r="V78" s="1215"/>
      <c r="W78" s="1217"/>
      <c r="X78" s="110">
        <v>36</v>
      </c>
    </row>
    <row r="79" spans="1:24" s="110" customFormat="1" x14ac:dyDescent="0.25">
      <c r="A79" s="1207"/>
      <c r="B79" s="1213"/>
      <c r="C79" s="1213"/>
      <c r="D79" s="1213"/>
      <c r="E79" s="1213"/>
      <c r="F79" s="1209"/>
      <c r="G79" s="1219"/>
      <c r="H79" s="1211"/>
      <c r="I79" s="1221"/>
      <c r="J79" s="1223"/>
      <c r="K79" s="1225"/>
      <c r="L79" s="1213"/>
      <c r="M79" s="1213"/>
      <c r="N79" s="874">
        <v>45625</v>
      </c>
      <c r="O79" s="1209"/>
      <c r="P79" s="869">
        <v>2283.84</v>
      </c>
      <c r="Q79" s="870">
        <v>45629</v>
      </c>
      <c r="R79" s="871"/>
      <c r="S79" s="872"/>
      <c r="T79" s="872"/>
      <c r="U79" s="1211"/>
      <c r="V79" s="1215"/>
      <c r="W79" s="1217"/>
      <c r="X79" s="110">
        <v>36</v>
      </c>
    </row>
    <row r="80" spans="1:24" s="80" customFormat="1" ht="36" customHeight="1" x14ac:dyDescent="0.25">
      <c r="A80" s="1321">
        <v>7</v>
      </c>
      <c r="B80" s="1324" t="s">
        <v>56</v>
      </c>
      <c r="C80" s="1324" t="s">
        <v>147</v>
      </c>
      <c r="D80" s="1324" t="s">
        <v>158</v>
      </c>
      <c r="E80" s="1324" t="s">
        <v>196</v>
      </c>
      <c r="F80" s="1422">
        <v>45289</v>
      </c>
      <c r="G80" s="1498" t="s">
        <v>197</v>
      </c>
      <c r="H80" s="1419">
        <v>21000</v>
      </c>
      <c r="I80" s="1524">
        <f>IF(X80 = 39, H80 + SUM(S80:S82) - SUM(T80:T82) - SUM(P80:P82) - V80,0)</f>
        <v>0</v>
      </c>
      <c r="J80" s="1518">
        <v>235306577600</v>
      </c>
      <c r="K80" s="1521" t="s">
        <v>200</v>
      </c>
      <c r="L80" s="1324" t="s">
        <v>147</v>
      </c>
      <c r="M80" s="1324" t="s">
        <v>175</v>
      </c>
      <c r="N80" s="480">
        <v>45382</v>
      </c>
      <c r="O80" s="1422" t="s">
        <v>198</v>
      </c>
      <c r="P80" s="460">
        <v>9000</v>
      </c>
      <c r="Q80" s="461">
        <v>45384</v>
      </c>
      <c r="R80" s="462"/>
      <c r="S80" s="463"/>
      <c r="T80" s="463"/>
      <c r="U80" s="1419"/>
      <c r="V80" s="1486"/>
      <c r="W80" s="1416"/>
      <c r="X80" s="80">
        <v>39</v>
      </c>
    </row>
    <row r="81" spans="1:24" s="110" customFormat="1" x14ac:dyDescent="0.25">
      <c r="A81" s="1322"/>
      <c r="B81" s="1325"/>
      <c r="C81" s="1325"/>
      <c r="D81" s="1325"/>
      <c r="E81" s="1325"/>
      <c r="F81" s="1423"/>
      <c r="G81" s="1499"/>
      <c r="H81" s="1420"/>
      <c r="I81" s="1525"/>
      <c r="J81" s="1519"/>
      <c r="K81" s="1522"/>
      <c r="L81" s="1325"/>
      <c r="M81" s="1325"/>
      <c r="N81" s="481">
        <v>45473</v>
      </c>
      <c r="O81" s="1423"/>
      <c r="P81" s="464">
        <v>9000</v>
      </c>
      <c r="Q81" s="465">
        <v>45476</v>
      </c>
      <c r="R81" s="466"/>
      <c r="S81" s="467"/>
      <c r="T81" s="467"/>
      <c r="U81" s="1420"/>
      <c r="V81" s="1487"/>
      <c r="W81" s="1417"/>
      <c r="X81" s="110">
        <v>39</v>
      </c>
    </row>
    <row r="82" spans="1:24" s="110" customFormat="1" x14ac:dyDescent="0.25">
      <c r="A82" s="1323"/>
      <c r="B82" s="1326"/>
      <c r="C82" s="1326"/>
      <c r="D82" s="1326"/>
      <c r="E82" s="1326"/>
      <c r="F82" s="1424"/>
      <c r="G82" s="1500"/>
      <c r="H82" s="1421"/>
      <c r="I82" s="1526"/>
      <c r="J82" s="1520"/>
      <c r="K82" s="1523"/>
      <c r="L82" s="1326"/>
      <c r="M82" s="1326"/>
      <c r="N82" s="482">
        <v>45504</v>
      </c>
      <c r="O82" s="1424"/>
      <c r="P82" s="503">
        <v>3000</v>
      </c>
      <c r="Q82" s="476">
        <v>45510</v>
      </c>
      <c r="R82" s="477"/>
      <c r="S82" s="475"/>
      <c r="T82" s="475"/>
      <c r="U82" s="1421"/>
      <c r="V82" s="1488"/>
      <c r="W82" s="1418"/>
      <c r="X82" s="110">
        <v>39</v>
      </c>
    </row>
    <row r="83" spans="1:24" s="80" customFormat="1" ht="56.25" x14ac:dyDescent="0.25">
      <c r="A83" s="111">
        <v>8</v>
      </c>
      <c r="B83" s="109" t="s">
        <v>56</v>
      </c>
      <c r="C83" s="112" t="s">
        <v>147</v>
      </c>
      <c r="D83" s="109" t="s">
        <v>158</v>
      </c>
      <c r="E83" s="112" t="s">
        <v>116</v>
      </c>
      <c r="F83" s="121">
        <v>45289</v>
      </c>
      <c r="G83" s="113" t="s">
        <v>199</v>
      </c>
      <c r="H83" s="114">
        <v>5179.24</v>
      </c>
      <c r="I83" s="115">
        <f>IF(X83 = 40, H83 + SUM(S83:S83) - SUM(T83:T83) - SUM(P83:P83) - V83,0)</f>
        <v>0</v>
      </c>
      <c r="J83" s="116">
        <v>2353023951</v>
      </c>
      <c r="K83" s="117" t="s">
        <v>201</v>
      </c>
      <c r="L83" s="112" t="s">
        <v>147</v>
      </c>
      <c r="M83" s="109" t="s">
        <v>202</v>
      </c>
      <c r="N83" s="121">
        <v>45321</v>
      </c>
      <c r="O83" s="119" t="s">
        <v>203</v>
      </c>
      <c r="P83" s="143">
        <v>5179.24</v>
      </c>
      <c r="Q83" s="113">
        <v>45327</v>
      </c>
      <c r="R83" s="112"/>
      <c r="S83" s="114"/>
      <c r="T83" s="114"/>
      <c r="U83" s="114"/>
      <c r="V83" s="118"/>
      <c r="W83" s="120"/>
      <c r="X83" s="80">
        <v>40</v>
      </c>
    </row>
    <row r="84" spans="1:24" s="80" customFormat="1" ht="108" customHeight="1" x14ac:dyDescent="0.25">
      <c r="A84" s="1510">
        <v>9</v>
      </c>
      <c r="B84" s="1501" t="s">
        <v>56</v>
      </c>
      <c r="C84" s="1501" t="s">
        <v>147</v>
      </c>
      <c r="D84" s="1501" t="s">
        <v>158</v>
      </c>
      <c r="E84" s="1501" t="s">
        <v>116</v>
      </c>
      <c r="F84" s="1465">
        <v>45289</v>
      </c>
      <c r="G84" s="1489" t="s">
        <v>204</v>
      </c>
      <c r="H84" s="1468">
        <v>63000</v>
      </c>
      <c r="I84" s="1492">
        <f>IF(X84 = 41, H84 + SUM(S84:S94) - SUM(T84:T94) - SUM(P84:P94) - V84,0)</f>
        <v>6900</v>
      </c>
      <c r="J84" s="1477">
        <v>2353017179</v>
      </c>
      <c r="K84" s="1480" t="s">
        <v>205</v>
      </c>
      <c r="L84" s="1501" t="s">
        <v>147</v>
      </c>
      <c r="M84" s="1501" t="s">
        <v>175</v>
      </c>
      <c r="N84" s="715">
        <v>45322</v>
      </c>
      <c r="O84" s="1465" t="s">
        <v>203</v>
      </c>
      <c r="P84" s="704">
        <v>6950</v>
      </c>
      <c r="Q84" s="705">
        <v>45331</v>
      </c>
      <c r="R84" s="706"/>
      <c r="S84" s="707"/>
      <c r="T84" s="707"/>
      <c r="U84" s="1468"/>
      <c r="V84" s="1471"/>
      <c r="W84" s="1474"/>
      <c r="X84" s="80">
        <v>41</v>
      </c>
    </row>
    <row r="85" spans="1:24" s="110" customFormat="1" x14ac:dyDescent="0.25">
      <c r="A85" s="1511"/>
      <c r="B85" s="1502"/>
      <c r="C85" s="1502"/>
      <c r="D85" s="1502"/>
      <c r="E85" s="1502"/>
      <c r="F85" s="1466"/>
      <c r="G85" s="1490"/>
      <c r="H85" s="1469"/>
      <c r="I85" s="1493"/>
      <c r="J85" s="1478"/>
      <c r="K85" s="1481"/>
      <c r="L85" s="1502"/>
      <c r="M85" s="1502"/>
      <c r="N85" s="716">
        <v>45351</v>
      </c>
      <c r="O85" s="1466"/>
      <c r="P85" s="708">
        <v>7200</v>
      </c>
      <c r="Q85" s="709">
        <v>45365</v>
      </c>
      <c r="R85" s="710"/>
      <c r="S85" s="711"/>
      <c r="T85" s="711"/>
      <c r="U85" s="1469"/>
      <c r="V85" s="1472"/>
      <c r="W85" s="1475"/>
      <c r="X85" s="110">
        <v>41</v>
      </c>
    </row>
    <row r="86" spans="1:24" s="110" customFormat="1" x14ac:dyDescent="0.25">
      <c r="A86" s="1511"/>
      <c r="B86" s="1502"/>
      <c r="C86" s="1502"/>
      <c r="D86" s="1502"/>
      <c r="E86" s="1502"/>
      <c r="F86" s="1466"/>
      <c r="G86" s="1490"/>
      <c r="H86" s="1469"/>
      <c r="I86" s="1493"/>
      <c r="J86" s="1478"/>
      <c r="K86" s="1481"/>
      <c r="L86" s="1502"/>
      <c r="M86" s="1502"/>
      <c r="N86" s="716">
        <v>45382</v>
      </c>
      <c r="O86" s="1466"/>
      <c r="P86" s="708">
        <v>6900</v>
      </c>
      <c r="Q86" s="709">
        <v>45393</v>
      </c>
      <c r="R86" s="710"/>
      <c r="S86" s="711"/>
      <c r="T86" s="711"/>
      <c r="U86" s="1469"/>
      <c r="V86" s="1472"/>
      <c r="W86" s="1475"/>
      <c r="X86" s="110">
        <v>41</v>
      </c>
    </row>
    <row r="87" spans="1:24" s="110" customFormat="1" x14ac:dyDescent="0.25">
      <c r="A87" s="1511"/>
      <c r="B87" s="1502"/>
      <c r="C87" s="1502"/>
      <c r="D87" s="1502"/>
      <c r="E87" s="1502"/>
      <c r="F87" s="1466"/>
      <c r="G87" s="1490"/>
      <c r="H87" s="1469"/>
      <c r="I87" s="1493"/>
      <c r="J87" s="1478"/>
      <c r="K87" s="1481"/>
      <c r="L87" s="1502"/>
      <c r="M87" s="1502"/>
      <c r="N87" s="716">
        <v>45412</v>
      </c>
      <c r="O87" s="1466"/>
      <c r="P87" s="708">
        <v>7200</v>
      </c>
      <c r="Q87" s="709">
        <v>45428</v>
      </c>
      <c r="R87" s="710"/>
      <c r="S87" s="711"/>
      <c r="T87" s="711"/>
      <c r="U87" s="1469"/>
      <c r="V87" s="1472"/>
      <c r="W87" s="1475"/>
      <c r="X87" s="110">
        <v>41</v>
      </c>
    </row>
    <row r="88" spans="1:24" s="110" customFormat="1" x14ac:dyDescent="0.25">
      <c r="A88" s="1511"/>
      <c r="B88" s="1502"/>
      <c r="C88" s="1502"/>
      <c r="D88" s="1502"/>
      <c r="E88" s="1502"/>
      <c r="F88" s="1466"/>
      <c r="G88" s="1490"/>
      <c r="H88" s="1469"/>
      <c r="I88" s="1493"/>
      <c r="J88" s="1478"/>
      <c r="K88" s="1481"/>
      <c r="L88" s="1502"/>
      <c r="M88" s="1502"/>
      <c r="N88" s="716">
        <v>45443</v>
      </c>
      <c r="O88" s="1466"/>
      <c r="P88" s="708">
        <v>6000</v>
      </c>
      <c r="Q88" s="709">
        <v>45454</v>
      </c>
      <c r="R88" s="710"/>
      <c r="S88" s="711"/>
      <c r="T88" s="711"/>
      <c r="U88" s="1469"/>
      <c r="V88" s="1472"/>
      <c r="W88" s="1475"/>
      <c r="X88" s="110">
        <v>41</v>
      </c>
    </row>
    <row r="89" spans="1:24" s="110" customFormat="1" x14ac:dyDescent="0.25">
      <c r="A89" s="1511"/>
      <c r="B89" s="1502"/>
      <c r="C89" s="1502"/>
      <c r="D89" s="1502"/>
      <c r="E89" s="1502"/>
      <c r="F89" s="1466"/>
      <c r="G89" s="1490"/>
      <c r="H89" s="1469"/>
      <c r="I89" s="1493"/>
      <c r="J89" s="1478"/>
      <c r="K89" s="1481"/>
      <c r="L89" s="1502"/>
      <c r="M89" s="1502"/>
      <c r="N89" s="716">
        <v>45473</v>
      </c>
      <c r="O89" s="1466"/>
      <c r="P89" s="708">
        <v>3900</v>
      </c>
      <c r="Q89" s="709">
        <v>45498</v>
      </c>
      <c r="R89" s="710"/>
      <c r="S89" s="711"/>
      <c r="T89" s="711"/>
      <c r="U89" s="1469"/>
      <c r="V89" s="1472"/>
      <c r="W89" s="1475"/>
      <c r="X89" s="110">
        <v>41</v>
      </c>
    </row>
    <row r="90" spans="1:24" s="110" customFormat="1" x14ac:dyDescent="0.25">
      <c r="A90" s="1511"/>
      <c r="B90" s="1502"/>
      <c r="C90" s="1502"/>
      <c r="D90" s="1502"/>
      <c r="E90" s="1502"/>
      <c r="F90" s="1466"/>
      <c r="G90" s="1490"/>
      <c r="H90" s="1469"/>
      <c r="I90" s="1493"/>
      <c r="J90" s="1478"/>
      <c r="K90" s="1481"/>
      <c r="L90" s="1502"/>
      <c r="M90" s="1502"/>
      <c r="N90" s="716">
        <v>45504</v>
      </c>
      <c r="O90" s="1466"/>
      <c r="P90" s="708">
        <v>600</v>
      </c>
      <c r="Q90" s="709">
        <v>45510</v>
      </c>
      <c r="R90" s="710"/>
      <c r="S90" s="711"/>
      <c r="T90" s="711"/>
      <c r="U90" s="1469"/>
      <c r="V90" s="1472"/>
      <c r="W90" s="1475"/>
      <c r="X90" s="110">
        <v>41</v>
      </c>
    </row>
    <row r="91" spans="1:24" s="110" customFormat="1" x14ac:dyDescent="0.25">
      <c r="A91" s="1511"/>
      <c r="B91" s="1502"/>
      <c r="C91" s="1502"/>
      <c r="D91" s="1502"/>
      <c r="E91" s="1502"/>
      <c r="F91" s="1466"/>
      <c r="G91" s="1490"/>
      <c r="H91" s="1469"/>
      <c r="I91" s="1493"/>
      <c r="J91" s="1478"/>
      <c r="K91" s="1481"/>
      <c r="L91" s="1502"/>
      <c r="M91" s="1502"/>
      <c r="N91" s="716">
        <v>45535</v>
      </c>
      <c r="O91" s="1466"/>
      <c r="P91" s="708">
        <v>300</v>
      </c>
      <c r="Q91" s="709">
        <v>45546</v>
      </c>
      <c r="R91" s="710"/>
      <c r="S91" s="711"/>
      <c r="T91" s="711"/>
      <c r="U91" s="1469"/>
      <c r="V91" s="1472"/>
      <c r="W91" s="1475"/>
      <c r="X91" s="110">
        <v>41</v>
      </c>
    </row>
    <row r="92" spans="1:24" s="110" customFormat="1" x14ac:dyDescent="0.25">
      <c r="A92" s="1511"/>
      <c r="B92" s="1502"/>
      <c r="C92" s="1502"/>
      <c r="D92" s="1502"/>
      <c r="E92" s="1502"/>
      <c r="F92" s="1466"/>
      <c r="G92" s="1490"/>
      <c r="H92" s="1469"/>
      <c r="I92" s="1493"/>
      <c r="J92" s="1478"/>
      <c r="K92" s="1481"/>
      <c r="L92" s="1502"/>
      <c r="M92" s="1502"/>
      <c r="N92" s="716">
        <v>45565</v>
      </c>
      <c r="O92" s="1466"/>
      <c r="P92" s="708">
        <v>7200</v>
      </c>
      <c r="Q92" s="709">
        <v>45572</v>
      </c>
      <c r="R92" s="710"/>
      <c r="S92" s="711"/>
      <c r="T92" s="711"/>
      <c r="U92" s="1469"/>
      <c r="V92" s="1472"/>
      <c r="W92" s="1475"/>
      <c r="X92" s="110">
        <v>41</v>
      </c>
    </row>
    <row r="93" spans="1:24" s="110" customFormat="1" x14ac:dyDescent="0.25">
      <c r="A93" s="1511"/>
      <c r="B93" s="1502"/>
      <c r="C93" s="1502"/>
      <c r="D93" s="1502"/>
      <c r="E93" s="1502"/>
      <c r="F93" s="1466"/>
      <c r="G93" s="1490"/>
      <c r="H93" s="1469"/>
      <c r="I93" s="1493"/>
      <c r="J93" s="1478"/>
      <c r="K93" s="1481"/>
      <c r="L93" s="1502"/>
      <c r="M93" s="1502"/>
      <c r="N93" s="716">
        <v>45596</v>
      </c>
      <c r="O93" s="1466"/>
      <c r="P93" s="708">
        <v>7500</v>
      </c>
      <c r="Q93" s="709">
        <v>45603</v>
      </c>
      <c r="R93" s="710"/>
      <c r="S93" s="711"/>
      <c r="T93" s="711"/>
      <c r="U93" s="1469"/>
      <c r="V93" s="1472"/>
      <c r="W93" s="1475"/>
      <c r="X93" s="110">
        <v>41</v>
      </c>
    </row>
    <row r="94" spans="1:24" s="110" customFormat="1" x14ac:dyDescent="0.25">
      <c r="A94" s="1512"/>
      <c r="B94" s="1503"/>
      <c r="C94" s="1503"/>
      <c r="D94" s="1503"/>
      <c r="E94" s="1503"/>
      <c r="F94" s="1467"/>
      <c r="G94" s="1491"/>
      <c r="H94" s="1470"/>
      <c r="I94" s="1494"/>
      <c r="J94" s="1479"/>
      <c r="K94" s="1482"/>
      <c r="L94" s="1503"/>
      <c r="M94" s="1503"/>
      <c r="N94" s="717">
        <v>45626</v>
      </c>
      <c r="O94" s="1467"/>
      <c r="P94" s="939">
        <v>7800</v>
      </c>
      <c r="Q94" s="713">
        <v>45630</v>
      </c>
      <c r="R94" s="714" t="s">
        <v>472</v>
      </c>
      <c r="S94" s="712">
        <v>5450</v>
      </c>
      <c r="T94" s="712"/>
      <c r="U94" s="1470"/>
      <c r="V94" s="1473"/>
      <c r="W94" s="1476"/>
      <c r="X94" s="110">
        <v>41</v>
      </c>
    </row>
    <row r="95" spans="1:24" s="80" customFormat="1" ht="54" customHeight="1" x14ac:dyDescent="0.25">
      <c r="A95" s="1327">
        <v>10</v>
      </c>
      <c r="B95" s="1507" t="s">
        <v>56</v>
      </c>
      <c r="C95" s="1507" t="s">
        <v>147</v>
      </c>
      <c r="D95" s="1507" t="s">
        <v>158</v>
      </c>
      <c r="E95" s="1507" t="s">
        <v>401</v>
      </c>
      <c r="F95" s="1459">
        <v>45289</v>
      </c>
      <c r="G95" s="1495" t="s">
        <v>206</v>
      </c>
      <c r="H95" s="1462">
        <v>3600</v>
      </c>
      <c r="I95" s="1483">
        <f>IF(X95 = 42, H95 + SUM(S95:S97) - SUM(T95:T97) - SUM(P95:P97) - V95,0)</f>
        <v>900</v>
      </c>
      <c r="J95" s="1453">
        <v>2369000660</v>
      </c>
      <c r="K95" s="1456" t="s">
        <v>207</v>
      </c>
      <c r="L95" s="1507" t="s">
        <v>147</v>
      </c>
      <c r="M95" s="1507" t="s">
        <v>175</v>
      </c>
      <c r="N95" s="545">
        <v>45382</v>
      </c>
      <c r="O95" s="1459" t="s">
        <v>203</v>
      </c>
      <c r="P95" s="534">
        <v>900</v>
      </c>
      <c r="Q95" s="535">
        <v>45384</v>
      </c>
      <c r="R95" s="536"/>
      <c r="S95" s="537"/>
      <c r="T95" s="537"/>
      <c r="U95" s="1462"/>
      <c r="V95" s="1447"/>
      <c r="W95" s="1450"/>
      <c r="X95" s="80">
        <v>42</v>
      </c>
    </row>
    <row r="96" spans="1:24" s="110" customFormat="1" x14ac:dyDescent="0.25">
      <c r="A96" s="1328"/>
      <c r="B96" s="1508"/>
      <c r="C96" s="1508"/>
      <c r="D96" s="1508"/>
      <c r="E96" s="1508"/>
      <c r="F96" s="1460"/>
      <c r="G96" s="1496"/>
      <c r="H96" s="1463"/>
      <c r="I96" s="1484"/>
      <c r="J96" s="1454"/>
      <c r="K96" s="1457"/>
      <c r="L96" s="1508"/>
      <c r="M96" s="1508"/>
      <c r="N96" s="546">
        <v>45473</v>
      </c>
      <c r="O96" s="1460"/>
      <c r="P96" s="538">
        <v>900</v>
      </c>
      <c r="Q96" s="539">
        <v>45476</v>
      </c>
      <c r="R96" s="540"/>
      <c r="S96" s="541"/>
      <c r="T96" s="541"/>
      <c r="U96" s="1463"/>
      <c r="V96" s="1448"/>
      <c r="W96" s="1451"/>
      <c r="X96" s="110">
        <v>42</v>
      </c>
    </row>
    <row r="97" spans="1:24" s="110" customFormat="1" x14ac:dyDescent="0.25">
      <c r="A97" s="1329"/>
      <c r="B97" s="1509"/>
      <c r="C97" s="1509"/>
      <c r="D97" s="1509"/>
      <c r="E97" s="1509"/>
      <c r="F97" s="1461"/>
      <c r="G97" s="1497"/>
      <c r="H97" s="1464"/>
      <c r="I97" s="1485"/>
      <c r="J97" s="1455"/>
      <c r="K97" s="1458"/>
      <c r="L97" s="1509"/>
      <c r="M97" s="1509"/>
      <c r="N97" s="547">
        <v>45565</v>
      </c>
      <c r="O97" s="1461"/>
      <c r="P97" s="607">
        <v>900</v>
      </c>
      <c r="Q97" s="543">
        <v>45568</v>
      </c>
      <c r="R97" s="544"/>
      <c r="S97" s="542"/>
      <c r="T97" s="542"/>
      <c r="U97" s="1464"/>
      <c r="V97" s="1449"/>
      <c r="W97" s="1452"/>
      <c r="X97" s="110">
        <v>42</v>
      </c>
    </row>
    <row r="98" spans="1:24" s="80" customFormat="1" ht="36" customHeight="1" x14ac:dyDescent="0.25">
      <c r="A98" s="1617">
        <v>11</v>
      </c>
      <c r="B98" s="1626" t="s">
        <v>56</v>
      </c>
      <c r="C98" s="1626" t="s">
        <v>147</v>
      </c>
      <c r="D98" s="1626" t="s">
        <v>158</v>
      </c>
      <c r="E98" s="1626" t="s">
        <v>211</v>
      </c>
      <c r="F98" s="1620">
        <v>45289</v>
      </c>
      <c r="G98" s="1632" t="s">
        <v>208</v>
      </c>
      <c r="H98" s="1623">
        <v>4500</v>
      </c>
      <c r="I98" s="1635">
        <f>IF(X98 = 43, H98 + SUM(S98:S109) - SUM(T98:T109) - SUM(P98:P109) - V98,0)</f>
        <v>404.39999999999964</v>
      </c>
      <c r="J98" s="1638">
        <v>7707049388</v>
      </c>
      <c r="K98" s="1641" t="s">
        <v>209</v>
      </c>
      <c r="L98" s="1626" t="s">
        <v>210</v>
      </c>
      <c r="M98" s="1626" t="s">
        <v>175</v>
      </c>
      <c r="N98" s="804">
        <v>45322</v>
      </c>
      <c r="O98" s="1620" t="s">
        <v>203</v>
      </c>
      <c r="P98" s="793">
        <v>375.6</v>
      </c>
      <c r="Q98" s="794">
        <v>45328</v>
      </c>
      <c r="R98" s="795"/>
      <c r="S98" s="796"/>
      <c r="T98" s="796"/>
      <c r="U98" s="1623"/>
      <c r="V98" s="1629"/>
      <c r="W98" s="1432"/>
      <c r="X98" s="80">
        <v>43</v>
      </c>
    </row>
    <row r="99" spans="1:24" s="110" customFormat="1" x14ac:dyDescent="0.25">
      <c r="A99" s="1618"/>
      <c r="B99" s="1627"/>
      <c r="C99" s="1627"/>
      <c r="D99" s="1627"/>
      <c r="E99" s="1627"/>
      <c r="F99" s="1621"/>
      <c r="G99" s="1633"/>
      <c r="H99" s="1624"/>
      <c r="I99" s="1636"/>
      <c r="J99" s="1639"/>
      <c r="K99" s="1642"/>
      <c r="L99" s="1627"/>
      <c r="M99" s="1627"/>
      <c r="N99" s="805">
        <v>45351</v>
      </c>
      <c r="O99" s="1621"/>
      <c r="P99" s="797">
        <v>390</v>
      </c>
      <c r="Q99" s="798">
        <v>45363</v>
      </c>
      <c r="R99" s="799"/>
      <c r="S99" s="800"/>
      <c r="T99" s="800"/>
      <c r="U99" s="1624"/>
      <c r="V99" s="1630"/>
      <c r="W99" s="1433"/>
      <c r="X99" s="110">
        <v>43</v>
      </c>
    </row>
    <row r="100" spans="1:24" s="110" customFormat="1" x14ac:dyDescent="0.25">
      <c r="A100" s="1618"/>
      <c r="B100" s="1627"/>
      <c r="C100" s="1627"/>
      <c r="D100" s="1627"/>
      <c r="E100" s="1627"/>
      <c r="F100" s="1621"/>
      <c r="G100" s="1633"/>
      <c r="H100" s="1624"/>
      <c r="I100" s="1636"/>
      <c r="J100" s="1639"/>
      <c r="K100" s="1642"/>
      <c r="L100" s="1627"/>
      <c r="M100" s="1627"/>
      <c r="N100" s="805">
        <v>45382</v>
      </c>
      <c r="O100" s="1621"/>
      <c r="P100" s="797">
        <v>390</v>
      </c>
      <c r="Q100" s="798">
        <v>45391</v>
      </c>
      <c r="R100" s="799"/>
      <c r="S100" s="800"/>
      <c r="T100" s="800"/>
      <c r="U100" s="1624"/>
      <c r="V100" s="1630"/>
      <c r="W100" s="1433"/>
      <c r="X100" s="110">
        <v>43</v>
      </c>
    </row>
    <row r="101" spans="1:24" s="110" customFormat="1" x14ac:dyDescent="0.25">
      <c r="A101" s="1618"/>
      <c r="B101" s="1627"/>
      <c r="C101" s="1627"/>
      <c r="D101" s="1627"/>
      <c r="E101" s="1627"/>
      <c r="F101" s="1621"/>
      <c r="G101" s="1633"/>
      <c r="H101" s="1624"/>
      <c r="I101" s="1636"/>
      <c r="J101" s="1639"/>
      <c r="K101" s="1642"/>
      <c r="L101" s="1627"/>
      <c r="M101" s="1627"/>
      <c r="N101" s="805">
        <v>45412</v>
      </c>
      <c r="O101" s="1621"/>
      <c r="P101" s="797">
        <v>390</v>
      </c>
      <c r="Q101" s="798">
        <v>45420</v>
      </c>
      <c r="R101" s="799"/>
      <c r="S101" s="800"/>
      <c r="T101" s="800"/>
      <c r="U101" s="1624"/>
      <c r="V101" s="1630"/>
      <c r="W101" s="1433"/>
      <c r="X101" s="110">
        <v>43</v>
      </c>
    </row>
    <row r="102" spans="1:24" s="110" customFormat="1" x14ac:dyDescent="0.25">
      <c r="A102" s="1618"/>
      <c r="B102" s="1627"/>
      <c r="C102" s="1627"/>
      <c r="D102" s="1627"/>
      <c r="E102" s="1627"/>
      <c r="F102" s="1621"/>
      <c r="G102" s="1633"/>
      <c r="H102" s="1624"/>
      <c r="I102" s="1636"/>
      <c r="J102" s="1639"/>
      <c r="K102" s="1642"/>
      <c r="L102" s="1627"/>
      <c r="M102" s="1627"/>
      <c r="N102" s="805">
        <v>45443</v>
      </c>
      <c r="O102" s="1621"/>
      <c r="P102" s="797">
        <v>390</v>
      </c>
      <c r="Q102" s="798">
        <v>45454</v>
      </c>
      <c r="R102" s="799"/>
      <c r="S102" s="800"/>
      <c r="T102" s="800"/>
      <c r="U102" s="1624"/>
      <c r="V102" s="1630"/>
      <c r="W102" s="1433"/>
      <c r="X102" s="110">
        <v>43</v>
      </c>
    </row>
    <row r="103" spans="1:24" s="110" customFormat="1" x14ac:dyDescent="0.25">
      <c r="A103" s="1618"/>
      <c r="B103" s="1627"/>
      <c r="C103" s="1627"/>
      <c r="D103" s="1627"/>
      <c r="E103" s="1627"/>
      <c r="F103" s="1621"/>
      <c r="G103" s="1633"/>
      <c r="H103" s="1624"/>
      <c r="I103" s="1636"/>
      <c r="J103" s="1639"/>
      <c r="K103" s="1642"/>
      <c r="L103" s="1627"/>
      <c r="M103" s="1627"/>
      <c r="N103" s="805">
        <v>45473</v>
      </c>
      <c r="O103" s="1621"/>
      <c r="P103" s="797">
        <v>390</v>
      </c>
      <c r="Q103" s="798">
        <v>45477</v>
      </c>
      <c r="R103" s="799"/>
      <c r="S103" s="800"/>
      <c r="T103" s="800"/>
      <c r="U103" s="1624"/>
      <c r="V103" s="1630"/>
      <c r="W103" s="1433"/>
      <c r="X103" s="110">
        <v>43</v>
      </c>
    </row>
    <row r="104" spans="1:24" s="110" customFormat="1" x14ac:dyDescent="0.25">
      <c r="A104" s="1618"/>
      <c r="B104" s="1627"/>
      <c r="C104" s="1627"/>
      <c r="D104" s="1627"/>
      <c r="E104" s="1627"/>
      <c r="F104" s="1621"/>
      <c r="G104" s="1633"/>
      <c r="H104" s="1624"/>
      <c r="I104" s="1636"/>
      <c r="J104" s="1639"/>
      <c r="K104" s="1642"/>
      <c r="L104" s="1627"/>
      <c r="M104" s="1627"/>
      <c r="N104" s="805">
        <v>45504</v>
      </c>
      <c r="O104" s="1621"/>
      <c r="P104" s="797">
        <v>390</v>
      </c>
      <c r="Q104" s="798">
        <v>45512</v>
      </c>
      <c r="R104" s="799"/>
      <c r="S104" s="800"/>
      <c r="T104" s="800"/>
      <c r="U104" s="1624"/>
      <c r="V104" s="1630"/>
      <c r="W104" s="1433"/>
      <c r="X104" s="110">
        <v>43</v>
      </c>
    </row>
    <row r="105" spans="1:24" s="110" customFormat="1" x14ac:dyDescent="0.25">
      <c r="A105" s="1618"/>
      <c r="B105" s="1627"/>
      <c r="C105" s="1627"/>
      <c r="D105" s="1627"/>
      <c r="E105" s="1627"/>
      <c r="F105" s="1621"/>
      <c r="G105" s="1633"/>
      <c r="H105" s="1624"/>
      <c r="I105" s="1636"/>
      <c r="J105" s="1639"/>
      <c r="K105" s="1642"/>
      <c r="L105" s="1627"/>
      <c r="M105" s="1627"/>
      <c r="N105" s="805">
        <v>45535</v>
      </c>
      <c r="O105" s="1621"/>
      <c r="P105" s="797">
        <v>390</v>
      </c>
      <c r="Q105" s="798">
        <v>45539</v>
      </c>
      <c r="R105" s="799"/>
      <c r="S105" s="800"/>
      <c r="T105" s="800"/>
      <c r="U105" s="1624"/>
      <c r="V105" s="1630"/>
      <c r="W105" s="1433"/>
      <c r="X105" s="110">
        <v>43</v>
      </c>
    </row>
    <row r="106" spans="1:24" s="110" customFormat="1" x14ac:dyDescent="0.25">
      <c r="A106" s="1618"/>
      <c r="B106" s="1627"/>
      <c r="C106" s="1627"/>
      <c r="D106" s="1627"/>
      <c r="E106" s="1627"/>
      <c r="F106" s="1621"/>
      <c r="G106" s="1633"/>
      <c r="H106" s="1624"/>
      <c r="I106" s="1636"/>
      <c r="J106" s="1639"/>
      <c r="K106" s="1642"/>
      <c r="L106" s="1627"/>
      <c r="M106" s="1627"/>
      <c r="N106" s="805">
        <v>45565</v>
      </c>
      <c r="O106" s="1621"/>
      <c r="P106" s="797">
        <v>390</v>
      </c>
      <c r="Q106" s="798">
        <v>45603</v>
      </c>
      <c r="R106" s="799"/>
      <c r="S106" s="800"/>
      <c r="T106" s="800"/>
      <c r="U106" s="1624"/>
      <c r="V106" s="1630"/>
      <c r="W106" s="1433"/>
      <c r="X106" s="110">
        <v>43</v>
      </c>
    </row>
    <row r="107" spans="1:24" s="110" customFormat="1" x14ac:dyDescent="0.25">
      <c r="A107" s="1618"/>
      <c r="B107" s="1627"/>
      <c r="C107" s="1627"/>
      <c r="D107" s="1627"/>
      <c r="E107" s="1627"/>
      <c r="F107" s="1621"/>
      <c r="G107" s="1633"/>
      <c r="H107" s="1624"/>
      <c r="I107" s="1636"/>
      <c r="J107" s="1639"/>
      <c r="K107" s="1642"/>
      <c r="L107" s="1627"/>
      <c r="M107" s="1627"/>
      <c r="N107" s="805">
        <v>45596</v>
      </c>
      <c r="O107" s="1621"/>
      <c r="P107" s="797">
        <v>390</v>
      </c>
      <c r="Q107" s="798">
        <v>45603</v>
      </c>
      <c r="R107" s="799"/>
      <c r="S107" s="800"/>
      <c r="T107" s="800"/>
      <c r="U107" s="1624"/>
      <c r="V107" s="1630"/>
      <c r="W107" s="1433"/>
      <c r="X107" s="110">
        <v>43</v>
      </c>
    </row>
    <row r="108" spans="1:24" s="110" customFormat="1" x14ac:dyDescent="0.25">
      <c r="A108" s="1618"/>
      <c r="B108" s="1627"/>
      <c r="C108" s="1627"/>
      <c r="D108" s="1627"/>
      <c r="E108" s="1627"/>
      <c r="F108" s="1621"/>
      <c r="G108" s="1633"/>
      <c r="H108" s="1624"/>
      <c r="I108" s="1636"/>
      <c r="J108" s="1639"/>
      <c r="K108" s="1642"/>
      <c r="L108" s="1627"/>
      <c r="M108" s="1627"/>
      <c r="N108" s="805">
        <v>45626</v>
      </c>
      <c r="O108" s="1621"/>
      <c r="P108" s="797">
        <v>390</v>
      </c>
      <c r="Q108" s="798">
        <v>45632</v>
      </c>
      <c r="R108" s="799" t="s">
        <v>487</v>
      </c>
      <c r="S108" s="800">
        <v>180</v>
      </c>
      <c r="T108" s="800"/>
      <c r="U108" s="1624"/>
      <c r="V108" s="1630"/>
      <c r="W108" s="1433"/>
      <c r="X108" s="110">
        <v>43</v>
      </c>
    </row>
    <row r="109" spans="1:24" s="110" customFormat="1" x14ac:dyDescent="0.25">
      <c r="A109" s="1619"/>
      <c r="B109" s="1628"/>
      <c r="C109" s="1628"/>
      <c r="D109" s="1628"/>
      <c r="E109" s="1628"/>
      <c r="F109" s="1622"/>
      <c r="G109" s="1634"/>
      <c r="H109" s="1625"/>
      <c r="I109" s="1637"/>
      <c r="J109" s="1640"/>
      <c r="K109" s="1643"/>
      <c r="L109" s="1628"/>
      <c r="M109" s="1628"/>
      <c r="N109" s="806">
        <v>45657</v>
      </c>
      <c r="O109" s="1622"/>
      <c r="P109" s="801"/>
      <c r="Q109" s="802"/>
      <c r="R109" s="803"/>
      <c r="S109" s="801"/>
      <c r="T109" s="801"/>
      <c r="U109" s="1625"/>
      <c r="V109" s="1631"/>
      <c r="W109" s="1434"/>
      <c r="X109" s="110">
        <v>43</v>
      </c>
    </row>
    <row r="110" spans="1:24" s="80" customFormat="1" ht="56.25" x14ac:dyDescent="0.25">
      <c r="A110" s="131">
        <v>12</v>
      </c>
      <c r="B110" s="109" t="s">
        <v>56</v>
      </c>
      <c r="C110" s="123" t="s">
        <v>147</v>
      </c>
      <c r="D110" s="109" t="s">
        <v>158</v>
      </c>
      <c r="E110" s="123" t="s">
        <v>212</v>
      </c>
      <c r="F110" s="132">
        <v>45289</v>
      </c>
      <c r="G110" s="124" t="s">
        <v>213</v>
      </c>
      <c r="H110" s="125">
        <v>50</v>
      </c>
      <c r="I110" s="126">
        <f>IF(X110 = 44, H110 + SUM(S110:S110) - SUM(T110:T110) - SUM(P110:P110) - V110,0)</f>
        <v>0</v>
      </c>
      <c r="J110" s="127">
        <v>7707049388</v>
      </c>
      <c r="K110" s="128" t="s">
        <v>209</v>
      </c>
      <c r="L110" s="123" t="s">
        <v>147</v>
      </c>
      <c r="M110" s="123" t="s">
        <v>175</v>
      </c>
      <c r="N110" s="132"/>
      <c r="O110" s="122" t="s">
        <v>203</v>
      </c>
      <c r="P110" s="125"/>
      <c r="Q110" s="124"/>
      <c r="R110" s="123"/>
      <c r="S110" s="125"/>
      <c r="T110" s="125"/>
      <c r="U110" s="125" t="s">
        <v>431</v>
      </c>
      <c r="V110" s="129">
        <v>50</v>
      </c>
      <c r="W110" s="130"/>
      <c r="X110" s="80">
        <v>44</v>
      </c>
    </row>
    <row r="111" spans="1:24" s="80" customFormat="1" ht="36" customHeight="1" x14ac:dyDescent="0.25">
      <c r="A111" s="1312">
        <v>13</v>
      </c>
      <c r="B111" s="1315" t="s">
        <v>56</v>
      </c>
      <c r="C111" s="1315" t="s">
        <v>147</v>
      </c>
      <c r="D111" s="1315" t="s">
        <v>158</v>
      </c>
      <c r="E111" s="1315" t="s">
        <v>117</v>
      </c>
      <c r="F111" s="1318">
        <v>45323</v>
      </c>
      <c r="G111" s="1336" t="s">
        <v>199</v>
      </c>
      <c r="H111" s="1339">
        <v>38479.32</v>
      </c>
      <c r="I111" s="1342">
        <f>IF(X111 = 45, H111 + SUM(S111:S121) - SUM(T111:T121) - SUM(P111:P121) - V111,0)</f>
        <v>0</v>
      </c>
      <c r="J111" s="1345">
        <v>2353023951</v>
      </c>
      <c r="K111" s="1348" t="s">
        <v>201</v>
      </c>
      <c r="L111" s="1315" t="s">
        <v>147</v>
      </c>
      <c r="M111" s="1315" t="s">
        <v>216</v>
      </c>
      <c r="N111" s="862">
        <v>45350</v>
      </c>
      <c r="O111" s="1318" t="s">
        <v>203</v>
      </c>
      <c r="P111" s="851">
        <v>173.8</v>
      </c>
      <c r="Q111" s="852">
        <v>45352</v>
      </c>
      <c r="R111" s="853"/>
      <c r="S111" s="854"/>
      <c r="T111" s="854"/>
      <c r="U111" s="1339" t="s">
        <v>494</v>
      </c>
      <c r="V111" s="1330">
        <v>23895.360000000001</v>
      </c>
      <c r="W111" s="1333"/>
      <c r="X111" s="80">
        <v>45</v>
      </c>
    </row>
    <row r="112" spans="1:24" s="110" customFormat="1" x14ac:dyDescent="0.25">
      <c r="A112" s="1313"/>
      <c r="B112" s="1316"/>
      <c r="C112" s="1316"/>
      <c r="D112" s="1316"/>
      <c r="E112" s="1316"/>
      <c r="F112" s="1319"/>
      <c r="G112" s="1337"/>
      <c r="H112" s="1340"/>
      <c r="I112" s="1343"/>
      <c r="J112" s="1346"/>
      <c r="K112" s="1349"/>
      <c r="L112" s="1316"/>
      <c r="M112" s="1316"/>
      <c r="N112" s="863">
        <v>45380</v>
      </c>
      <c r="O112" s="1319"/>
      <c r="P112" s="855">
        <v>729.96</v>
      </c>
      <c r="Q112" s="856">
        <v>45385</v>
      </c>
      <c r="R112" s="857"/>
      <c r="S112" s="858"/>
      <c r="T112" s="858"/>
      <c r="U112" s="1340"/>
      <c r="V112" s="1331"/>
      <c r="W112" s="1334"/>
      <c r="X112" s="110">
        <v>45</v>
      </c>
    </row>
    <row r="113" spans="1:24" s="110" customFormat="1" x14ac:dyDescent="0.25">
      <c r="A113" s="1313"/>
      <c r="B113" s="1316"/>
      <c r="C113" s="1316"/>
      <c r="D113" s="1316"/>
      <c r="E113" s="1316"/>
      <c r="F113" s="1319"/>
      <c r="G113" s="1337"/>
      <c r="H113" s="1340"/>
      <c r="I113" s="1343"/>
      <c r="J113" s="1346"/>
      <c r="K113" s="1349"/>
      <c r="L113" s="1316"/>
      <c r="M113" s="1316"/>
      <c r="N113" s="863">
        <v>45412</v>
      </c>
      <c r="O113" s="1319"/>
      <c r="P113" s="855">
        <v>1390.4</v>
      </c>
      <c r="Q113" s="856">
        <v>45420</v>
      </c>
      <c r="R113" s="857"/>
      <c r="S113" s="858"/>
      <c r="T113" s="858"/>
      <c r="U113" s="1340"/>
      <c r="V113" s="1331"/>
      <c r="W113" s="1334"/>
      <c r="X113" s="110">
        <v>45</v>
      </c>
    </row>
    <row r="114" spans="1:24" s="110" customFormat="1" x14ac:dyDescent="0.25">
      <c r="A114" s="1313"/>
      <c r="B114" s="1316"/>
      <c r="C114" s="1316"/>
      <c r="D114" s="1316"/>
      <c r="E114" s="1316"/>
      <c r="F114" s="1319"/>
      <c r="G114" s="1337"/>
      <c r="H114" s="1340"/>
      <c r="I114" s="1343"/>
      <c r="J114" s="1346"/>
      <c r="K114" s="1349"/>
      <c r="L114" s="1316"/>
      <c r="M114" s="1316"/>
      <c r="N114" s="863">
        <v>45440</v>
      </c>
      <c r="O114" s="1319"/>
      <c r="P114" s="855">
        <v>556.16</v>
      </c>
      <c r="Q114" s="856">
        <v>45448</v>
      </c>
      <c r="R114" s="857"/>
      <c r="S114" s="858"/>
      <c r="T114" s="858"/>
      <c r="U114" s="1340"/>
      <c r="V114" s="1331"/>
      <c r="W114" s="1334"/>
      <c r="X114" s="110">
        <v>45</v>
      </c>
    </row>
    <row r="115" spans="1:24" s="110" customFormat="1" x14ac:dyDescent="0.25">
      <c r="A115" s="1313"/>
      <c r="B115" s="1316"/>
      <c r="C115" s="1316"/>
      <c r="D115" s="1316"/>
      <c r="E115" s="1316"/>
      <c r="F115" s="1319"/>
      <c r="G115" s="1337"/>
      <c r="H115" s="1340"/>
      <c r="I115" s="1343"/>
      <c r="J115" s="1346"/>
      <c r="K115" s="1349"/>
      <c r="L115" s="1316"/>
      <c r="M115" s="1316"/>
      <c r="N115" s="863">
        <v>45469</v>
      </c>
      <c r="O115" s="1319"/>
      <c r="P115" s="855">
        <v>2224.64</v>
      </c>
      <c r="Q115" s="856">
        <v>45477</v>
      </c>
      <c r="R115" s="857"/>
      <c r="S115" s="858"/>
      <c r="T115" s="858"/>
      <c r="U115" s="1340"/>
      <c r="V115" s="1331"/>
      <c r="W115" s="1334"/>
      <c r="X115" s="110">
        <v>45</v>
      </c>
    </row>
    <row r="116" spans="1:24" s="110" customFormat="1" x14ac:dyDescent="0.25">
      <c r="A116" s="1313"/>
      <c r="B116" s="1316"/>
      <c r="C116" s="1316"/>
      <c r="D116" s="1316"/>
      <c r="E116" s="1316"/>
      <c r="F116" s="1319"/>
      <c r="G116" s="1337"/>
      <c r="H116" s="1340"/>
      <c r="I116" s="1343"/>
      <c r="J116" s="1346"/>
      <c r="K116" s="1349"/>
      <c r="L116" s="1316"/>
      <c r="M116" s="1316"/>
      <c r="N116" s="863">
        <v>45504</v>
      </c>
      <c r="O116" s="1319"/>
      <c r="P116" s="855">
        <v>2035</v>
      </c>
      <c r="Q116" s="856">
        <v>45511</v>
      </c>
      <c r="R116" s="857"/>
      <c r="S116" s="858"/>
      <c r="T116" s="858"/>
      <c r="U116" s="1340"/>
      <c r="V116" s="1331"/>
      <c r="W116" s="1334"/>
      <c r="X116" s="110">
        <v>45</v>
      </c>
    </row>
    <row r="117" spans="1:24" s="110" customFormat="1" x14ac:dyDescent="0.25">
      <c r="A117" s="1313"/>
      <c r="B117" s="1316"/>
      <c r="C117" s="1316"/>
      <c r="D117" s="1316"/>
      <c r="E117" s="1316"/>
      <c r="F117" s="1319"/>
      <c r="G117" s="1337"/>
      <c r="H117" s="1340"/>
      <c r="I117" s="1343"/>
      <c r="J117" s="1346"/>
      <c r="K117" s="1349"/>
      <c r="L117" s="1316"/>
      <c r="M117" s="1316"/>
      <c r="N117" s="863">
        <v>45535</v>
      </c>
      <c r="O117" s="1319"/>
      <c r="P117" s="855">
        <v>2035</v>
      </c>
      <c r="Q117" s="856">
        <v>45539</v>
      </c>
      <c r="R117" s="857"/>
      <c r="S117" s="858"/>
      <c r="T117" s="858"/>
      <c r="U117" s="1340"/>
      <c r="V117" s="1331"/>
      <c r="W117" s="1334"/>
      <c r="X117" s="110">
        <v>45</v>
      </c>
    </row>
    <row r="118" spans="1:24" s="110" customFormat="1" x14ac:dyDescent="0.25">
      <c r="A118" s="1313"/>
      <c r="B118" s="1316"/>
      <c r="C118" s="1316"/>
      <c r="D118" s="1316"/>
      <c r="E118" s="1316"/>
      <c r="F118" s="1319"/>
      <c r="G118" s="1337"/>
      <c r="H118" s="1340"/>
      <c r="I118" s="1343"/>
      <c r="J118" s="1346"/>
      <c r="K118" s="1349"/>
      <c r="L118" s="1316"/>
      <c r="M118" s="1316"/>
      <c r="N118" s="863">
        <v>45562</v>
      </c>
      <c r="O118" s="1319"/>
      <c r="P118" s="855">
        <v>1295</v>
      </c>
      <c r="Q118" s="856">
        <v>45568</v>
      </c>
      <c r="R118" s="857"/>
      <c r="S118" s="858"/>
      <c r="T118" s="858"/>
      <c r="U118" s="1340"/>
      <c r="V118" s="1331"/>
      <c r="W118" s="1334"/>
      <c r="X118" s="110">
        <v>45</v>
      </c>
    </row>
    <row r="119" spans="1:24" s="110" customFormat="1" x14ac:dyDescent="0.25">
      <c r="A119" s="1313"/>
      <c r="B119" s="1316"/>
      <c r="C119" s="1316"/>
      <c r="D119" s="1316"/>
      <c r="E119" s="1316"/>
      <c r="F119" s="1319"/>
      <c r="G119" s="1337"/>
      <c r="H119" s="1340"/>
      <c r="I119" s="1343"/>
      <c r="J119" s="1346"/>
      <c r="K119" s="1349"/>
      <c r="L119" s="1316"/>
      <c r="M119" s="1316"/>
      <c r="N119" s="863">
        <v>45593</v>
      </c>
      <c r="O119" s="1319"/>
      <c r="P119" s="855">
        <v>1406</v>
      </c>
      <c r="Q119" s="856">
        <v>45596</v>
      </c>
      <c r="R119" s="857"/>
      <c r="S119" s="858"/>
      <c r="T119" s="858"/>
      <c r="U119" s="1340"/>
      <c r="V119" s="1331"/>
      <c r="W119" s="1334"/>
      <c r="X119" s="110">
        <v>45</v>
      </c>
    </row>
    <row r="120" spans="1:24" s="110" customFormat="1" x14ac:dyDescent="0.25">
      <c r="A120" s="1313"/>
      <c r="B120" s="1316"/>
      <c r="C120" s="1316"/>
      <c r="D120" s="1316"/>
      <c r="E120" s="1316"/>
      <c r="F120" s="1319"/>
      <c r="G120" s="1337"/>
      <c r="H120" s="1340"/>
      <c r="I120" s="1343"/>
      <c r="J120" s="1346"/>
      <c r="K120" s="1349"/>
      <c r="L120" s="1316"/>
      <c r="M120" s="1316"/>
      <c r="N120" s="863">
        <v>45625</v>
      </c>
      <c r="O120" s="1319"/>
      <c r="P120" s="855">
        <v>1517</v>
      </c>
      <c r="Q120" s="856">
        <v>45629</v>
      </c>
      <c r="R120" s="857"/>
      <c r="S120" s="858"/>
      <c r="T120" s="858"/>
      <c r="U120" s="1340"/>
      <c r="V120" s="1331"/>
      <c r="W120" s="1334"/>
      <c r="X120" s="110">
        <v>45</v>
      </c>
    </row>
    <row r="121" spans="1:24" s="110" customFormat="1" x14ac:dyDescent="0.25">
      <c r="A121" s="1314"/>
      <c r="B121" s="1317"/>
      <c r="C121" s="1317"/>
      <c r="D121" s="1317"/>
      <c r="E121" s="1317"/>
      <c r="F121" s="1320"/>
      <c r="G121" s="1338"/>
      <c r="H121" s="1341"/>
      <c r="I121" s="1344"/>
      <c r="J121" s="1347"/>
      <c r="K121" s="1350"/>
      <c r="L121" s="1317"/>
      <c r="M121" s="1317"/>
      <c r="N121" s="864">
        <v>45645</v>
      </c>
      <c r="O121" s="1320"/>
      <c r="P121" s="936">
        <v>1221</v>
      </c>
      <c r="Q121" s="860">
        <v>45646</v>
      </c>
      <c r="R121" s="861"/>
      <c r="S121" s="859"/>
      <c r="T121" s="859"/>
      <c r="U121" s="1341"/>
      <c r="V121" s="1332"/>
      <c r="W121" s="1335"/>
      <c r="X121" s="110">
        <v>45</v>
      </c>
    </row>
    <row r="122" spans="1:24" s="80" customFormat="1" ht="42" customHeight="1" x14ac:dyDescent="0.25">
      <c r="A122" s="1285">
        <v>14</v>
      </c>
      <c r="B122" s="1232" t="s">
        <v>56</v>
      </c>
      <c r="C122" s="1232" t="s">
        <v>147</v>
      </c>
      <c r="D122" s="1232" t="s">
        <v>158</v>
      </c>
      <c r="E122" s="1232" t="s">
        <v>217</v>
      </c>
      <c r="F122" s="1235">
        <v>45289</v>
      </c>
      <c r="G122" s="1238" t="s">
        <v>218</v>
      </c>
      <c r="H122" s="1241">
        <v>12135.8</v>
      </c>
      <c r="I122" s="1244">
        <f>IF(X122 = 46, H122 + SUM(S122:S125) - SUM(T122:T125) - SUM(P122:P125) - V122,0)</f>
        <v>-4.0000000008149073E-3</v>
      </c>
      <c r="J122" s="1247">
        <v>2353018870</v>
      </c>
      <c r="K122" s="1250" t="s">
        <v>219</v>
      </c>
      <c r="L122" s="1232" t="s">
        <v>147</v>
      </c>
      <c r="M122" s="1232" t="s">
        <v>175</v>
      </c>
      <c r="N122" s="829">
        <v>45376</v>
      </c>
      <c r="O122" s="1235" t="s">
        <v>203</v>
      </c>
      <c r="P122" s="818">
        <v>3033.9540000000002</v>
      </c>
      <c r="Q122" s="819">
        <v>45378</v>
      </c>
      <c r="R122" s="820"/>
      <c r="S122" s="821"/>
      <c r="T122" s="821"/>
      <c r="U122" s="1241"/>
      <c r="V122" s="1226"/>
      <c r="W122" s="1229"/>
      <c r="X122" s="80">
        <v>46</v>
      </c>
    </row>
    <row r="123" spans="1:24" s="110" customFormat="1" x14ac:dyDescent="0.25">
      <c r="A123" s="1286"/>
      <c r="B123" s="1233"/>
      <c r="C123" s="1233"/>
      <c r="D123" s="1233"/>
      <c r="E123" s="1233"/>
      <c r="F123" s="1236"/>
      <c r="G123" s="1239"/>
      <c r="H123" s="1242"/>
      <c r="I123" s="1245"/>
      <c r="J123" s="1248"/>
      <c r="K123" s="1251"/>
      <c r="L123" s="1233"/>
      <c r="M123" s="1233"/>
      <c r="N123" s="830">
        <v>45471</v>
      </c>
      <c r="O123" s="1236"/>
      <c r="P123" s="822">
        <v>3033.95</v>
      </c>
      <c r="Q123" s="823">
        <v>45475</v>
      </c>
      <c r="R123" s="824"/>
      <c r="S123" s="825"/>
      <c r="T123" s="825"/>
      <c r="U123" s="1242"/>
      <c r="V123" s="1227"/>
      <c r="W123" s="1230"/>
      <c r="X123" s="110">
        <v>46</v>
      </c>
    </row>
    <row r="124" spans="1:24" s="110" customFormat="1" x14ac:dyDescent="0.25">
      <c r="A124" s="1286"/>
      <c r="B124" s="1233"/>
      <c r="C124" s="1233"/>
      <c r="D124" s="1233"/>
      <c r="E124" s="1233"/>
      <c r="F124" s="1236"/>
      <c r="G124" s="1239"/>
      <c r="H124" s="1242"/>
      <c r="I124" s="1245"/>
      <c r="J124" s="1248"/>
      <c r="K124" s="1251"/>
      <c r="L124" s="1233"/>
      <c r="M124" s="1233"/>
      <c r="N124" s="830">
        <v>45565</v>
      </c>
      <c r="O124" s="1236"/>
      <c r="P124" s="822">
        <v>3033.95</v>
      </c>
      <c r="Q124" s="823">
        <v>45569</v>
      </c>
      <c r="R124" s="824"/>
      <c r="S124" s="825"/>
      <c r="T124" s="825"/>
      <c r="U124" s="1242"/>
      <c r="V124" s="1227"/>
      <c r="W124" s="1230"/>
      <c r="X124" s="110">
        <v>46</v>
      </c>
    </row>
    <row r="125" spans="1:24" s="110" customFormat="1" x14ac:dyDescent="0.25">
      <c r="A125" s="1287"/>
      <c r="B125" s="1234"/>
      <c r="C125" s="1234"/>
      <c r="D125" s="1234"/>
      <c r="E125" s="1234"/>
      <c r="F125" s="1237"/>
      <c r="G125" s="1240"/>
      <c r="H125" s="1243"/>
      <c r="I125" s="1246"/>
      <c r="J125" s="1249"/>
      <c r="K125" s="1252"/>
      <c r="L125" s="1234"/>
      <c r="M125" s="1234"/>
      <c r="N125" s="831">
        <v>45646</v>
      </c>
      <c r="O125" s="1237"/>
      <c r="P125" s="938">
        <v>3033.95</v>
      </c>
      <c r="Q125" s="827">
        <v>45646</v>
      </c>
      <c r="R125" s="828"/>
      <c r="S125" s="826"/>
      <c r="T125" s="826"/>
      <c r="U125" s="1243"/>
      <c r="V125" s="1228"/>
      <c r="W125" s="1231"/>
      <c r="X125" s="110">
        <v>46</v>
      </c>
    </row>
    <row r="126" spans="1:24" s="80" customFormat="1" ht="56.25" x14ac:dyDescent="0.25">
      <c r="A126" s="133">
        <v>15</v>
      </c>
      <c r="B126" s="109" t="s">
        <v>56</v>
      </c>
      <c r="C126" s="134" t="s">
        <v>147</v>
      </c>
      <c r="D126" s="109" t="s">
        <v>158</v>
      </c>
      <c r="E126" s="134" t="s">
        <v>111</v>
      </c>
      <c r="F126" s="142">
        <v>45317</v>
      </c>
      <c r="G126" s="135" t="s">
        <v>220</v>
      </c>
      <c r="H126" s="136">
        <v>3000</v>
      </c>
      <c r="I126" s="137">
        <f>IF(X126 = 47, H126 + SUM(S126:S126) - SUM(T126:T126) - SUM(P126:P126) - V126,0)</f>
        <v>0</v>
      </c>
      <c r="J126" s="138">
        <v>2369980106</v>
      </c>
      <c r="K126" s="139" t="s">
        <v>222</v>
      </c>
      <c r="L126" s="134" t="s">
        <v>147</v>
      </c>
      <c r="M126" s="134" t="s">
        <v>223</v>
      </c>
      <c r="N126" s="142">
        <v>45324</v>
      </c>
      <c r="O126" s="122" t="s">
        <v>203</v>
      </c>
      <c r="P126" s="150">
        <v>3000</v>
      </c>
      <c r="Q126" s="135">
        <v>45335</v>
      </c>
      <c r="R126" s="134"/>
      <c r="S126" s="136"/>
      <c r="T126" s="136"/>
      <c r="U126" s="136"/>
      <c r="V126" s="140"/>
      <c r="W126" s="141"/>
      <c r="X126" s="80">
        <v>47</v>
      </c>
    </row>
    <row r="127" spans="1:24" s="80" customFormat="1" ht="56.25" x14ac:dyDescent="0.25">
      <c r="A127" s="133">
        <v>16</v>
      </c>
      <c r="B127" s="109" t="s">
        <v>56</v>
      </c>
      <c r="C127" s="134" t="s">
        <v>147</v>
      </c>
      <c r="D127" s="109" t="s">
        <v>158</v>
      </c>
      <c r="E127" s="134" t="s">
        <v>112</v>
      </c>
      <c r="F127" s="142">
        <v>45320</v>
      </c>
      <c r="G127" s="135" t="s">
        <v>221</v>
      </c>
      <c r="H127" s="136">
        <v>1500</v>
      </c>
      <c r="I127" s="137">
        <f>IF(X127 = 48, H127 + SUM(S127:S127) - SUM(T127:T127) - SUM(P127:P127) - V127,0)</f>
        <v>0</v>
      </c>
      <c r="J127" s="138">
        <v>2369980106</v>
      </c>
      <c r="K127" s="139" t="s">
        <v>222</v>
      </c>
      <c r="L127" s="134" t="s">
        <v>147</v>
      </c>
      <c r="M127" s="134" t="s">
        <v>224</v>
      </c>
      <c r="N127" s="142">
        <v>45324</v>
      </c>
      <c r="O127" s="122" t="s">
        <v>203</v>
      </c>
      <c r="P127" s="150">
        <v>1500</v>
      </c>
      <c r="Q127" s="135">
        <v>45335</v>
      </c>
      <c r="R127" s="134"/>
      <c r="S127" s="136"/>
      <c r="T127" s="136"/>
      <c r="U127" s="136"/>
      <c r="V127" s="140"/>
      <c r="W127" s="141"/>
      <c r="X127" s="80">
        <v>48</v>
      </c>
    </row>
    <row r="128" spans="1:24" s="80" customFormat="1" ht="36" customHeight="1" x14ac:dyDescent="0.25">
      <c r="A128" s="1513">
        <v>17</v>
      </c>
      <c r="B128" s="1410" t="s">
        <v>56</v>
      </c>
      <c r="C128" s="1410" t="s">
        <v>147</v>
      </c>
      <c r="D128" s="1410" t="s">
        <v>158</v>
      </c>
      <c r="E128" s="1410" t="s">
        <v>226</v>
      </c>
      <c r="F128" s="1355">
        <v>45290</v>
      </c>
      <c r="G128" s="1370" t="s">
        <v>227</v>
      </c>
      <c r="H128" s="1435">
        <v>12916.8</v>
      </c>
      <c r="I128" s="1437">
        <f>IF(X128 = 49, H128 + SUM(S128:S130) - SUM(T128:T130) - SUM(P128:P130) - V128,0)</f>
        <v>-1.4779288903810084E-12</v>
      </c>
      <c r="J128" s="1439">
        <v>235300582900</v>
      </c>
      <c r="K128" s="1441" t="s">
        <v>230</v>
      </c>
      <c r="L128" s="1410" t="s">
        <v>147</v>
      </c>
      <c r="M128" s="1410" t="s">
        <v>228</v>
      </c>
      <c r="N128" s="179">
        <v>45324</v>
      </c>
      <c r="O128" s="1355" t="s">
        <v>203</v>
      </c>
      <c r="P128" s="169">
        <v>4222.8</v>
      </c>
      <c r="Q128" s="170">
        <v>45336</v>
      </c>
      <c r="R128" s="171"/>
      <c r="S128" s="172"/>
      <c r="T128" s="172"/>
      <c r="U128" s="1435" t="s">
        <v>262</v>
      </c>
      <c r="V128" s="1404">
        <v>993.6</v>
      </c>
      <c r="W128" s="1407"/>
      <c r="X128" s="80">
        <v>49</v>
      </c>
    </row>
    <row r="129" spans="1:24" s="110" customFormat="1" x14ac:dyDescent="0.25">
      <c r="A129" s="1514"/>
      <c r="B129" s="1411"/>
      <c r="C129" s="1411"/>
      <c r="D129" s="1411"/>
      <c r="E129" s="1411"/>
      <c r="F129" s="1356"/>
      <c r="G129" s="1371"/>
      <c r="H129" s="1436"/>
      <c r="I129" s="1438"/>
      <c r="J129" s="1440"/>
      <c r="K129" s="1442"/>
      <c r="L129" s="1411"/>
      <c r="M129" s="1411"/>
      <c r="N129" s="180">
        <v>45356</v>
      </c>
      <c r="O129" s="1356"/>
      <c r="P129" s="194">
        <v>4843.8</v>
      </c>
      <c r="Q129" s="174">
        <v>45384</v>
      </c>
      <c r="R129" s="175"/>
      <c r="S129" s="173"/>
      <c r="T129" s="173"/>
      <c r="U129" s="1436"/>
      <c r="V129" s="1405"/>
      <c r="W129" s="1408"/>
      <c r="X129" s="110">
        <v>49</v>
      </c>
    </row>
    <row r="130" spans="1:24" s="110" customFormat="1" x14ac:dyDescent="0.25">
      <c r="A130" s="1515"/>
      <c r="B130" s="1412"/>
      <c r="C130" s="1412"/>
      <c r="D130" s="1412"/>
      <c r="E130" s="1412"/>
      <c r="F130" s="1357"/>
      <c r="G130" s="1372"/>
      <c r="H130" s="1444"/>
      <c r="I130" s="1445"/>
      <c r="J130" s="1446"/>
      <c r="K130" s="1443"/>
      <c r="L130" s="1412"/>
      <c r="M130" s="1412"/>
      <c r="N130" s="181">
        <v>45373</v>
      </c>
      <c r="O130" s="1357"/>
      <c r="P130" s="233">
        <v>2856.6</v>
      </c>
      <c r="Q130" s="177">
        <v>45386</v>
      </c>
      <c r="R130" s="178"/>
      <c r="S130" s="176"/>
      <c r="T130" s="176"/>
      <c r="U130" s="1444"/>
      <c r="V130" s="1406"/>
      <c r="W130" s="1409"/>
      <c r="X130" s="110">
        <v>49</v>
      </c>
    </row>
    <row r="131" spans="1:24" s="80" customFormat="1" ht="36" customHeight="1" x14ac:dyDescent="0.25">
      <c r="A131" s="1513">
        <v>18</v>
      </c>
      <c r="B131" s="1410" t="s">
        <v>56</v>
      </c>
      <c r="C131" s="1410" t="s">
        <v>147</v>
      </c>
      <c r="D131" s="1410" t="s">
        <v>158</v>
      </c>
      <c r="E131" s="1410" t="s">
        <v>225</v>
      </c>
      <c r="F131" s="1355">
        <v>45290</v>
      </c>
      <c r="G131" s="1370" t="s">
        <v>229</v>
      </c>
      <c r="H131" s="1435">
        <v>52624</v>
      </c>
      <c r="I131" s="1437">
        <f>IF(X131 = 50, H131 + SUM(S131:S133) - SUM(T131:T133) - SUM(P131:P133) - V131,0)</f>
        <v>1.8189894035458565E-12</v>
      </c>
      <c r="J131" s="1439">
        <v>235300582900</v>
      </c>
      <c r="K131" s="1441" t="s">
        <v>171</v>
      </c>
      <c r="L131" s="1410" t="s">
        <v>147</v>
      </c>
      <c r="M131" s="1410" t="s">
        <v>228</v>
      </c>
      <c r="N131" s="179">
        <v>45324</v>
      </c>
      <c r="O131" s="1355" t="s">
        <v>203</v>
      </c>
      <c r="P131" s="169">
        <v>13787.4</v>
      </c>
      <c r="Q131" s="170">
        <v>45338</v>
      </c>
      <c r="R131" s="171"/>
      <c r="S131" s="172"/>
      <c r="T131" s="172"/>
      <c r="U131" s="1435" t="s">
        <v>262</v>
      </c>
      <c r="V131" s="1404">
        <v>15740.4</v>
      </c>
      <c r="W131" s="1407"/>
      <c r="X131" s="80">
        <v>50</v>
      </c>
    </row>
    <row r="132" spans="1:24" s="110" customFormat="1" x14ac:dyDescent="0.25">
      <c r="A132" s="1514"/>
      <c r="B132" s="1411"/>
      <c r="C132" s="1411"/>
      <c r="D132" s="1411"/>
      <c r="E132" s="1411"/>
      <c r="F132" s="1356"/>
      <c r="G132" s="1371"/>
      <c r="H132" s="1436"/>
      <c r="I132" s="1438"/>
      <c r="J132" s="1440"/>
      <c r="K132" s="1442"/>
      <c r="L132" s="1411"/>
      <c r="M132" s="1411"/>
      <c r="N132" s="180"/>
      <c r="O132" s="1356"/>
      <c r="P132" s="194">
        <v>12618.8</v>
      </c>
      <c r="Q132" s="174">
        <v>45365</v>
      </c>
      <c r="R132" s="175"/>
      <c r="S132" s="173"/>
      <c r="T132" s="173"/>
      <c r="U132" s="1436"/>
      <c r="V132" s="1405"/>
      <c r="W132" s="1408"/>
      <c r="X132" s="110">
        <v>50</v>
      </c>
    </row>
    <row r="133" spans="1:24" s="110" customFormat="1" x14ac:dyDescent="0.25">
      <c r="A133" s="1515"/>
      <c r="B133" s="1412"/>
      <c r="C133" s="1412"/>
      <c r="D133" s="1412"/>
      <c r="E133" s="1412"/>
      <c r="F133" s="1357"/>
      <c r="G133" s="1372"/>
      <c r="H133" s="1444"/>
      <c r="I133" s="1445"/>
      <c r="J133" s="1446"/>
      <c r="K133" s="1443"/>
      <c r="L133" s="1412"/>
      <c r="M133" s="1412"/>
      <c r="N133" s="181">
        <v>45373</v>
      </c>
      <c r="O133" s="1357"/>
      <c r="P133" s="233">
        <v>10477.4</v>
      </c>
      <c r="Q133" s="177">
        <v>45386</v>
      </c>
      <c r="R133" s="178"/>
      <c r="S133" s="176"/>
      <c r="T133" s="176"/>
      <c r="U133" s="1444"/>
      <c r="V133" s="1406"/>
      <c r="W133" s="1409"/>
      <c r="X133" s="110">
        <v>50</v>
      </c>
    </row>
    <row r="134" spans="1:24" s="80" customFormat="1" ht="72" customHeight="1" x14ac:dyDescent="0.25">
      <c r="A134" s="1513">
        <v>19</v>
      </c>
      <c r="B134" s="1410" t="s">
        <v>56</v>
      </c>
      <c r="C134" s="1410" t="s">
        <v>147</v>
      </c>
      <c r="D134" s="1410" t="s">
        <v>158</v>
      </c>
      <c r="E134" s="1410" t="s">
        <v>232</v>
      </c>
      <c r="F134" s="1355">
        <v>45309</v>
      </c>
      <c r="G134" s="1370" t="s">
        <v>233</v>
      </c>
      <c r="H134" s="1435">
        <v>23025.599999999999</v>
      </c>
      <c r="I134" s="1437">
        <f>IF(X134 = 51, H134 + SUM(S134:S135) - SUM(T134:T135) - SUM(P134:P135) - V134,0)</f>
        <v>-1.8189894035458565E-12</v>
      </c>
      <c r="J134" s="1439">
        <v>235300582900</v>
      </c>
      <c r="K134" s="1441" t="s">
        <v>171</v>
      </c>
      <c r="L134" s="1410" t="s">
        <v>147</v>
      </c>
      <c r="M134" s="1410" t="s">
        <v>231</v>
      </c>
      <c r="N134" s="179">
        <v>45324</v>
      </c>
      <c r="O134" s="1355" t="s">
        <v>203</v>
      </c>
      <c r="P134" s="169">
        <v>5412</v>
      </c>
      <c r="Q134" s="170">
        <v>45334</v>
      </c>
      <c r="R134" s="171"/>
      <c r="S134" s="172"/>
      <c r="T134" s="172"/>
      <c r="U134" s="1435" t="s">
        <v>263</v>
      </c>
      <c r="V134" s="1404">
        <v>5928.6</v>
      </c>
      <c r="W134" s="1407"/>
      <c r="X134" s="80">
        <v>51</v>
      </c>
    </row>
    <row r="135" spans="1:24" s="110" customFormat="1" x14ac:dyDescent="0.25">
      <c r="A135" s="1514"/>
      <c r="B135" s="1411"/>
      <c r="C135" s="1411"/>
      <c r="D135" s="1411"/>
      <c r="E135" s="1411"/>
      <c r="F135" s="1356"/>
      <c r="G135" s="1371"/>
      <c r="H135" s="1436"/>
      <c r="I135" s="1438"/>
      <c r="J135" s="1440"/>
      <c r="K135" s="1442"/>
      <c r="L135" s="1411"/>
      <c r="M135" s="1411"/>
      <c r="N135" s="180">
        <v>45356</v>
      </c>
      <c r="O135" s="1356"/>
      <c r="P135" s="194">
        <v>11685</v>
      </c>
      <c r="Q135" s="174">
        <v>45366</v>
      </c>
      <c r="R135" s="175"/>
      <c r="S135" s="173"/>
      <c r="T135" s="173"/>
      <c r="U135" s="1436"/>
      <c r="V135" s="1405"/>
      <c r="W135" s="1408"/>
      <c r="X135" s="110">
        <v>51</v>
      </c>
    </row>
    <row r="136" spans="1:24" s="80" customFormat="1" ht="68.45" customHeight="1" x14ac:dyDescent="0.25">
      <c r="A136" s="151">
        <v>20</v>
      </c>
      <c r="B136" s="152" t="s">
        <v>56</v>
      </c>
      <c r="C136" s="152" t="s">
        <v>147</v>
      </c>
      <c r="D136" s="152" t="s">
        <v>158</v>
      </c>
      <c r="E136" s="152" t="s">
        <v>234</v>
      </c>
      <c r="F136" s="159">
        <v>45351</v>
      </c>
      <c r="G136" s="153" t="s">
        <v>233</v>
      </c>
      <c r="H136" s="154">
        <v>9963</v>
      </c>
      <c r="I136" s="155">
        <f>IF(X136 = 52, H136 + SUM(S136:S136) - SUM(T136:T136) - SUM(P136:P136) - V136,0)</f>
        <v>0</v>
      </c>
      <c r="J136" s="156">
        <v>235300582900</v>
      </c>
      <c r="K136" s="157" t="s">
        <v>171</v>
      </c>
      <c r="L136" s="152" t="s">
        <v>147</v>
      </c>
      <c r="M136" s="152" t="s">
        <v>235</v>
      </c>
      <c r="N136" s="159">
        <v>45373</v>
      </c>
      <c r="O136" s="159" t="s">
        <v>203</v>
      </c>
      <c r="P136" s="235">
        <v>8364</v>
      </c>
      <c r="Q136" s="153">
        <v>45386</v>
      </c>
      <c r="R136" s="152"/>
      <c r="S136" s="154"/>
      <c r="T136" s="154"/>
      <c r="U136" s="154" t="s">
        <v>262</v>
      </c>
      <c r="V136" s="158">
        <v>1599</v>
      </c>
      <c r="W136" s="149"/>
      <c r="X136" s="80">
        <v>52</v>
      </c>
    </row>
    <row r="137" spans="1:24" s="80" customFormat="1" ht="54" customHeight="1" x14ac:dyDescent="0.25">
      <c r="A137" s="1575">
        <v>21</v>
      </c>
      <c r="B137" s="1366" t="s">
        <v>56</v>
      </c>
      <c r="C137" s="1366" t="s">
        <v>147</v>
      </c>
      <c r="D137" s="1366" t="s">
        <v>158</v>
      </c>
      <c r="E137" s="1366" t="s">
        <v>129</v>
      </c>
      <c r="F137" s="1368">
        <v>45380</v>
      </c>
      <c r="G137" s="1353" t="s">
        <v>244</v>
      </c>
      <c r="H137" s="1358">
        <v>275947.56</v>
      </c>
      <c r="I137" s="1360">
        <f>IF(X137 = 53, H137 + SUM(S137:S138) - SUM(T137:T138) - SUM(P137:P138) - V137,0)</f>
        <v>-1.6370904631912708E-11</v>
      </c>
      <c r="J137" s="1362">
        <v>235300582900</v>
      </c>
      <c r="K137" s="1364" t="s">
        <v>171</v>
      </c>
      <c r="L137" s="1366" t="s">
        <v>147</v>
      </c>
      <c r="M137" s="1366" t="s">
        <v>245</v>
      </c>
      <c r="N137" s="253">
        <v>45414</v>
      </c>
      <c r="O137" s="1368" t="s">
        <v>203</v>
      </c>
      <c r="P137" s="278">
        <v>152574.18</v>
      </c>
      <c r="Q137" s="248">
        <v>45429</v>
      </c>
      <c r="R137" s="249"/>
      <c r="S137" s="247"/>
      <c r="T137" s="247"/>
      <c r="U137" s="1358" t="s">
        <v>320</v>
      </c>
      <c r="V137" s="1391">
        <v>15330.42</v>
      </c>
      <c r="W137" s="1351"/>
      <c r="X137" s="80">
        <v>53</v>
      </c>
    </row>
    <row r="138" spans="1:24" s="110" customFormat="1" x14ac:dyDescent="0.25">
      <c r="A138" s="1576"/>
      <c r="B138" s="1367"/>
      <c r="C138" s="1367"/>
      <c r="D138" s="1367"/>
      <c r="E138" s="1367"/>
      <c r="F138" s="1369"/>
      <c r="G138" s="1354"/>
      <c r="H138" s="1359"/>
      <c r="I138" s="1361"/>
      <c r="J138" s="1363"/>
      <c r="K138" s="1365"/>
      <c r="L138" s="1367"/>
      <c r="M138" s="1367"/>
      <c r="N138" s="254">
        <v>45436</v>
      </c>
      <c r="O138" s="1369"/>
      <c r="P138" s="298">
        <v>108042.96</v>
      </c>
      <c r="Q138" s="251">
        <v>45447</v>
      </c>
      <c r="R138" s="252"/>
      <c r="S138" s="250"/>
      <c r="T138" s="250"/>
      <c r="U138" s="1359"/>
      <c r="V138" s="1392"/>
      <c r="W138" s="1352"/>
      <c r="X138" s="110">
        <v>53</v>
      </c>
    </row>
    <row r="139" spans="1:24" s="80" customFormat="1" ht="36" customHeight="1" x14ac:dyDescent="0.25">
      <c r="A139" s="1504">
        <v>22</v>
      </c>
      <c r="B139" s="1385" t="s">
        <v>56</v>
      </c>
      <c r="C139" s="1385" t="s">
        <v>147</v>
      </c>
      <c r="D139" s="1385" t="s">
        <v>158</v>
      </c>
      <c r="E139" s="1385" t="s">
        <v>246</v>
      </c>
      <c r="F139" s="1376">
        <v>45380</v>
      </c>
      <c r="G139" s="1388" t="s">
        <v>229</v>
      </c>
      <c r="H139" s="1379">
        <v>36432</v>
      </c>
      <c r="I139" s="1393">
        <f>IF(X139 = 54, H139 + SUM(S139:S140) - SUM(T139:T140) - SUM(P139:P140) - V139,0)</f>
        <v>-1.8189894035458565E-12</v>
      </c>
      <c r="J139" s="1396">
        <v>235300582900</v>
      </c>
      <c r="K139" s="1399" t="s">
        <v>171</v>
      </c>
      <c r="L139" s="1385" t="s">
        <v>147</v>
      </c>
      <c r="M139" s="1385" t="s">
        <v>245</v>
      </c>
      <c r="N139" s="261">
        <v>45414</v>
      </c>
      <c r="O139" s="1376" t="s">
        <v>203</v>
      </c>
      <c r="P139" s="276">
        <v>14616</v>
      </c>
      <c r="Q139" s="256">
        <v>45427</v>
      </c>
      <c r="R139" s="257"/>
      <c r="S139" s="255"/>
      <c r="T139" s="255"/>
      <c r="U139" s="1379" t="s">
        <v>321</v>
      </c>
      <c r="V139" s="1382">
        <v>12364.6</v>
      </c>
      <c r="W139" s="1373"/>
      <c r="X139" s="80">
        <v>54</v>
      </c>
    </row>
    <row r="140" spans="1:24" s="110" customFormat="1" x14ac:dyDescent="0.25">
      <c r="A140" s="1506"/>
      <c r="B140" s="1387"/>
      <c r="C140" s="1387"/>
      <c r="D140" s="1387"/>
      <c r="E140" s="1387"/>
      <c r="F140" s="1378"/>
      <c r="G140" s="1390"/>
      <c r="H140" s="1381"/>
      <c r="I140" s="1395"/>
      <c r="J140" s="1398"/>
      <c r="K140" s="1401"/>
      <c r="L140" s="1387"/>
      <c r="M140" s="1387"/>
      <c r="N140" s="262">
        <v>45436</v>
      </c>
      <c r="O140" s="1378"/>
      <c r="P140" s="297">
        <v>9451.4</v>
      </c>
      <c r="Q140" s="259">
        <v>45447</v>
      </c>
      <c r="R140" s="260"/>
      <c r="S140" s="258"/>
      <c r="T140" s="258"/>
      <c r="U140" s="1381"/>
      <c r="V140" s="1384"/>
      <c r="W140" s="1375"/>
      <c r="X140" s="110">
        <v>54</v>
      </c>
    </row>
    <row r="141" spans="1:24" s="80" customFormat="1" ht="90" customHeight="1" x14ac:dyDescent="0.25">
      <c r="A141" s="1504">
        <v>23</v>
      </c>
      <c r="B141" s="1385" t="s">
        <v>56</v>
      </c>
      <c r="C141" s="1385" t="s">
        <v>147</v>
      </c>
      <c r="D141" s="1385" t="s">
        <v>158</v>
      </c>
      <c r="E141" s="1385" t="s">
        <v>247</v>
      </c>
      <c r="F141" s="1376">
        <v>45380</v>
      </c>
      <c r="G141" s="1388" t="s">
        <v>248</v>
      </c>
      <c r="H141" s="1379">
        <v>39003.120000000003</v>
      </c>
      <c r="I141" s="1393">
        <f>IF(X141 = 55, H141 + SUM(S141:S146) - SUM(T141:T146) - SUM(P141:P146) - V141,0)</f>
        <v>0</v>
      </c>
      <c r="J141" s="1396">
        <v>235300582900</v>
      </c>
      <c r="K141" s="1399" t="s">
        <v>171</v>
      </c>
      <c r="L141" s="1385" t="s">
        <v>147</v>
      </c>
      <c r="M141" s="1385" t="s">
        <v>245</v>
      </c>
      <c r="N141" s="261">
        <v>45414</v>
      </c>
      <c r="O141" s="1376" t="s">
        <v>350</v>
      </c>
      <c r="P141" s="276">
        <v>3850.2</v>
      </c>
      <c r="Q141" s="256">
        <v>45427</v>
      </c>
      <c r="R141" s="257"/>
      <c r="S141" s="255"/>
      <c r="T141" s="255"/>
      <c r="U141" s="1379" t="s">
        <v>320</v>
      </c>
      <c r="V141" s="1382">
        <v>9913.32</v>
      </c>
      <c r="W141" s="1373"/>
      <c r="X141" s="80">
        <v>55</v>
      </c>
    </row>
    <row r="142" spans="1:24" s="110" customFormat="1" x14ac:dyDescent="0.25">
      <c r="A142" s="1505"/>
      <c r="B142" s="1386"/>
      <c r="C142" s="1386"/>
      <c r="D142" s="1386"/>
      <c r="E142" s="1386"/>
      <c r="F142" s="1377"/>
      <c r="G142" s="1389"/>
      <c r="H142" s="1380"/>
      <c r="I142" s="1394"/>
      <c r="J142" s="1397"/>
      <c r="K142" s="1400"/>
      <c r="L142" s="1386"/>
      <c r="M142" s="1386"/>
      <c r="N142" s="263">
        <v>45414</v>
      </c>
      <c r="O142" s="1377"/>
      <c r="P142" s="277">
        <v>12792</v>
      </c>
      <c r="Q142" s="265">
        <v>45427</v>
      </c>
      <c r="R142" s="266"/>
      <c r="S142" s="264"/>
      <c r="T142" s="264"/>
      <c r="U142" s="1380"/>
      <c r="V142" s="1383"/>
      <c r="W142" s="1374"/>
      <c r="X142" s="110">
        <v>55</v>
      </c>
    </row>
    <row r="143" spans="1:24" s="110" customFormat="1" x14ac:dyDescent="0.25">
      <c r="A143" s="1505"/>
      <c r="B143" s="1386"/>
      <c r="C143" s="1386"/>
      <c r="D143" s="1386"/>
      <c r="E143" s="1386"/>
      <c r="F143" s="1377"/>
      <c r="G143" s="1389"/>
      <c r="H143" s="1380"/>
      <c r="I143" s="1394"/>
      <c r="J143" s="1397"/>
      <c r="K143" s="1400"/>
      <c r="L143" s="1386"/>
      <c r="M143" s="1386"/>
      <c r="N143" s="263">
        <v>45414</v>
      </c>
      <c r="O143" s="1377"/>
      <c r="P143" s="277">
        <v>1484.4</v>
      </c>
      <c r="Q143" s="265">
        <v>45427</v>
      </c>
      <c r="R143" s="266"/>
      <c r="S143" s="264"/>
      <c r="T143" s="264"/>
      <c r="U143" s="1380"/>
      <c r="V143" s="1383"/>
      <c r="W143" s="1374"/>
      <c r="X143" s="110">
        <v>55</v>
      </c>
    </row>
    <row r="144" spans="1:24" s="110" customFormat="1" x14ac:dyDescent="0.25">
      <c r="A144" s="1505"/>
      <c r="B144" s="1386"/>
      <c r="C144" s="1386"/>
      <c r="D144" s="1386"/>
      <c r="E144" s="1386"/>
      <c r="F144" s="1377"/>
      <c r="G144" s="1389"/>
      <c r="H144" s="1380"/>
      <c r="I144" s="1394"/>
      <c r="J144" s="1397"/>
      <c r="K144" s="1400"/>
      <c r="L144" s="1386"/>
      <c r="M144" s="1386"/>
      <c r="N144" s="263">
        <v>45436</v>
      </c>
      <c r="O144" s="1377"/>
      <c r="P144" s="277">
        <v>1242</v>
      </c>
      <c r="Q144" s="265">
        <v>45447</v>
      </c>
      <c r="R144" s="266"/>
      <c r="S144" s="264"/>
      <c r="T144" s="264"/>
      <c r="U144" s="1380"/>
      <c r="V144" s="1383"/>
      <c r="W144" s="1374"/>
      <c r="X144" s="110">
        <v>55</v>
      </c>
    </row>
    <row r="145" spans="1:24" s="110" customFormat="1" x14ac:dyDescent="0.25">
      <c r="A145" s="1505"/>
      <c r="B145" s="1386"/>
      <c r="C145" s="1386"/>
      <c r="D145" s="1386"/>
      <c r="E145" s="1386"/>
      <c r="F145" s="1377"/>
      <c r="G145" s="1389"/>
      <c r="H145" s="1380"/>
      <c r="I145" s="1394"/>
      <c r="J145" s="1397"/>
      <c r="K145" s="1400"/>
      <c r="L145" s="1386"/>
      <c r="M145" s="1386"/>
      <c r="N145" s="263">
        <v>45436</v>
      </c>
      <c r="O145" s="1377"/>
      <c r="P145" s="277">
        <v>8979</v>
      </c>
      <c r="Q145" s="265">
        <v>45447</v>
      </c>
      <c r="R145" s="266"/>
      <c r="S145" s="264"/>
      <c r="T145" s="264"/>
      <c r="U145" s="1380"/>
      <c r="V145" s="1383"/>
      <c r="W145" s="1374"/>
      <c r="X145" s="110">
        <v>55</v>
      </c>
    </row>
    <row r="146" spans="1:24" s="110" customFormat="1" x14ac:dyDescent="0.25">
      <c r="A146" s="1506"/>
      <c r="B146" s="1387"/>
      <c r="C146" s="1387"/>
      <c r="D146" s="1387"/>
      <c r="E146" s="1387"/>
      <c r="F146" s="1378"/>
      <c r="G146" s="1390"/>
      <c r="H146" s="1381"/>
      <c r="I146" s="1395"/>
      <c r="J146" s="1398"/>
      <c r="K146" s="1401"/>
      <c r="L146" s="1387"/>
      <c r="M146" s="1387"/>
      <c r="N146" s="262">
        <v>45436</v>
      </c>
      <c r="O146" s="1378"/>
      <c r="P146" s="297">
        <v>742.2</v>
      </c>
      <c r="Q146" s="259">
        <v>45447</v>
      </c>
      <c r="R146" s="260"/>
      <c r="S146" s="258"/>
      <c r="T146" s="258"/>
      <c r="U146" s="1381"/>
      <c r="V146" s="1384"/>
      <c r="W146" s="1375"/>
      <c r="X146" s="110">
        <v>55</v>
      </c>
    </row>
    <row r="147" spans="1:24" s="80" customFormat="1" ht="55.35" customHeight="1" x14ac:dyDescent="0.25">
      <c r="A147" s="288">
        <v>24</v>
      </c>
      <c r="B147" s="281" t="s">
        <v>56</v>
      </c>
      <c r="C147" s="281" t="s">
        <v>147</v>
      </c>
      <c r="D147" s="281" t="s">
        <v>158</v>
      </c>
      <c r="E147" s="281" t="s">
        <v>291</v>
      </c>
      <c r="F147" s="282">
        <v>45373</v>
      </c>
      <c r="G147" s="283" t="s">
        <v>292</v>
      </c>
      <c r="H147" s="284">
        <v>105225</v>
      </c>
      <c r="I147" s="285">
        <f>IF(X147 = 56, H147 + SUM(S147:S147) - SUM(T147:T147) - SUM(P147:P147) - V147,0)</f>
        <v>0</v>
      </c>
      <c r="J147" s="286">
        <v>233202223786</v>
      </c>
      <c r="K147" s="287" t="s">
        <v>293</v>
      </c>
      <c r="L147" s="281" t="s">
        <v>147</v>
      </c>
      <c r="M147" s="281" t="s">
        <v>294</v>
      </c>
      <c r="N147" s="261">
        <v>45443</v>
      </c>
      <c r="O147" s="282" t="s">
        <v>295</v>
      </c>
      <c r="P147" s="276">
        <v>105225</v>
      </c>
      <c r="Q147" s="256">
        <v>45446</v>
      </c>
      <c r="R147" s="257"/>
      <c r="S147" s="255"/>
      <c r="T147" s="255"/>
      <c r="U147" s="284"/>
      <c r="V147" s="289"/>
      <c r="W147" s="280"/>
      <c r="X147" s="80">
        <v>56</v>
      </c>
    </row>
    <row r="148" spans="1:24" s="80" customFormat="1" ht="75" x14ac:dyDescent="0.25">
      <c r="A148" s="267">
        <v>25</v>
      </c>
      <c r="B148" s="296" t="s">
        <v>56</v>
      </c>
      <c r="C148" s="268" t="s">
        <v>323</v>
      </c>
      <c r="D148" s="296" t="s">
        <v>158</v>
      </c>
      <c r="E148" s="268" t="s">
        <v>36</v>
      </c>
      <c r="F148" s="279">
        <v>45446</v>
      </c>
      <c r="G148" s="269" t="s">
        <v>296</v>
      </c>
      <c r="H148" s="270">
        <v>37746</v>
      </c>
      <c r="I148" s="271">
        <f>IF(X148 = 57, H148 + SUM(S148:S148) - SUM(T148:T148) - SUM(P148:P148) - V148,0)</f>
        <v>0</v>
      </c>
      <c r="J148" s="272">
        <v>140865134602</v>
      </c>
      <c r="K148" s="273" t="s">
        <v>297</v>
      </c>
      <c r="L148" s="268" t="s">
        <v>147</v>
      </c>
      <c r="M148" s="296" t="s">
        <v>298</v>
      </c>
      <c r="N148" s="279">
        <v>45449</v>
      </c>
      <c r="O148" s="295" t="s">
        <v>295</v>
      </c>
      <c r="P148" s="329">
        <v>37746</v>
      </c>
      <c r="Q148" s="269">
        <v>45450</v>
      </c>
      <c r="R148" s="268"/>
      <c r="S148" s="270"/>
      <c r="T148" s="270"/>
      <c r="U148" s="270"/>
      <c r="V148" s="274"/>
      <c r="W148" s="275"/>
      <c r="X148" s="80">
        <v>57</v>
      </c>
    </row>
    <row r="149" spans="1:24" s="80" customFormat="1" ht="56.25" x14ac:dyDescent="0.25">
      <c r="A149" s="294">
        <v>26</v>
      </c>
      <c r="B149" s="314" t="s">
        <v>56</v>
      </c>
      <c r="C149" s="293" t="s">
        <v>147</v>
      </c>
      <c r="D149" s="314" t="s">
        <v>158</v>
      </c>
      <c r="E149" s="293" t="s">
        <v>304</v>
      </c>
      <c r="F149" s="303">
        <v>45436</v>
      </c>
      <c r="G149" s="299" t="s">
        <v>305</v>
      </c>
      <c r="H149" s="291">
        <v>95115</v>
      </c>
      <c r="I149" s="292">
        <f>IF(X149 = 58, H149 + SUM(S149:S149) - SUM(T149:T149) - SUM(P149:P149) - V149,0)</f>
        <v>0</v>
      </c>
      <c r="J149" s="300">
        <v>235300582900</v>
      </c>
      <c r="K149" s="301" t="s">
        <v>171</v>
      </c>
      <c r="L149" s="293" t="s">
        <v>147</v>
      </c>
      <c r="M149" s="293" t="s">
        <v>306</v>
      </c>
      <c r="N149" s="303">
        <v>45459</v>
      </c>
      <c r="O149" s="313" t="s">
        <v>307</v>
      </c>
      <c r="P149" s="342">
        <v>95115</v>
      </c>
      <c r="Q149" s="299">
        <v>45464</v>
      </c>
      <c r="R149" s="293"/>
      <c r="S149" s="291"/>
      <c r="T149" s="291"/>
      <c r="U149" s="291"/>
      <c r="V149" s="302"/>
      <c r="W149" s="290"/>
      <c r="X149" s="80">
        <v>58</v>
      </c>
    </row>
    <row r="150" spans="1:24" s="80" customFormat="1" ht="72" customHeight="1" x14ac:dyDescent="0.25">
      <c r="A150" s="1206">
        <v>27</v>
      </c>
      <c r="B150" s="1212" t="s">
        <v>56</v>
      </c>
      <c r="C150" s="1212" t="s">
        <v>147</v>
      </c>
      <c r="D150" s="1212" t="s">
        <v>158</v>
      </c>
      <c r="E150" s="1212" t="s">
        <v>176</v>
      </c>
      <c r="F150" s="1208">
        <v>45454</v>
      </c>
      <c r="G150" s="1218" t="s">
        <v>177</v>
      </c>
      <c r="H150" s="1210">
        <v>24254.1</v>
      </c>
      <c r="I150" s="1220">
        <f>IF(X150 = 59, H150 + SUM(S150:S154) - SUM(T150:T154) - SUM(P150:P154) - V150,0)</f>
        <v>4042.3499999999985</v>
      </c>
      <c r="J150" s="1222">
        <v>2308131994</v>
      </c>
      <c r="K150" s="1224" t="s">
        <v>178</v>
      </c>
      <c r="L150" s="1212" t="s">
        <v>147</v>
      </c>
      <c r="M150" s="1212" t="s">
        <v>324</v>
      </c>
      <c r="N150" s="873">
        <v>45504</v>
      </c>
      <c r="O150" s="1208" t="s">
        <v>325</v>
      </c>
      <c r="P150" s="865">
        <v>4042.35</v>
      </c>
      <c r="Q150" s="866">
        <v>45511</v>
      </c>
      <c r="R150" s="867"/>
      <c r="S150" s="868"/>
      <c r="T150" s="868"/>
      <c r="U150" s="1210"/>
      <c r="V150" s="1214"/>
      <c r="W150" s="1216"/>
      <c r="X150" s="80">
        <v>59</v>
      </c>
    </row>
    <row r="151" spans="1:24" s="110" customFormat="1" x14ac:dyDescent="0.25">
      <c r="A151" s="1207"/>
      <c r="B151" s="1213"/>
      <c r="C151" s="1213"/>
      <c r="D151" s="1213"/>
      <c r="E151" s="1213"/>
      <c r="F151" s="1209"/>
      <c r="G151" s="1219"/>
      <c r="H151" s="1211"/>
      <c r="I151" s="1221"/>
      <c r="J151" s="1223"/>
      <c r="K151" s="1225"/>
      <c r="L151" s="1213"/>
      <c r="M151" s="1213"/>
      <c r="N151" s="874">
        <v>45535</v>
      </c>
      <c r="O151" s="1209"/>
      <c r="P151" s="869">
        <v>4042.35</v>
      </c>
      <c r="Q151" s="870">
        <v>45539</v>
      </c>
      <c r="R151" s="871"/>
      <c r="S151" s="872"/>
      <c r="T151" s="872"/>
      <c r="U151" s="1211"/>
      <c r="V151" s="1215"/>
      <c r="W151" s="1217"/>
      <c r="X151" s="110">
        <v>59</v>
      </c>
    </row>
    <row r="152" spans="1:24" s="110" customFormat="1" x14ac:dyDescent="0.25">
      <c r="A152" s="1207"/>
      <c r="B152" s="1213"/>
      <c r="C152" s="1213"/>
      <c r="D152" s="1213"/>
      <c r="E152" s="1213"/>
      <c r="F152" s="1209"/>
      <c r="G152" s="1219"/>
      <c r="H152" s="1211"/>
      <c r="I152" s="1221"/>
      <c r="J152" s="1223"/>
      <c r="K152" s="1225"/>
      <c r="L152" s="1213"/>
      <c r="M152" s="1213"/>
      <c r="N152" s="874">
        <v>45565</v>
      </c>
      <c r="O152" s="1209"/>
      <c r="P152" s="869">
        <v>4042.35</v>
      </c>
      <c r="Q152" s="870">
        <v>45574</v>
      </c>
      <c r="R152" s="871"/>
      <c r="S152" s="872"/>
      <c r="T152" s="872"/>
      <c r="U152" s="1211"/>
      <c r="V152" s="1215"/>
      <c r="W152" s="1217"/>
      <c r="X152" s="110">
        <v>59</v>
      </c>
    </row>
    <row r="153" spans="1:24" s="110" customFormat="1" x14ac:dyDescent="0.25">
      <c r="A153" s="1207"/>
      <c r="B153" s="1213"/>
      <c r="C153" s="1213"/>
      <c r="D153" s="1213"/>
      <c r="E153" s="1213"/>
      <c r="F153" s="1209"/>
      <c r="G153" s="1219"/>
      <c r="H153" s="1211"/>
      <c r="I153" s="1221"/>
      <c r="J153" s="1223"/>
      <c r="K153" s="1225"/>
      <c r="L153" s="1213"/>
      <c r="M153" s="1213"/>
      <c r="N153" s="874">
        <v>45596</v>
      </c>
      <c r="O153" s="1209"/>
      <c r="P153" s="869">
        <v>4042.35</v>
      </c>
      <c r="Q153" s="870">
        <v>45603</v>
      </c>
      <c r="R153" s="871"/>
      <c r="S153" s="872"/>
      <c r="T153" s="872"/>
      <c r="U153" s="1211"/>
      <c r="V153" s="1215"/>
      <c r="W153" s="1217"/>
      <c r="X153" s="110">
        <v>59</v>
      </c>
    </row>
    <row r="154" spans="1:24" s="110" customFormat="1" x14ac:dyDescent="0.25">
      <c r="A154" s="1207"/>
      <c r="B154" s="1213"/>
      <c r="C154" s="1213"/>
      <c r="D154" s="1213"/>
      <c r="E154" s="1213"/>
      <c r="F154" s="1209"/>
      <c r="G154" s="1219"/>
      <c r="H154" s="1211"/>
      <c r="I154" s="1221"/>
      <c r="J154" s="1223"/>
      <c r="K154" s="1225"/>
      <c r="L154" s="1213"/>
      <c r="M154" s="1213"/>
      <c r="N154" s="874">
        <v>45626</v>
      </c>
      <c r="O154" s="1209"/>
      <c r="P154" s="869">
        <v>4042.35</v>
      </c>
      <c r="Q154" s="870">
        <v>45629</v>
      </c>
      <c r="R154" s="871"/>
      <c r="S154" s="872"/>
      <c r="T154" s="872"/>
      <c r="U154" s="1211"/>
      <c r="V154" s="1215"/>
      <c r="W154" s="1217"/>
      <c r="X154" s="110">
        <v>59</v>
      </c>
    </row>
    <row r="155" spans="1:24" s="80" customFormat="1" ht="75" x14ac:dyDescent="0.25">
      <c r="A155" s="388">
        <v>28</v>
      </c>
      <c r="B155" s="400" t="s">
        <v>56</v>
      </c>
      <c r="C155" s="400" t="s">
        <v>147</v>
      </c>
      <c r="D155" s="400" t="s">
        <v>158</v>
      </c>
      <c r="E155" s="400" t="s">
        <v>217</v>
      </c>
      <c r="F155" s="412">
        <v>45483</v>
      </c>
      <c r="G155" s="402" t="s">
        <v>363</v>
      </c>
      <c r="H155" s="403">
        <v>13750</v>
      </c>
      <c r="I155" s="404">
        <f>IF(X155 = 61, H155 + SUM(S155:S155) - SUM(T155:T155) - SUM(P155:P155) - V155,0)</f>
        <v>0</v>
      </c>
      <c r="J155" s="405">
        <v>235305540660</v>
      </c>
      <c r="K155" s="406" t="s">
        <v>348</v>
      </c>
      <c r="L155" s="400" t="s">
        <v>147</v>
      </c>
      <c r="M155" s="400" t="s">
        <v>349</v>
      </c>
      <c r="N155" s="412">
        <v>45483</v>
      </c>
      <c r="O155" s="412" t="s">
        <v>302</v>
      </c>
      <c r="P155" s="455">
        <v>13750</v>
      </c>
      <c r="Q155" s="402">
        <v>45485</v>
      </c>
      <c r="R155" s="400"/>
      <c r="S155" s="403"/>
      <c r="T155" s="403"/>
      <c r="U155" s="403"/>
      <c r="V155" s="408"/>
      <c r="W155" s="401"/>
      <c r="X155" s="80">
        <v>61</v>
      </c>
    </row>
    <row r="156" spans="1:24" s="80" customFormat="1" ht="75" x14ac:dyDescent="0.25">
      <c r="A156" s="413">
        <v>29</v>
      </c>
      <c r="B156" s="424" t="s">
        <v>56</v>
      </c>
      <c r="C156" s="411" t="s">
        <v>147</v>
      </c>
      <c r="D156" s="424" t="s">
        <v>158</v>
      </c>
      <c r="E156" s="411" t="s">
        <v>362</v>
      </c>
      <c r="F156" s="426">
        <v>45488</v>
      </c>
      <c r="G156" s="410" t="s">
        <v>364</v>
      </c>
      <c r="H156" s="409">
        <v>27800</v>
      </c>
      <c r="I156" s="414">
        <f>IF(X156 = 62, H156 + SUM(S156:S156) - SUM(T156:T156) - SUM(P156:P156) - V156,0)</f>
        <v>0</v>
      </c>
      <c r="J156" s="415">
        <v>2311204586</v>
      </c>
      <c r="K156" s="416" t="s">
        <v>379</v>
      </c>
      <c r="L156" s="411" t="s">
        <v>147</v>
      </c>
      <c r="M156" s="424" t="s">
        <v>266</v>
      </c>
      <c r="N156" s="426">
        <v>45498</v>
      </c>
      <c r="O156" s="423" t="s">
        <v>356</v>
      </c>
      <c r="P156" s="456">
        <v>27800</v>
      </c>
      <c r="Q156" s="410">
        <v>45498</v>
      </c>
      <c r="R156" s="411"/>
      <c r="S156" s="409"/>
      <c r="T156" s="409"/>
      <c r="U156" s="409"/>
      <c r="V156" s="417"/>
      <c r="W156" s="418"/>
      <c r="X156" s="80">
        <v>62</v>
      </c>
    </row>
    <row r="157" spans="1:24" s="80" customFormat="1" ht="75" x14ac:dyDescent="0.25">
      <c r="A157" s="468">
        <v>30</v>
      </c>
      <c r="B157" s="458" t="s">
        <v>56</v>
      </c>
      <c r="C157" s="469" t="s">
        <v>147</v>
      </c>
      <c r="D157" s="458" t="s">
        <v>158</v>
      </c>
      <c r="E157" s="469" t="s">
        <v>380</v>
      </c>
      <c r="F157" s="483">
        <v>45510</v>
      </c>
      <c r="G157" s="470" t="s">
        <v>381</v>
      </c>
      <c r="H157" s="471">
        <v>30000</v>
      </c>
      <c r="I157" s="472">
        <f>IF(X157 = 63, H157 + SUM(S157:S157) - SUM(T157:T157) - SUM(P157:P157) - V157,0)</f>
        <v>0</v>
      </c>
      <c r="J157" s="473">
        <v>2369000660</v>
      </c>
      <c r="K157" s="474" t="s">
        <v>382</v>
      </c>
      <c r="L157" s="469" t="s">
        <v>147</v>
      </c>
      <c r="M157" s="458" t="s">
        <v>383</v>
      </c>
      <c r="N157" s="483">
        <v>45510</v>
      </c>
      <c r="O157" s="459" t="s">
        <v>384</v>
      </c>
      <c r="P157" s="503">
        <v>30000</v>
      </c>
      <c r="Q157" s="470">
        <v>45512</v>
      </c>
      <c r="R157" s="469"/>
      <c r="S157" s="471"/>
      <c r="T157" s="471"/>
      <c r="U157" s="471"/>
      <c r="V157" s="478"/>
      <c r="W157" s="479"/>
      <c r="X157" s="80">
        <v>63</v>
      </c>
    </row>
    <row r="158" spans="1:24" s="80" customFormat="1" ht="54" customHeight="1" x14ac:dyDescent="0.25">
      <c r="A158" s="1577">
        <v>31</v>
      </c>
      <c r="B158" s="1583" t="s">
        <v>56</v>
      </c>
      <c r="C158" s="1583" t="s">
        <v>147</v>
      </c>
      <c r="D158" s="1583" t="s">
        <v>158</v>
      </c>
      <c r="E158" s="1583" t="s">
        <v>196</v>
      </c>
      <c r="F158" s="1579">
        <v>45505</v>
      </c>
      <c r="G158" s="1712" t="s">
        <v>197</v>
      </c>
      <c r="H158" s="1581">
        <v>15000</v>
      </c>
      <c r="I158" s="1714">
        <f>IF(X158 = 64, H158 + SUM(S158:S159) - SUM(T158:T159) - SUM(P158:P159) - V158,0)</f>
        <v>0</v>
      </c>
      <c r="J158" s="1716">
        <v>235306577600</v>
      </c>
      <c r="K158" s="1718" t="s">
        <v>200</v>
      </c>
      <c r="L158" s="1583" t="s">
        <v>147</v>
      </c>
      <c r="M158" s="1583" t="s">
        <v>402</v>
      </c>
      <c r="N158" s="816">
        <v>45565</v>
      </c>
      <c r="O158" s="1579" t="s">
        <v>403</v>
      </c>
      <c r="P158" s="809">
        <v>6000</v>
      </c>
      <c r="Q158" s="810">
        <v>45566</v>
      </c>
      <c r="R158" s="811"/>
      <c r="S158" s="812"/>
      <c r="T158" s="812"/>
      <c r="U158" s="1581"/>
      <c r="V158" s="1585"/>
      <c r="W158" s="1710"/>
      <c r="X158" s="80">
        <v>64</v>
      </c>
    </row>
    <row r="159" spans="1:24" s="110" customFormat="1" x14ac:dyDescent="0.25">
      <c r="A159" s="1578"/>
      <c r="B159" s="1584"/>
      <c r="C159" s="1584"/>
      <c r="D159" s="1584"/>
      <c r="E159" s="1584"/>
      <c r="F159" s="1580"/>
      <c r="G159" s="1713"/>
      <c r="H159" s="1582"/>
      <c r="I159" s="1715"/>
      <c r="J159" s="1717"/>
      <c r="K159" s="1719"/>
      <c r="L159" s="1584"/>
      <c r="M159" s="1584"/>
      <c r="N159" s="817">
        <v>45646</v>
      </c>
      <c r="O159" s="1580"/>
      <c r="P159" s="941">
        <v>9000</v>
      </c>
      <c r="Q159" s="814">
        <v>45646</v>
      </c>
      <c r="R159" s="815"/>
      <c r="S159" s="813"/>
      <c r="T159" s="813"/>
      <c r="U159" s="1582"/>
      <c r="V159" s="1586"/>
      <c r="W159" s="1711"/>
      <c r="X159" s="110">
        <v>64</v>
      </c>
    </row>
    <row r="160" spans="1:24" s="80" customFormat="1" ht="54" customHeight="1" x14ac:dyDescent="0.25">
      <c r="A160" s="1594">
        <v>32</v>
      </c>
      <c r="B160" s="1516" t="s">
        <v>56</v>
      </c>
      <c r="C160" s="1516" t="s">
        <v>147</v>
      </c>
      <c r="D160" s="1516" t="s">
        <v>158</v>
      </c>
      <c r="E160" s="1516" t="s">
        <v>404</v>
      </c>
      <c r="F160" s="1590">
        <v>45558</v>
      </c>
      <c r="G160" s="1646" t="s">
        <v>154</v>
      </c>
      <c r="H160" s="1592">
        <v>21772.799999999999</v>
      </c>
      <c r="I160" s="1648">
        <f>IF(X160 = 65, H160 + SUM(S160:S161) - SUM(T160:T161) - SUM(P160:P161) - V160,0)</f>
        <v>0</v>
      </c>
      <c r="J160" s="1556">
        <v>2304067057</v>
      </c>
      <c r="K160" s="1558" t="s">
        <v>405</v>
      </c>
      <c r="L160" s="1516" t="s">
        <v>147</v>
      </c>
      <c r="M160" s="1516" t="s">
        <v>406</v>
      </c>
      <c r="N160" s="584">
        <v>45565</v>
      </c>
      <c r="O160" s="1590" t="s">
        <v>403</v>
      </c>
      <c r="P160" s="606">
        <v>12096</v>
      </c>
      <c r="Q160" s="579">
        <v>45569</v>
      </c>
      <c r="R160" s="580"/>
      <c r="S160" s="578"/>
      <c r="T160" s="578"/>
      <c r="U160" s="1592"/>
      <c r="V160" s="1554"/>
      <c r="W160" s="1644"/>
      <c r="X160" s="80">
        <v>65</v>
      </c>
    </row>
    <row r="161" spans="1:24" s="110" customFormat="1" x14ac:dyDescent="0.25">
      <c r="A161" s="1595"/>
      <c r="B161" s="1517"/>
      <c r="C161" s="1517"/>
      <c r="D161" s="1517"/>
      <c r="E161" s="1517"/>
      <c r="F161" s="1591"/>
      <c r="G161" s="1647"/>
      <c r="H161" s="1593"/>
      <c r="I161" s="1649"/>
      <c r="J161" s="1557"/>
      <c r="K161" s="1559"/>
      <c r="L161" s="1517"/>
      <c r="M161" s="1517"/>
      <c r="N161" s="585">
        <v>45569</v>
      </c>
      <c r="O161" s="1591"/>
      <c r="P161" s="610">
        <v>9676.7999999999993</v>
      </c>
      <c r="Q161" s="582">
        <v>45596</v>
      </c>
      <c r="R161" s="583"/>
      <c r="S161" s="581"/>
      <c r="T161" s="581"/>
      <c r="U161" s="1593"/>
      <c r="V161" s="1555"/>
      <c r="W161" s="1645"/>
      <c r="X161" s="110">
        <v>65</v>
      </c>
    </row>
    <row r="162" spans="1:24" s="80" customFormat="1" ht="54" customHeight="1" x14ac:dyDescent="0.25">
      <c r="A162" s="1587">
        <v>33</v>
      </c>
      <c r="B162" s="1530" t="s">
        <v>56</v>
      </c>
      <c r="C162" s="1530" t="s">
        <v>147</v>
      </c>
      <c r="D162" s="1530" t="s">
        <v>158</v>
      </c>
      <c r="E162" s="1530" t="s">
        <v>36</v>
      </c>
      <c r="F162" s="1533">
        <v>45534</v>
      </c>
      <c r="G162" s="1536" t="s">
        <v>407</v>
      </c>
      <c r="H162" s="1539">
        <v>128425.92</v>
      </c>
      <c r="I162" s="1542">
        <f>IF(X162 = 66, H162 + SUM(S162:S165) - SUM(T162:T165) - SUM(P162:P165) - V162,0)</f>
        <v>0</v>
      </c>
      <c r="J162" s="1545">
        <v>235300582900</v>
      </c>
      <c r="K162" s="1548" t="s">
        <v>171</v>
      </c>
      <c r="L162" s="1530" t="s">
        <v>147</v>
      </c>
      <c r="M162" s="1530" t="s">
        <v>409</v>
      </c>
      <c r="N162" s="563">
        <v>45568</v>
      </c>
      <c r="O162" s="1533" t="s">
        <v>403</v>
      </c>
      <c r="P162" s="611">
        <v>90072</v>
      </c>
      <c r="Q162" s="558">
        <v>45575</v>
      </c>
      <c r="R162" s="559"/>
      <c r="S162" s="557"/>
      <c r="T162" s="557"/>
      <c r="U162" s="1539" t="s">
        <v>420</v>
      </c>
      <c r="V162" s="1551">
        <v>21396.639999999999</v>
      </c>
      <c r="W162" s="1527"/>
      <c r="X162" s="80">
        <v>66</v>
      </c>
    </row>
    <row r="163" spans="1:24" s="110" customFormat="1" x14ac:dyDescent="0.25">
      <c r="A163" s="1588"/>
      <c r="B163" s="1531"/>
      <c r="C163" s="1531"/>
      <c r="D163" s="1531"/>
      <c r="E163" s="1531"/>
      <c r="F163" s="1534"/>
      <c r="G163" s="1537"/>
      <c r="H163" s="1540"/>
      <c r="I163" s="1543"/>
      <c r="J163" s="1546"/>
      <c r="K163" s="1549"/>
      <c r="L163" s="1531"/>
      <c r="M163" s="1531"/>
      <c r="N163" s="565">
        <v>45568</v>
      </c>
      <c r="O163" s="1534"/>
      <c r="P163" s="612">
        <v>3285.48</v>
      </c>
      <c r="Q163" s="567">
        <v>45576</v>
      </c>
      <c r="R163" s="568"/>
      <c r="S163" s="566"/>
      <c r="T163" s="566"/>
      <c r="U163" s="1540"/>
      <c r="V163" s="1552"/>
      <c r="W163" s="1528"/>
      <c r="X163" s="110">
        <v>66</v>
      </c>
    </row>
    <row r="164" spans="1:24" s="110" customFormat="1" x14ac:dyDescent="0.25">
      <c r="A164" s="1588"/>
      <c r="B164" s="1531"/>
      <c r="C164" s="1531"/>
      <c r="D164" s="1531"/>
      <c r="E164" s="1531"/>
      <c r="F164" s="1534"/>
      <c r="G164" s="1537"/>
      <c r="H164" s="1540"/>
      <c r="I164" s="1543"/>
      <c r="J164" s="1546"/>
      <c r="K164" s="1549"/>
      <c r="L164" s="1531"/>
      <c r="M164" s="1531"/>
      <c r="N164" s="565">
        <v>45568</v>
      </c>
      <c r="O164" s="1534"/>
      <c r="P164" s="612">
        <v>2968.8</v>
      </c>
      <c r="Q164" s="567">
        <v>45576</v>
      </c>
      <c r="R164" s="568"/>
      <c r="S164" s="566"/>
      <c r="T164" s="566"/>
      <c r="U164" s="1540"/>
      <c r="V164" s="1552"/>
      <c r="W164" s="1528"/>
      <c r="X164" s="110">
        <v>66</v>
      </c>
    </row>
    <row r="165" spans="1:24" s="110" customFormat="1" x14ac:dyDescent="0.25">
      <c r="A165" s="1589"/>
      <c r="B165" s="1532"/>
      <c r="C165" s="1532"/>
      <c r="D165" s="1532"/>
      <c r="E165" s="1532"/>
      <c r="F165" s="1535"/>
      <c r="G165" s="1538"/>
      <c r="H165" s="1541"/>
      <c r="I165" s="1544"/>
      <c r="J165" s="1547"/>
      <c r="K165" s="1550"/>
      <c r="L165" s="1532"/>
      <c r="M165" s="1532"/>
      <c r="N165" s="564">
        <v>45568</v>
      </c>
      <c r="O165" s="1535"/>
      <c r="P165" s="613">
        <v>10703</v>
      </c>
      <c r="Q165" s="561">
        <v>45574</v>
      </c>
      <c r="R165" s="562"/>
      <c r="S165" s="560"/>
      <c r="T165" s="560"/>
      <c r="U165" s="1541"/>
      <c r="V165" s="1553"/>
      <c r="W165" s="1529"/>
      <c r="X165" s="110">
        <v>66</v>
      </c>
    </row>
    <row r="166" spans="1:24" s="80" customFormat="1" ht="54" customHeight="1" x14ac:dyDescent="0.25">
      <c r="A166" s="1156">
        <v>34</v>
      </c>
      <c r="B166" s="1165" t="s">
        <v>56</v>
      </c>
      <c r="C166" s="1165" t="s">
        <v>147</v>
      </c>
      <c r="D166" s="1165" t="s">
        <v>158</v>
      </c>
      <c r="E166" s="1165" t="s">
        <v>110</v>
      </c>
      <c r="F166" s="1159">
        <v>45534</v>
      </c>
      <c r="G166" s="1174" t="s">
        <v>407</v>
      </c>
      <c r="H166" s="1162">
        <v>28440</v>
      </c>
      <c r="I166" s="1177">
        <f>IF(X166 = 67, H166 + SUM(S166:S169) - SUM(T166:T169) - SUM(P166:P169) - V166,0)</f>
        <v>0</v>
      </c>
      <c r="J166" s="1180">
        <v>235300582900</v>
      </c>
      <c r="K166" s="1183" t="s">
        <v>171</v>
      </c>
      <c r="L166" s="1165" t="s">
        <v>147</v>
      </c>
      <c r="M166" s="1165" t="s">
        <v>408</v>
      </c>
      <c r="N166" s="914">
        <v>45568</v>
      </c>
      <c r="O166" s="1159" t="s">
        <v>303</v>
      </c>
      <c r="P166" s="903">
        <v>6102</v>
      </c>
      <c r="Q166" s="904">
        <v>45574</v>
      </c>
      <c r="R166" s="905"/>
      <c r="S166" s="906"/>
      <c r="T166" s="906"/>
      <c r="U166" s="1162" t="s">
        <v>492</v>
      </c>
      <c r="V166" s="1168">
        <v>5418</v>
      </c>
      <c r="W166" s="1171"/>
      <c r="X166" s="80">
        <v>67</v>
      </c>
    </row>
    <row r="167" spans="1:24" s="110" customFormat="1" x14ac:dyDescent="0.25">
      <c r="A167" s="1157"/>
      <c r="B167" s="1166"/>
      <c r="C167" s="1166"/>
      <c r="D167" s="1166"/>
      <c r="E167" s="1166"/>
      <c r="F167" s="1160"/>
      <c r="G167" s="1175"/>
      <c r="H167" s="1163"/>
      <c r="I167" s="1178"/>
      <c r="J167" s="1181"/>
      <c r="K167" s="1184"/>
      <c r="L167" s="1166"/>
      <c r="M167" s="1166"/>
      <c r="N167" s="915">
        <v>45593</v>
      </c>
      <c r="O167" s="1160"/>
      <c r="P167" s="907">
        <v>5274</v>
      </c>
      <c r="Q167" s="908">
        <v>45598</v>
      </c>
      <c r="R167" s="909"/>
      <c r="S167" s="910"/>
      <c r="T167" s="910"/>
      <c r="U167" s="1163"/>
      <c r="V167" s="1169"/>
      <c r="W167" s="1172"/>
      <c r="X167" s="110">
        <v>67</v>
      </c>
    </row>
    <row r="168" spans="1:24" s="110" customFormat="1" x14ac:dyDescent="0.25">
      <c r="A168" s="1157"/>
      <c r="B168" s="1166"/>
      <c r="C168" s="1166"/>
      <c r="D168" s="1166"/>
      <c r="E168" s="1166"/>
      <c r="F168" s="1160"/>
      <c r="G168" s="1175"/>
      <c r="H168" s="1163"/>
      <c r="I168" s="1178"/>
      <c r="J168" s="1181"/>
      <c r="K168" s="1184"/>
      <c r="L168" s="1166"/>
      <c r="M168" s="1166"/>
      <c r="N168" s="915">
        <v>45628</v>
      </c>
      <c r="O168" s="1160"/>
      <c r="P168" s="907">
        <v>5652</v>
      </c>
      <c r="Q168" s="908">
        <v>45632</v>
      </c>
      <c r="R168" s="909"/>
      <c r="S168" s="910"/>
      <c r="T168" s="910"/>
      <c r="U168" s="1163"/>
      <c r="V168" s="1169"/>
      <c r="W168" s="1172"/>
      <c r="X168" s="110">
        <v>67</v>
      </c>
    </row>
    <row r="169" spans="1:24" s="110" customFormat="1" x14ac:dyDescent="0.25">
      <c r="A169" s="1158"/>
      <c r="B169" s="1167"/>
      <c r="C169" s="1167"/>
      <c r="D169" s="1167"/>
      <c r="E169" s="1167"/>
      <c r="F169" s="1161"/>
      <c r="G169" s="1176"/>
      <c r="H169" s="1164"/>
      <c r="I169" s="1179"/>
      <c r="J169" s="1182"/>
      <c r="K169" s="1185"/>
      <c r="L169" s="1167"/>
      <c r="M169" s="1167"/>
      <c r="N169" s="916">
        <v>45653</v>
      </c>
      <c r="O169" s="1161"/>
      <c r="P169" s="947">
        <v>5994</v>
      </c>
      <c r="Q169" s="912">
        <v>45653</v>
      </c>
      <c r="R169" s="913"/>
      <c r="S169" s="911"/>
      <c r="T169" s="911"/>
      <c r="U169" s="1164"/>
      <c r="V169" s="1170"/>
      <c r="W169" s="1173"/>
      <c r="X169" s="110">
        <v>67</v>
      </c>
    </row>
    <row r="170" spans="1:24" s="80" customFormat="1" ht="54" customHeight="1" x14ac:dyDescent="0.25">
      <c r="A170" s="1255">
        <v>35</v>
      </c>
      <c r="B170" s="1253" t="s">
        <v>56</v>
      </c>
      <c r="C170" s="1253" t="s">
        <v>147</v>
      </c>
      <c r="D170" s="1253" t="s">
        <v>158</v>
      </c>
      <c r="E170" s="1253" t="s">
        <v>410</v>
      </c>
      <c r="F170" s="1257">
        <v>45566</v>
      </c>
      <c r="G170" s="1265" t="s">
        <v>215</v>
      </c>
      <c r="H170" s="1259">
        <v>195369.59</v>
      </c>
      <c r="I170" s="1267">
        <f>IF(X170 = 68, H170 + SUM(S170:S171) - SUM(T170:T171) - SUM(P170:P171) - V170,0)</f>
        <v>129307.09</v>
      </c>
      <c r="J170" s="1269">
        <v>7743529527</v>
      </c>
      <c r="K170" s="1271" t="s">
        <v>308</v>
      </c>
      <c r="L170" s="1253" t="s">
        <v>210</v>
      </c>
      <c r="M170" s="1253" t="s">
        <v>411</v>
      </c>
      <c r="N170" s="762">
        <v>45596</v>
      </c>
      <c r="O170" s="1257" t="s">
        <v>403</v>
      </c>
      <c r="P170" s="749">
        <v>35318.5</v>
      </c>
      <c r="Q170" s="750">
        <v>45603</v>
      </c>
      <c r="R170" s="751"/>
      <c r="S170" s="752"/>
      <c r="T170" s="752"/>
      <c r="U170" s="1259"/>
      <c r="V170" s="1261"/>
      <c r="W170" s="1263"/>
      <c r="X170" s="80">
        <v>68</v>
      </c>
    </row>
    <row r="171" spans="1:24" s="110" customFormat="1" x14ac:dyDescent="0.25">
      <c r="A171" s="1256"/>
      <c r="B171" s="1254"/>
      <c r="C171" s="1254"/>
      <c r="D171" s="1254"/>
      <c r="E171" s="1254"/>
      <c r="F171" s="1258"/>
      <c r="G171" s="1266"/>
      <c r="H171" s="1260"/>
      <c r="I171" s="1268"/>
      <c r="J171" s="1270"/>
      <c r="K171" s="1272"/>
      <c r="L171" s="1254"/>
      <c r="M171" s="1254"/>
      <c r="N171" s="763">
        <v>45626</v>
      </c>
      <c r="O171" s="1258"/>
      <c r="P171" s="932">
        <v>30744</v>
      </c>
      <c r="Q171" s="759">
        <v>45632</v>
      </c>
      <c r="R171" s="760"/>
      <c r="S171" s="758"/>
      <c r="T171" s="758"/>
      <c r="U171" s="1260"/>
      <c r="V171" s="1262"/>
      <c r="W171" s="1264"/>
      <c r="X171" s="110">
        <v>68</v>
      </c>
    </row>
    <row r="172" spans="1:24" s="80" customFormat="1" ht="54" customHeight="1" x14ac:dyDescent="0.25">
      <c r="A172" s="1560">
        <v>36</v>
      </c>
      <c r="B172" s="1569" t="s">
        <v>56</v>
      </c>
      <c r="C172" s="1569" t="s">
        <v>147</v>
      </c>
      <c r="D172" s="1569" t="s">
        <v>158</v>
      </c>
      <c r="E172" s="1569" t="s">
        <v>111</v>
      </c>
      <c r="F172" s="1563">
        <v>45565</v>
      </c>
      <c r="G172" s="1599" t="s">
        <v>407</v>
      </c>
      <c r="H172" s="1566">
        <v>128577.96</v>
      </c>
      <c r="I172" s="1602">
        <f>IF(X172 = 70, H172 + SUM(S172:S175) - SUM(T172:T175) - SUM(P172:P175) - V172,0)</f>
        <v>0</v>
      </c>
      <c r="J172" s="1605">
        <v>235300582900</v>
      </c>
      <c r="K172" s="1608" t="s">
        <v>171</v>
      </c>
      <c r="L172" s="1569" t="s">
        <v>147</v>
      </c>
      <c r="M172" s="1569" t="s">
        <v>411</v>
      </c>
      <c r="N172" s="625">
        <v>45593</v>
      </c>
      <c r="O172" s="1563" t="s">
        <v>403</v>
      </c>
      <c r="P172" s="700">
        <v>3301.76</v>
      </c>
      <c r="Q172" s="627">
        <v>45598</v>
      </c>
      <c r="R172" s="628"/>
      <c r="S172" s="626"/>
      <c r="T172" s="626"/>
      <c r="U172" s="1566" t="s">
        <v>456</v>
      </c>
      <c r="V172" s="1572">
        <v>35665.800000000003</v>
      </c>
      <c r="W172" s="1596"/>
      <c r="X172" s="80">
        <v>70</v>
      </c>
    </row>
    <row r="173" spans="1:24" s="110" customFormat="1" x14ac:dyDescent="0.25">
      <c r="A173" s="1561"/>
      <c r="B173" s="1570"/>
      <c r="C173" s="1570"/>
      <c r="D173" s="1570"/>
      <c r="E173" s="1570"/>
      <c r="F173" s="1564"/>
      <c r="G173" s="1600"/>
      <c r="H173" s="1567"/>
      <c r="I173" s="1603"/>
      <c r="J173" s="1606"/>
      <c r="K173" s="1609"/>
      <c r="L173" s="1570"/>
      <c r="M173" s="1570"/>
      <c r="N173" s="633">
        <v>45593</v>
      </c>
      <c r="O173" s="1564"/>
      <c r="P173" s="699">
        <v>1484.4</v>
      </c>
      <c r="Q173" s="635">
        <v>45608</v>
      </c>
      <c r="R173" s="636"/>
      <c r="S173" s="634"/>
      <c r="T173" s="634"/>
      <c r="U173" s="1567"/>
      <c r="V173" s="1573"/>
      <c r="W173" s="1597"/>
      <c r="X173" s="110">
        <v>70</v>
      </c>
    </row>
    <row r="174" spans="1:24" s="110" customFormat="1" x14ac:dyDescent="0.25">
      <c r="A174" s="1561"/>
      <c r="B174" s="1570"/>
      <c r="C174" s="1570"/>
      <c r="D174" s="1570"/>
      <c r="E174" s="1570"/>
      <c r="F174" s="1564"/>
      <c r="G174" s="1600"/>
      <c r="H174" s="1567"/>
      <c r="I174" s="1603"/>
      <c r="J174" s="1606"/>
      <c r="K174" s="1609"/>
      <c r="L174" s="1570"/>
      <c r="M174" s="1570"/>
      <c r="N174" s="633">
        <v>45593</v>
      </c>
      <c r="O174" s="1564"/>
      <c r="P174" s="699">
        <v>79230</v>
      </c>
      <c r="Q174" s="635">
        <v>45598</v>
      </c>
      <c r="R174" s="636"/>
      <c r="S174" s="634"/>
      <c r="T174" s="634"/>
      <c r="U174" s="1567"/>
      <c r="V174" s="1573"/>
      <c r="W174" s="1597"/>
      <c r="X174" s="110">
        <v>70</v>
      </c>
    </row>
    <row r="175" spans="1:24" s="110" customFormat="1" x14ac:dyDescent="0.25">
      <c r="A175" s="1562"/>
      <c r="B175" s="1571"/>
      <c r="C175" s="1571"/>
      <c r="D175" s="1571"/>
      <c r="E175" s="1571"/>
      <c r="F175" s="1565"/>
      <c r="G175" s="1601"/>
      <c r="H175" s="1568"/>
      <c r="I175" s="1604"/>
      <c r="J175" s="1607"/>
      <c r="K175" s="1610"/>
      <c r="L175" s="1571"/>
      <c r="M175" s="1571"/>
      <c r="N175" s="629">
        <v>45593</v>
      </c>
      <c r="O175" s="1565"/>
      <c r="P175" s="701">
        <v>8896</v>
      </c>
      <c r="Q175" s="631">
        <v>45598</v>
      </c>
      <c r="R175" s="632"/>
      <c r="S175" s="630"/>
      <c r="T175" s="630"/>
      <c r="U175" s="1568"/>
      <c r="V175" s="1574"/>
      <c r="W175" s="1598"/>
      <c r="X175" s="110">
        <v>70</v>
      </c>
    </row>
    <row r="176" spans="1:24" s="80" customFormat="1" ht="54" customHeight="1" x14ac:dyDescent="0.25">
      <c r="A176" s="1650">
        <v>37</v>
      </c>
      <c r="B176" s="1659" t="s">
        <v>56</v>
      </c>
      <c r="C176" s="1659" t="s">
        <v>147</v>
      </c>
      <c r="D176" s="1659" t="s">
        <v>158</v>
      </c>
      <c r="E176" s="1659" t="s">
        <v>112</v>
      </c>
      <c r="F176" s="1653">
        <v>45596</v>
      </c>
      <c r="G176" s="1668" t="s">
        <v>407</v>
      </c>
      <c r="H176" s="1656">
        <v>116390.58</v>
      </c>
      <c r="I176" s="1671">
        <f>IF(X176 = 71, H176 + SUM(S176:S179) - SUM(T176:T179) - SUM(P176:P179) - V176,0)</f>
        <v>3.637978807091713E-12</v>
      </c>
      <c r="J176" s="1674">
        <v>235300582900</v>
      </c>
      <c r="K176" s="1677" t="s">
        <v>171</v>
      </c>
      <c r="L176" s="1659" t="s">
        <v>147</v>
      </c>
      <c r="M176" s="1659" t="s">
        <v>457</v>
      </c>
      <c r="N176" s="718">
        <v>45628</v>
      </c>
      <c r="O176" s="1653" t="s">
        <v>403</v>
      </c>
      <c r="P176" s="931">
        <v>8062</v>
      </c>
      <c r="Q176" s="720">
        <v>45635</v>
      </c>
      <c r="R176" s="721"/>
      <c r="S176" s="719"/>
      <c r="T176" s="719"/>
      <c r="U176" s="1656" t="s">
        <v>493</v>
      </c>
      <c r="V176" s="1662">
        <v>21363.99</v>
      </c>
      <c r="W176" s="1665"/>
      <c r="X176" s="80">
        <v>71</v>
      </c>
    </row>
    <row r="177" spans="1:24" s="110" customFormat="1" x14ac:dyDescent="0.25">
      <c r="A177" s="1651"/>
      <c r="B177" s="1660"/>
      <c r="C177" s="1660"/>
      <c r="D177" s="1660"/>
      <c r="E177" s="1660"/>
      <c r="F177" s="1654"/>
      <c r="G177" s="1669"/>
      <c r="H177" s="1657"/>
      <c r="I177" s="1672"/>
      <c r="J177" s="1675"/>
      <c r="K177" s="1678"/>
      <c r="L177" s="1660"/>
      <c r="M177" s="1660"/>
      <c r="N177" s="726">
        <v>45628</v>
      </c>
      <c r="O177" s="1654"/>
      <c r="P177" s="930">
        <v>81454</v>
      </c>
      <c r="Q177" s="728">
        <v>45635</v>
      </c>
      <c r="R177" s="729"/>
      <c r="S177" s="727"/>
      <c r="T177" s="727"/>
      <c r="U177" s="1657"/>
      <c r="V177" s="1663"/>
      <c r="W177" s="1666"/>
      <c r="X177" s="110">
        <v>71</v>
      </c>
    </row>
    <row r="178" spans="1:24" s="110" customFormat="1" x14ac:dyDescent="0.25">
      <c r="A178" s="1651"/>
      <c r="B178" s="1660"/>
      <c r="C178" s="1660"/>
      <c r="D178" s="1660"/>
      <c r="E178" s="1660"/>
      <c r="F178" s="1654"/>
      <c r="G178" s="1669"/>
      <c r="H178" s="1657"/>
      <c r="I178" s="1672"/>
      <c r="J178" s="1675"/>
      <c r="K178" s="1678"/>
      <c r="L178" s="1660"/>
      <c r="M178" s="1660"/>
      <c r="N178" s="726">
        <v>45628</v>
      </c>
      <c r="O178" s="1654"/>
      <c r="P178" s="930">
        <v>2474</v>
      </c>
      <c r="Q178" s="728">
        <v>45635</v>
      </c>
      <c r="R178" s="729"/>
      <c r="S178" s="727"/>
      <c r="T178" s="727"/>
      <c r="U178" s="1657"/>
      <c r="V178" s="1663"/>
      <c r="W178" s="1666"/>
      <c r="X178" s="110">
        <v>71</v>
      </c>
    </row>
    <row r="179" spans="1:24" s="110" customFormat="1" x14ac:dyDescent="0.25">
      <c r="A179" s="1652"/>
      <c r="B179" s="1661"/>
      <c r="C179" s="1661"/>
      <c r="D179" s="1661"/>
      <c r="E179" s="1661"/>
      <c r="F179" s="1655"/>
      <c r="G179" s="1670"/>
      <c r="H179" s="1658"/>
      <c r="I179" s="1673"/>
      <c r="J179" s="1676"/>
      <c r="K179" s="1679"/>
      <c r="L179" s="1661"/>
      <c r="M179" s="1661"/>
      <c r="N179" s="722">
        <v>45628</v>
      </c>
      <c r="O179" s="1655"/>
      <c r="P179" s="933">
        <v>3036.59</v>
      </c>
      <c r="Q179" s="724">
        <v>45635</v>
      </c>
      <c r="R179" s="725"/>
      <c r="S179" s="723"/>
      <c r="T179" s="723"/>
      <c r="U179" s="1658"/>
      <c r="V179" s="1664"/>
      <c r="W179" s="1667"/>
      <c r="X179" s="110">
        <v>71</v>
      </c>
    </row>
    <row r="180" spans="1:24" s="80" customFormat="1" ht="54" customHeight="1" x14ac:dyDescent="0.25">
      <c r="A180" s="1186">
        <v>38</v>
      </c>
      <c r="B180" s="1192" t="s">
        <v>56</v>
      </c>
      <c r="C180" s="1192" t="s">
        <v>147</v>
      </c>
      <c r="D180" s="1192" t="s">
        <v>158</v>
      </c>
      <c r="E180" s="1192" t="s">
        <v>129</v>
      </c>
      <c r="F180" s="1188">
        <v>45625</v>
      </c>
      <c r="G180" s="1198" t="s">
        <v>407</v>
      </c>
      <c r="H180" s="1190">
        <v>162050.4</v>
      </c>
      <c r="I180" s="1200">
        <f>IF(X180 = 72, H180 + SUM(S180:S181) - SUM(T180:T181) - SUM(P180:P181) - V180,0)</f>
        <v>-2.9103830456733704E-11</v>
      </c>
      <c r="J180" s="1202">
        <v>235300582900</v>
      </c>
      <c r="K180" s="1204" t="s">
        <v>171</v>
      </c>
      <c r="L180" s="1192" t="s">
        <v>147</v>
      </c>
      <c r="M180" s="1192" t="s">
        <v>477</v>
      </c>
      <c r="N180" s="901">
        <v>45642</v>
      </c>
      <c r="O180" s="1188" t="s">
        <v>403</v>
      </c>
      <c r="P180" s="935">
        <v>71895.600000000006</v>
      </c>
      <c r="Q180" s="896">
        <v>45644</v>
      </c>
      <c r="R180" s="897"/>
      <c r="S180" s="895"/>
      <c r="T180" s="895"/>
      <c r="U180" s="1190" t="s">
        <v>492</v>
      </c>
      <c r="V180" s="1194">
        <v>6974</v>
      </c>
      <c r="W180" s="1196"/>
      <c r="X180" s="80">
        <v>72</v>
      </c>
    </row>
    <row r="181" spans="1:24" s="110" customFormat="1" x14ac:dyDescent="0.25">
      <c r="A181" s="1187"/>
      <c r="B181" s="1193"/>
      <c r="C181" s="1193"/>
      <c r="D181" s="1193"/>
      <c r="E181" s="1193"/>
      <c r="F181" s="1189"/>
      <c r="G181" s="1199"/>
      <c r="H181" s="1191"/>
      <c r="I181" s="1201"/>
      <c r="J181" s="1203"/>
      <c r="K181" s="1205"/>
      <c r="L181" s="1193"/>
      <c r="M181" s="1193"/>
      <c r="N181" s="902">
        <v>45653</v>
      </c>
      <c r="O181" s="1189"/>
      <c r="P181" s="946">
        <v>83180.800000000003</v>
      </c>
      <c r="Q181" s="899">
        <v>46748</v>
      </c>
      <c r="R181" s="900"/>
      <c r="S181" s="898"/>
      <c r="T181" s="898"/>
      <c r="U181" s="1191"/>
      <c r="V181" s="1195"/>
      <c r="W181" s="1197"/>
      <c r="X181" s="110">
        <v>72</v>
      </c>
    </row>
    <row r="182" spans="1:24" s="80" customFormat="1" ht="56.25" x14ac:dyDescent="0.25">
      <c r="A182" s="875">
        <v>39</v>
      </c>
      <c r="B182" s="807" t="s">
        <v>56</v>
      </c>
      <c r="C182" s="877" t="s">
        <v>147</v>
      </c>
      <c r="D182" s="807" t="s">
        <v>158</v>
      </c>
      <c r="E182" s="877" t="s">
        <v>488</v>
      </c>
      <c r="F182" s="893">
        <v>45642</v>
      </c>
      <c r="G182" s="880" t="s">
        <v>489</v>
      </c>
      <c r="H182" s="876">
        <v>74850</v>
      </c>
      <c r="I182" s="881">
        <f>IF(X182 = 73, H182 + SUM(S182:S182) - SUM(T182:T182) - SUM(P182:P182) - V182,0)</f>
        <v>0</v>
      </c>
      <c r="J182" s="882">
        <v>235303483777</v>
      </c>
      <c r="K182" s="883" t="s">
        <v>490</v>
      </c>
      <c r="L182" s="877" t="s">
        <v>147</v>
      </c>
      <c r="M182" s="877" t="s">
        <v>491</v>
      </c>
      <c r="N182" s="893">
        <v>45642</v>
      </c>
      <c r="O182" s="808" t="s">
        <v>403</v>
      </c>
      <c r="P182" s="934">
        <v>74850</v>
      </c>
      <c r="Q182" s="880">
        <v>45644</v>
      </c>
      <c r="R182" s="877"/>
      <c r="S182" s="876"/>
      <c r="T182" s="876"/>
      <c r="U182" s="876"/>
      <c r="V182" s="878"/>
      <c r="W182" s="879"/>
      <c r="X182" s="80">
        <v>73</v>
      </c>
    </row>
    <row r="183" spans="1:24" s="80" customFormat="1" ht="75" x14ac:dyDescent="0.25">
      <c r="A183" s="884">
        <v>40</v>
      </c>
      <c r="B183" s="807" t="s">
        <v>56</v>
      </c>
      <c r="C183" s="886" t="s">
        <v>147</v>
      </c>
      <c r="D183" s="807" t="s">
        <v>158</v>
      </c>
      <c r="E183" s="886" t="s">
        <v>110</v>
      </c>
      <c r="F183" s="894">
        <v>45645</v>
      </c>
      <c r="G183" s="889" t="s">
        <v>486</v>
      </c>
      <c r="H183" s="885">
        <v>147500</v>
      </c>
      <c r="I183" s="890">
        <f>IF(X183 = 74, H183 + SUM(S183:S183) - SUM(T183:T183) - SUM(P183:P183) - V183,0)</f>
        <v>0</v>
      </c>
      <c r="J183" s="891">
        <v>235300809163</v>
      </c>
      <c r="K183" s="892" t="s">
        <v>484</v>
      </c>
      <c r="L183" s="886" t="s">
        <v>147</v>
      </c>
      <c r="M183" s="886" t="s">
        <v>343</v>
      </c>
      <c r="N183" s="894">
        <v>45645</v>
      </c>
      <c r="O183" s="894" t="s">
        <v>356</v>
      </c>
      <c r="P183" s="934">
        <v>147500</v>
      </c>
      <c r="Q183" s="889">
        <v>45645</v>
      </c>
      <c r="R183" s="886"/>
      <c r="S183" s="885"/>
      <c r="T183" s="885"/>
      <c r="U183" s="885"/>
      <c r="V183" s="887"/>
      <c r="W183" s="888"/>
      <c r="X183" s="80">
        <v>74</v>
      </c>
    </row>
    <row r="184" spans="1:24" s="80" customFormat="1" ht="54" customHeight="1" x14ac:dyDescent="0.25">
      <c r="A184" s="1147">
        <v>41</v>
      </c>
      <c r="B184" s="1126" t="s">
        <v>56</v>
      </c>
      <c r="C184" s="1126" t="s">
        <v>147</v>
      </c>
      <c r="D184" s="1126" t="s">
        <v>158</v>
      </c>
      <c r="E184" s="1126" t="s">
        <v>113</v>
      </c>
      <c r="F184" s="1129">
        <v>45625</v>
      </c>
      <c r="G184" s="1132" t="s">
        <v>407</v>
      </c>
      <c r="H184" s="1135">
        <v>123296</v>
      </c>
      <c r="I184" s="1138">
        <f>IF(X184 = 75, H184 + SUM(S184:S186) - SUM(T184:T186) - SUM(P184:P186) - V184,0)</f>
        <v>-3.637978807091713E-12</v>
      </c>
      <c r="J184" s="1141">
        <v>235300582900</v>
      </c>
      <c r="K184" s="1144" t="s">
        <v>171</v>
      </c>
      <c r="L184" s="1126" t="s">
        <v>147</v>
      </c>
      <c r="M184" s="1126" t="s">
        <v>477</v>
      </c>
      <c r="N184" s="917">
        <v>45653</v>
      </c>
      <c r="O184" s="1129" t="s">
        <v>403</v>
      </c>
      <c r="P184" s="943">
        <v>9452</v>
      </c>
      <c r="Q184" s="919">
        <v>45653</v>
      </c>
      <c r="R184" s="920"/>
      <c r="S184" s="918"/>
      <c r="T184" s="918"/>
      <c r="U184" s="1135" t="s">
        <v>492</v>
      </c>
      <c r="V184" s="1150">
        <v>20457.2</v>
      </c>
      <c r="W184" s="1153"/>
      <c r="X184" s="80">
        <v>75</v>
      </c>
    </row>
    <row r="185" spans="1:24" s="110" customFormat="1" x14ac:dyDescent="0.25">
      <c r="A185" s="1148"/>
      <c r="B185" s="1127"/>
      <c r="C185" s="1127"/>
      <c r="D185" s="1127"/>
      <c r="E185" s="1127"/>
      <c r="F185" s="1130"/>
      <c r="G185" s="1133"/>
      <c r="H185" s="1136"/>
      <c r="I185" s="1139"/>
      <c r="J185" s="1142"/>
      <c r="K185" s="1145"/>
      <c r="L185" s="1127"/>
      <c r="M185" s="1127"/>
      <c r="N185" s="925">
        <v>45653</v>
      </c>
      <c r="O185" s="1130"/>
      <c r="P185" s="944">
        <v>88543</v>
      </c>
      <c r="Q185" s="927">
        <v>45653</v>
      </c>
      <c r="R185" s="928"/>
      <c r="S185" s="926"/>
      <c r="T185" s="926"/>
      <c r="U185" s="1136"/>
      <c r="V185" s="1151"/>
      <c r="W185" s="1154"/>
      <c r="X185" s="110">
        <v>75</v>
      </c>
    </row>
    <row r="186" spans="1:24" s="110" customFormat="1" x14ac:dyDescent="0.25">
      <c r="A186" s="1149"/>
      <c r="B186" s="1128"/>
      <c r="C186" s="1128"/>
      <c r="D186" s="1128"/>
      <c r="E186" s="1128"/>
      <c r="F186" s="1131"/>
      <c r="G186" s="1134"/>
      <c r="H186" s="1137"/>
      <c r="I186" s="1140"/>
      <c r="J186" s="1143"/>
      <c r="K186" s="1146"/>
      <c r="L186" s="1128"/>
      <c r="M186" s="1128"/>
      <c r="N186" s="921">
        <v>45653</v>
      </c>
      <c r="O186" s="1131"/>
      <c r="P186" s="945">
        <v>4843.8</v>
      </c>
      <c r="Q186" s="923">
        <v>45653</v>
      </c>
      <c r="R186" s="924"/>
      <c r="S186" s="922"/>
      <c r="T186" s="922"/>
      <c r="U186" s="1137"/>
      <c r="V186" s="1152"/>
      <c r="W186" s="1155"/>
      <c r="X186" s="110">
        <v>75</v>
      </c>
    </row>
    <row r="187" spans="1:24" x14ac:dyDescent="0.25">
      <c r="X187" s="2">
        <v>76</v>
      </c>
    </row>
  </sheetData>
  <sheetProtection algorithmName="SHA-512" hashValue="InBXn4blIDcH7SeUGbp4b3TzN9956K+UIEGL49WfIOApUtb5XshPzgirAQ9xgxb+oOw2ynKfmijZ0D2FxYth3Q==" saltValue="x05VFP4FEQzKitoHkgQx7g==" spinCount="100000" sheet="1" objects="1" scenarios="1" formatCells="0" formatColumns="0" formatRows="0"/>
  <mergeCells count="479">
    <mergeCell ref="W158:W159"/>
    <mergeCell ref="D158:D159"/>
    <mergeCell ref="E158:E159"/>
    <mergeCell ref="F158:F159"/>
    <mergeCell ref="G158:G159"/>
    <mergeCell ref="H158:H159"/>
    <mergeCell ref="I158:I159"/>
    <mergeCell ref="J158:J159"/>
    <mergeCell ref="K158:K159"/>
    <mergeCell ref="L158:L159"/>
    <mergeCell ref="M158:M159"/>
    <mergeCell ref="A9:A20"/>
    <mergeCell ref="O9:O20"/>
    <mergeCell ref="U9:U20"/>
    <mergeCell ref="B9:B20"/>
    <mergeCell ref="V9:V20"/>
    <mergeCell ref="C9:C20"/>
    <mergeCell ref="W9:W20"/>
    <mergeCell ref="D9:D20"/>
    <mergeCell ref="E9:E20"/>
    <mergeCell ref="F9:F20"/>
    <mergeCell ref="G9:G20"/>
    <mergeCell ref="H9:H20"/>
    <mergeCell ref="I9:I20"/>
    <mergeCell ref="J9:J20"/>
    <mergeCell ref="K9:K20"/>
    <mergeCell ref="L9:L20"/>
    <mergeCell ref="M9:M20"/>
    <mergeCell ref="W160:W161"/>
    <mergeCell ref="D160:D161"/>
    <mergeCell ref="E160:E161"/>
    <mergeCell ref="F160:F161"/>
    <mergeCell ref="G160:G161"/>
    <mergeCell ref="H160:H161"/>
    <mergeCell ref="I160:I161"/>
    <mergeCell ref="A176:A179"/>
    <mergeCell ref="O176:O179"/>
    <mergeCell ref="U176:U179"/>
    <mergeCell ref="B176:B179"/>
    <mergeCell ref="V176:V179"/>
    <mergeCell ref="C176:C179"/>
    <mergeCell ref="W176:W179"/>
    <mergeCell ref="D176:D179"/>
    <mergeCell ref="E176:E179"/>
    <mergeCell ref="F176:F179"/>
    <mergeCell ref="G176:G179"/>
    <mergeCell ref="H176:H179"/>
    <mergeCell ref="I176:I179"/>
    <mergeCell ref="J176:J179"/>
    <mergeCell ref="K176:K179"/>
    <mergeCell ref="L176:L179"/>
    <mergeCell ref="M176:M179"/>
    <mergeCell ref="V98:V109"/>
    <mergeCell ref="C98:C109"/>
    <mergeCell ref="D98:D109"/>
    <mergeCell ref="E98:E109"/>
    <mergeCell ref="F98:F109"/>
    <mergeCell ref="G98:G109"/>
    <mergeCell ref="H98:H109"/>
    <mergeCell ref="I98:I109"/>
    <mergeCell ref="J98:J109"/>
    <mergeCell ref="K98:K109"/>
    <mergeCell ref="L98:L109"/>
    <mergeCell ref="M98:M109"/>
    <mergeCell ref="G122:G125"/>
    <mergeCell ref="H122:H125"/>
    <mergeCell ref="I122:I125"/>
    <mergeCell ref="J122:J125"/>
    <mergeCell ref="K122:K125"/>
    <mergeCell ref="L122:L125"/>
    <mergeCell ref="A98:A109"/>
    <mergeCell ref="O98:O109"/>
    <mergeCell ref="U98:U109"/>
    <mergeCell ref="B98:B109"/>
    <mergeCell ref="O111:O121"/>
    <mergeCell ref="U111:U121"/>
    <mergeCell ref="G21:G38"/>
    <mergeCell ref="H21:H38"/>
    <mergeCell ref="I21:I38"/>
    <mergeCell ref="G57:G68"/>
    <mergeCell ref="H57:H68"/>
    <mergeCell ref="I57:I68"/>
    <mergeCell ref="J57:J68"/>
    <mergeCell ref="K57:K68"/>
    <mergeCell ref="L57:L68"/>
    <mergeCell ref="W172:W175"/>
    <mergeCell ref="D172:D175"/>
    <mergeCell ref="E172:E175"/>
    <mergeCell ref="F172:F175"/>
    <mergeCell ref="G172:G175"/>
    <mergeCell ref="H172:H175"/>
    <mergeCell ref="I172:I175"/>
    <mergeCell ref="J172:J175"/>
    <mergeCell ref="K172:K175"/>
    <mergeCell ref="L172:L175"/>
    <mergeCell ref="M172:M175"/>
    <mergeCell ref="A172:A175"/>
    <mergeCell ref="O172:O175"/>
    <mergeCell ref="U172:U175"/>
    <mergeCell ref="B172:B175"/>
    <mergeCell ref="V172:V175"/>
    <mergeCell ref="C172:C175"/>
    <mergeCell ref="A137:A138"/>
    <mergeCell ref="C137:C138"/>
    <mergeCell ref="A134:A135"/>
    <mergeCell ref="A139:A140"/>
    <mergeCell ref="A158:A159"/>
    <mergeCell ref="O158:O159"/>
    <mergeCell ref="U158:U159"/>
    <mergeCell ref="B158:B159"/>
    <mergeCell ref="V158:V159"/>
    <mergeCell ref="C158:C159"/>
    <mergeCell ref="A162:A165"/>
    <mergeCell ref="B162:B165"/>
    <mergeCell ref="C162:C165"/>
    <mergeCell ref="O160:O161"/>
    <mergeCell ref="U160:U161"/>
    <mergeCell ref="B160:B161"/>
    <mergeCell ref="C160:C161"/>
    <mergeCell ref="A160:A161"/>
    <mergeCell ref="E128:E130"/>
    <mergeCell ref="I139:I140"/>
    <mergeCell ref="W162:W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M162:M165"/>
    <mergeCell ref="O162:O165"/>
    <mergeCell ref="U162:U165"/>
    <mergeCell ref="V162:V165"/>
    <mergeCell ref="V160:V161"/>
    <mergeCell ref="V139:V140"/>
    <mergeCell ref="W131:W133"/>
    <mergeCell ref="U131:U133"/>
    <mergeCell ref="J139:J140"/>
    <mergeCell ref="J160:J161"/>
    <mergeCell ref="K160:K161"/>
    <mergeCell ref="L160:L161"/>
    <mergeCell ref="M160:M161"/>
    <mergeCell ref="J80:J82"/>
    <mergeCell ref="K80:K82"/>
    <mergeCell ref="I80:I82"/>
    <mergeCell ref="L95:L97"/>
    <mergeCell ref="M95:M97"/>
    <mergeCell ref="L84:L94"/>
    <mergeCell ref="M84:M94"/>
    <mergeCell ref="B139:B140"/>
    <mergeCell ref="C139:C140"/>
    <mergeCell ref="C80:C82"/>
    <mergeCell ref="F80:F82"/>
    <mergeCell ref="D80:D82"/>
    <mergeCell ref="H128:H130"/>
    <mergeCell ref="I128:I130"/>
    <mergeCell ref="J128:J130"/>
    <mergeCell ref="K128:K130"/>
    <mergeCell ref="K139:K140"/>
    <mergeCell ref="L139:L140"/>
    <mergeCell ref="M139:M140"/>
    <mergeCell ref="B134:B135"/>
    <mergeCell ref="C134:C135"/>
    <mergeCell ref="C131:C133"/>
    <mergeCell ref="C128:C130"/>
    <mergeCell ref="A141:A146"/>
    <mergeCell ref="B141:B146"/>
    <mergeCell ref="C141:C146"/>
    <mergeCell ref="B95:B97"/>
    <mergeCell ref="A84:A94"/>
    <mergeCell ref="B84:B94"/>
    <mergeCell ref="D131:D133"/>
    <mergeCell ref="E131:E133"/>
    <mergeCell ref="F131:F133"/>
    <mergeCell ref="A128:A130"/>
    <mergeCell ref="C84:C94"/>
    <mergeCell ref="D84:D94"/>
    <mergeCell ref="F84:F94"/>
    <mergeCell ref="C95:C97"/>
    <mergeCell ref="D95:D97"/>
    <mergeCell ref="E95:E97"/>
    <mergeCell ref="D137:D138"/>
    <mergeCell ref="E137:E138"/>
    <mergeCell ref="F137:F138"/>
    <mergeCell ref="D128:D130"/>
    <mergeCell ref="B128:B130"/>
    <mergeCell ref="A131:A133"/>
    <mergeCell ref="B131:B133"/>
    <mergeCell ref="B137:B138"/>
    <mergeCell ref="V95:V97"/>
    <mergeCell ref="W95:W97"/>
    <mergeCell ref="E80:E82"/>
    <mergeCell ref="J95:J97"/>
    <mergeCell ref="K95:K97"/>
    <mergeCell ref="O95:O97"/>
    <mergeCell ref="U95:U97"/>
    <mergeCell ref="O84:O94"/>
    <mergeCell ref="U84:U94"/>
    <mergeCell ref="V84:V94"/>
    <mergeCell ref="W84:W94"/>
    <mergeCell ref="J84:J94"/>
    <mergeCell ref="K84:K94"/>
    <mergeCell ref="I95:I97"/>
    <mergeCell ref="V80:V82"/>
    <mergeCell ref="U80:U82"/>
    <mergeCell ref="G84:G94"/>
    <mergeCell ref="H84:H94"/>
    <mergeCell ref="I84:I94"/>
    <mergeCell ref="F95:F97"/>
    <mergeCell ref="G95:G97"/>
    <mergeCell ref="H95:H97"/>
    <mergeCell ref="G80:G82"/>
    <mergeCell ref="E84:E94"/>
    <mergeCell ref="W98:W109"/>
    <mergeCell ref="W134:W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L134:L135"/>
    <mergeCell ref="M134:M135"/>
    <mergeCell ref="O134:O135"/>
    <mergeCell ref="U134:U135"/>
    <mergeCell ref="V134:V135"/>
    <mergeCell ref="V131:V133"/>
    <mergeCell ref="L131:L133"/>
    <mergeCell ref="M131:M133"/>
    <mergeCell ref="K131:K133"/>
    <mergeCell ref="H131:H133"/>
    <mergeCell ref="I131:I133"/>
    <mergeCell ref="J131:J133"/>
    <mergeCell ref="M111:M121"/>
    <mergeCell ref="U128:U130"/>
    <mergeCell ref="S2:U2"/>
    <mergeCell ref="F2:G2"/>
    <mergeCell ref="N2:O2"/>
    <mergeCell ref="V128:V130"/>
    <mergeCell ref="W128:W130"/>
    <mergeCell ref="L128:L130"/>
    <mergeCell ref="M128:M130"/>
    <mergeCell ref="O128:O130"/>
    <mergeCell ref="O39:O44"/>
    <mergeCell ref="U39:U44"/>
    <mergeCell ref="F128:F130"/>
    <mergeCell ref="G128:G130"/>
    <mergeCell ref="W39:W44"/>
    <mergeCell ref="W80:W82"/>
    <mergeCell ref="M39:M44"/>
    <mergeCell ref="H80:H82"/>
    <mergeCell ref="O80:O82"/>
    <mergeCell ref="L80:L82"/>
    <mergeCell ref="M80:M82"/>
    <mergeCell ref="J21:J38"/>
    <mergeCell ref="K21:K38"/>
    <mergeCell ref="L21:L38"/>
    <mergeCell ref="M21:M38"/>
    <mergeCell ref="V39:V44"/>
    <mergeCell ref="W141:W146"/>
    <mergeCell ref="O141:O146"/>
    <mergeCell ref="U141:U146"/>
    <mergeCell ref="V141:V146"/>
    <mergeCell ref="D141:D146"/>
    <mergeCell ref="E141:E146"/>
    <mergeCell ref="F141:F146"/>
    <mergeCell ref="G141:G146"/>
    <mergeCell ref="U137:U138"/>
    <mergeCell ref="V137:V138"/>
    <mergeCell ref="H141:H146"/>
    <mergeCell ref="I141:I146"/>
    <mergeCell ref="J141:J146"/>
    <mergeCell ref="K141:K146"/>
    <mergeCell ref="L141:L146"/>
    <mergeCell ref="M141:M146"/>
    <mergeCell ref="O139:O140"/>
    <mergeCell ref="U139:U140"/>
    <mergeCell ref="W139:W140"/>
    <mergeCell ref="D139:D140"/>
    <mergeCell ref="E139:E140"/>
    <mergeCell ref="F139:F140"/>
    <mergeCell ref="G139:G140"/>
    <mergeCell ref="H139:H140"/>
    <mergeCell ref="V111:V121"/>
    <mergeCell ref="W111:W121"/>
    <mergeCell ref="G111:G121"/>
    <mergeCell ref="H111:H121"/>
    <mergeCell ref="I111:I121"/>
    <mergeCell ref="J111:J121"/>
    <mergeCell ref="K111:K121"/>
    <mergeCell ref="L111:L121"/>
    <mergeCell ref="W137:W138"/>
    <mergeCell ref="G137:G138"/>
    <mergeCell ref="O122:O125"/>
    <mergeCell ref="U122:U125"/>
    <mergeCell ref="V122:V125"/>
    <mergeCell ref="W122:W125"/>
    <mergeCell ref="M122:M125"/>
    <mergeCell ref="O131:O133"/>
    <mergeCell ref="H137:H138"/>
    <mergeCell ref="I137:I138"/>
    <mergeCell ref="J137:J138"/>
    <mergeCell ref="K137:K138"/>
    <mergeCell ref="L137:L138"/>
    <mergeCell ref="M137:M138"/>
    <mergeCell ref="O137:O138"/>
    <mergeCell ref="G131:G133"/>
    <mergeCell ref="A57:A68"/>
    <mergeCell ref="B57:B68"/>
    <mergeCell ref="C57:C68"/>
    <mergeCell ref="D57:D68"/>
    <mergeCell ref="E57:E68"/>
    <mergeCell ref="F57:F68"/>
    <mergeCell ref="A122:A125"/>
    <mergeCell ref="A111:A121"/>
    <mergeCell ref="B111:B121"/>
    <mergeCell ref="C111:C121"/>
    <mergeCell ref="D111:D121"/>
    <mergeCell ref="E111:E121"/>
    <mergeCell ref="F111:F121"/>
    <mergeCell ref="B122:B125"/>
    <mergeCell ref="C122:C125"/>
    <mergeCell ref="D122:D125"/>
    <mergeCell ref="E122:E125"/>
    <mergeCell ref="F122:F125"/>
    <mergeCell ref="A80:A82"/>
    <mergeCell ref="B80:B82"/>
    <mergeCell ref="A95:A97"/>
    <mergeCell ref="A69:A79"/>
    <mergeCell ref="A21:A38"/>
    <mergeCell ref="O21:O38"/>
    <mergeCell ref="U21:U38"/>
    <mergeCell ref="B21:B38"/>
    <mergeCell ref="V21:V38"/>
    <mergeCell ref="C21:C38"/>
    <mergeCell ref="W21:W38"/>
    <mergeCell ref="D21:D38"/>
    <mergeCell ref="A45:A56"/>
    <mergeCell ref="B45:B56"/>
    <mergeCell ref="A39:A44"/>
    <mergeCell ref="K39:K44"/>
    <mergeCell ref="L39:L44"/>
    <mergeCell ref="H39:H44"/>
    <mergeCell ref="I39:I44"/>
    <mergeCell ref="J39:J44"/>
    <mergeCell ref="B39:B44"/>
    <mergeCell ref="C39:C44"/>
    <mergeCell ref="D39:D44"/>
    <mergeCell ref="E39:E44"/>
    <mergeCell ref="F39:F44"/>
    <mergeCell ref="G39:G44"/>
    <mergeCell ref="E21:E38"/>
    <mergeCell ref="F21:F38"/>
    <mergeCell ref="M170:M171"/>
    <mergeCell ref="A170:A171"/>
    <mergeCell ref="O170:O171"/>
    <mergeCell ref="U170:U171"/>
    <mergeCell ref="B170:B171"/>
    <mergeCell ref="V170:V171"/>
    <mergeCell ref="C170:C171"/>
    <mergeCell ref="W170:W171"/>
    <mergeCell ref="D170:D171"/>
    <mergeCell ref="E170:E171"/>
    <mergeCell ref="F170:F171"/>
    <mergeCell ref="G170:G171"/>
    <mergeCell ref="H170:H171"/>
    <mergeCell ref="I170:I171"/>
    <mergeCell ref="J170:J171"/>
    <mergeCell ref="K170:K171"/>
    <mergeCell ref="L170:L171"/>
    <mergeCell ref="V57:V68"/>
    <mergeCell ref="W57:W68"/>
    <mergeCell ref="V45:V56"/>
    <mergeCell ref="C45:C56"/>
    <mergeCell ref="W45:W56"/>
    <mergeCell ref="D45:D56"/>
    <mergeCell ref="E45:E56"/>
    <mergeCell ref="F45:F56"/>
    <mergeCell ref="G45:G56"/>
    <mergeCell ref="H45:H56"/>
    <mergeCell ref="I45:I56"/>
    <mergeCell ref="J45:J56"/>
    <mergeCell ref="K45:K56"/>
    <mergeCell ref="L45:L56"/>
    <mergeCell ref="M45:M56"/>
    <mergeCell ref="O45:O56"/>
    <mergeCell ref="U45:U56"/>
    <mergeCell ref="O57:O68"/>
    <mergeCell ref="U57:U68"/>
    <mergeCell ref="M57:M68"/>
    <mergeCell ref="O69:O79"/>
    <mergeCell ref="U69:U79"/>
    <mergeCell ref="B69:B79"/>
    <mergeCell ref="V69:V79"/>
    <mergeCell ref="C69:C79"/>
    <mergeCell ref="W69:W79"/>
    <mergeCell ref="D69:D79"/>
    <mergeCell ref="E69:E79"/>
    <mergeCell ref="F69:F79"/>
    <mergeCell ref="G69:G79"/>
    <mergeCell ref="H69:H79"/>
    <mergeCell ref="I69:I79"/>
    <mergeCell ref="J69:J79"/>
    <mergeCell ref="K69:K79"/>
    <mergeCell ref="L69:L79"/>
    <mergeCell ref="M69:M79"/>
    <mergeCell ref="A150:A154"/>
    <mergeCell ref="O150:O154"/>
    <mergeCell ref="U150:U154"/>
    <mergeCell ref="B150:B154"/>
    <mergeCell ref="V150:V154"/>
    <mergeCell ref="C150:C154"/>
    <mergeCell ref="W150:W154"/>
    <mergeCell ref="D150:D154"/>
    <mergeCell ref="E150:E154"/>
    <mergeCell ref="F150:F154"/>
    <mergeCell ref="G150:G154"/>
    <mergeCell ref="H150:H154"/>
    <mergeCell ref="I150:I154"/>
    <mergeCell ref="J150:J154"/>
    <mergeCell ref="K150:K154"/>
    <mergeCell ref="L150:L154"/>
    <mergeCell ref="M150:M154"/>
    <mergeCell ref="A180:A181"/>
    <mergeCell ref="O180:O181"/>
    <mergeCell ref="U180:U181"/>
    <mergeCell ref="B180:B181"/>
    <mergeCell ref="V180:V181"/>
    <mergeCell ref="C180:C181"/>
    <mergeCell ref="W180:W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A184:A186"/>
    <mergeCell ref="O184:O186"/>
    <mergeCell ref="U184:U186"/>
    <mergeCell ref="B184:B186"/>
    <mergeCell ref="V184:V186"/>
    <mergeCell ref="C184:C186"/>
    <mergeCell ref="W184:W186"/>
    <mergeCell ref="A166:A169"/>
    <mergeCell ref="O166:O169"/>
    <mergeCell ref="U166:U169"/>
    <mergeCell ref="B166:B169"/>
    <mergeCell ref="V166:V169"/>
    <mergeCell ref="C166:C169"/>
    <mergeCell ref="W166:W169"/>
    <mergeCell ref="D166:D169"/>
    <mergeCell ref="E166:E169"/>
    <mergeCell ref="F166:F169"/>
    <mergeCell ref="G166:G169"/>
    <mergeCell ref="H166:H169"/>
    <mergeCell ref="I166:I169"/>
    <mergeCell ref="J166:J169"/>
    <mergeCell ref="K166:K169"/>
    <mergeCell ref="L166:L169"/>
    <mergeCell ref="M166:M169"/>
    <mergeCell ref="M184:M186"/>
    <mergeCell ref="D184:D186"/>
    <mergeCell ref="E184:E186"/>
    <mergeCell ref="F184:F186"/>
    <mergeCell ref="G184:G186"/>
    <mergeCell ref="H184:H186"/>
    <mergeCell ref="I184:I186"/>
    <mergeCell ref="J184:J186"/>
    <mergeCell ref="K184:K186"/>
    <mergeCell ref="L184:L186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1"/>
  <sheetViews>
    <sheetView showGridLines="0" topLeftCell="D1" zoomScale="50" zoomScaleNormal="50" workbookViewId="0">
      <pane ySplit="8" topLeftCell="A12" activePane="bottomLeft" state="frozen"/>
      <selection pane="bottomLeft" activeCell="I34" sqref="I34"/>
    </sheetView>
  </sheetViews>
  <sheetFormatPr defaultColWidth="0" defaultRowHeight="18.75" x14ac:dyDescent="0.25"/>
  <cols>
    <col min="1" max="1" width="8.425781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425781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5703125" style="10" customWidth="1"/>
    <col min="15" max="16" width="24.425781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1402" t="s">
        <v>24</v>
      </c>
      <c r="F2" s="1403"/>
      <c r="G2" s="75">
        <f>SUM(G9:G9999)</f>
        <v>587944.5</v>
      </c>
      <c r="L2" s="1720" t="s">
        <v>137</v>
      </c>
      <c r="M2" s="1721"/>
      <c r="N2" s="66">
        <f>SUM(N9:N9999)</f>
        <v>587944.5</v>
      </c>
      <c r="P2" s="65"/>
      <c r="Q2" s="1056" t="s">
        <v>45</v>
      </c>
      <c r="R2" s="1057"/>
      <c r="S2" s="1058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1722">
        <v>1</v>
      </c>
      <c r="B9" s="1724" t="s">
        <v>280</v>
      </c>
      <c r="C9" s="1724" t="s">
        <v>158</v>
      </c>
      <c r="D9" s="1724" t="s">
        <v>275</v>
      </c>
      <c r="E9" s="1732">
        <v>45366</v>
      </c>
      <c r="F9" s="1726" t="s">
        <v>276</v>
      </c>
      <c r="G9" s="1728">
        <v>587944.5</v>
      </c>
      <c r="H9" s="1734">
        <f>IF(V9 = 2, G9 + SUM(Q9:Q10) - SUM(R9:R10) - SUM(N9:N10) - T9,0)</f>
        <v>0</v>
      </c>
      <c r="I9" s="1736">
        <v>7715995942</v>
      </c>
      <c r="J9" s="1724" t="s">
        <v>277</v>
      </c>
      <c r="K9" s="1724" t="s">
        <v>278</v>
      </c>
      <c r="L9" s="338">
        <v>45406</v>
      </c>
      <c r="M9" s="1724" t="s">
        <v>279</v>
      </c>
      <c r="N9" s="330">
        <v>549485.19999999995</v>
      </c>
      <c r="O9" s="338">
        <v>45419</v>
      </c>
      <c r="P9" s="343"/>
      <c r="Q9" s="344"/>
      <c r="R9" s="344"/>
      <c r="S9" s="1726"/>
      <c r="T9" s="1728"/>
      <c r="U9" s="1730"/>
      <c r="V9" s="80">
        <v>2</v>
      </c>
    </row>
    <row r="10" spans="1:22" s="110" customFormat="1" x14ac:dyDescent="0.25">
      <c r="A10" s="1723"/>
      <c r="B10" s="1725"/>
      <c r="C10" s="1725"/>
      <c r="D10" s="1725"/>
      <c r="E10" s="1733"/>
      <c r="F10" s="1727"/>
      <c r="G10" s="1729"/>
      <c r="H10" s="1735"/>
      <c r="I10" s="1737"/>
      <c r="J10" s="1725"/>
      <c r="K10" s="1725"/>
      <c r="L10" s="340">
        <v>45461</v>
      </c>
      <c r="M10" s="1725"/>
      <c r="N10" s="346">
        <v>38459.300000000003</v>
      </c>
      <c r="O10" s="340">
        <v>45463</v>
      </c>
      <c r="P10" s="345"/>
      <c r="Q10" s="336"/>
      <c r="R10" s="336"/>
      <c r="S10" s="1727"/>
      <c r="T10" s="1729"/>
      <c r="U10" s="1731"/>
      <c r="V10" s="110">
        <v>2</v>
      </c>
    </row>
    <row r="11" spans="1:22" x14ac:dyDescent="0.25">
      <c r="V11" s="2">
        <v>3</v>
      </c>
    </row>
  </sheetData>
  <sheetProtection algorithmName="SHA-512" hashValue="eWJEr2hHzOmdI3/TQ6IRkbvY+Lwhn0nSzT8RURjC1qPy5gAHQLX7hZWCG29owkBwK3AxirlTxlYoGlvwTtpCNQ==" saltValue="6FRgryedYOe/QOdB8sXD/A==" spinCount="100000" sheet="1" objects="1" scenarios="1" formatCells="0" formatColumns="0" formatRows="0"/>
  <mergeCells count="18"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  <mergeCell ref="Q2:S2"/>
    <mergeCell ref="E2:F2"/>
    <mergeCell ref="L2:M2"/>
    <mergeCell ref="A9:A10"/>
    <mergeCell ref="M9:M10"/>
    <mergeCell ref="S9:S10"/>
    <mergeCell ref="B9:B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25"/>
  <sheetViews>
    <sheetView showGridLines="0" topLeftCell="K1" zoomScale="50" zoomScaleNormal="50" workbookViewId="0">
      <pane ySplit="8" topLeftCell="A18" activePane="bottomLeft" state="frozen"/>
      <selection pane="bottomLeft" activeCell="U28" sqref="U28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5703125" style="3" customWidth="1"/>
    <col min="4" max="6" width="33.5703125" style="3" customWidth="1"/>
    <col min="7" max="8" width="22.42578125" style="10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42578125" style="11" customWidth="1"/>
    <col min="21" max="21" width="27.570312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570312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402" t="s">
        <v>139</v>
      </c>
      <c r="F2" s="1403"/>
      <c r="G2" s="77">
        <f>SUM(G9:G9999)</f>
        <v>1548849.06</v>
      </c>
      <c r="O2" s="1402" t="s">
        <v>24</v>
      </c>
      <c r="P2" s="1403"/>
      <c r="Q2" s="75">
        <f>SUM(Q9:Q9999)</f>
        <v>1071537.3400000001</v>
      </c>
      <c r="T2" s="1056" t="s">
        <v>137</v>
      </c>
      <c r="U2" s="1058"/>
      <c r="V2" s="66">
        <f>SUM(V9:V9999)</f>
        <v>827658.3899999999</v>
      </c>
      <c r="X2" s="65"/>
      <c r="Y2" s="1056" t="s">
        <v>45</v>
      </c>
      <c r="Z2" s="1057"/>
      <c r="AA2" s="1058"/>
      <c r="AB2" s="67">
        <f>SUM(AB9:AB9999)</f>
        <v>243878.95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35" customHeight="1" x14ac:dyDescent="0.25">
      <c r="A9" s="1774">
        <v>1</v>
      </c>
      <c r="B9" s="1724" t="s">
        <v>56</v>
      </c>
      <c r="C9" s="1724" t="s">
        <v>161</v>
      </c>
      <c r="D9" s="1724" t="s">
        <v>158</v>
      </c>
      <c r="E9" s="1724" t="s">
        <v>162</v>
      </c>
      <c r="F9" s="1724" t="s">
        <v>154</v>
      </c>
      <c r="G9" s="1728">
        <v>740465.76</v>
      </c>
      <c r="H9" s="1734">
        <f>IF(AD9 = 1, G9 - Q9,0)</f>
        <v>348018.92</v>
      </c>
      <c r="I9" s="1728">
        <v>5</v>
      </c>
      <c r="J9" s="1728">
        <v>0</v>
      </c>
      <c r="K9" s="1724" t="s">
        <v>194</v>
      </c>
      <c r="L9" s="1724" t="s">
        <v>163</v>
      </c>
      <c r="M9" s="1724" t="s">
        <v>164</v>
      </c>
      <c r="N9" s="1732">
        <v>45286</v>
      </c>
      <c r="O9" s="1724" t="s">
        <v>155</v>
      </c>
      <c r="P9" s="1724" t="s">
        <v>156</v>
      </c>
      <c r="Q9" s="1728">
        <v>392446.84</v>
      </c>
      <c r="R9" s="1734">
        <f>IF(AD9 = 1, Q9 + SUM(Y9:Y14) - SUM(Z9:Z14) - SUM(V9:V14) - AB9,0)</f>
        <v>5.8207660913467407E-11</v>
      </c>
      <c r="S9" s="1724" t="s">
        <v>165</v>
      </c>
      <c r="T9" s="338">
        <v>45323</v>
      </c>
      <c r="U9" s="1726" t="s">
        <v>157</v>
      </c>
      <c r="V9" s="330">
        <v>68347.48</v>
      </c>
      <c r="W9" s="338">
        <v>45327</v>
      </c>
      <c r="X9" s="331"/>
      <c r="Y9" s="332"/>
      <c r="Z9" s="332"/>
      <c r="AA9" s="1788"/>
      <c r="AB9" s="1781"/>
      <c r="AC9" s="1784"/>
      <c r="AD9" s="80">
        <v>1</v>
      </c>
    </row>
    <row r="10" spans="1:30" s="110" customFormat="1" x14ac:dyDescent="0.25">
      <c r="A10" s="1775"/>
      <c r="B10" s="1773"/>
      <c r="C10" s="1773"/>
      <c r="D10" s="1773"/>
      <c r="E10" s="1773"/>
      <c r="F10" s="1773"/>
      <c r="G10" s="1771"/>
      <c r="H10" s="1772"/>
      <c r="I10" s="1771"/>
      <c r="J10" s="1771"/>
      <c r="K10" s="1773"/>
      <c r="L10" s="1773"/>
      <c r="M10" s="1773"/>
      <c r="N10" s="1787"/>
      <c r="O10" s="1773"/>
      <c r="P10" s="1773"/>
      <c r="Q10" s="1771"/>
      <c r="R10" s="1772"/>
      <c r="S10" s="1773"/>
      <c r="T10" s="339">
        <v>45352</v>
      </c>
      <c r="U10" s="1777"/>
      <c r="V10" s="333">
        <v>63937.97</v>
      </c>
      <c r="W10" s="339">
        <v>45356</v>
      </c>
      <c r="X10" s="334"/>
      <c r="Y10" s="335"/>
      <c r="Z10" s="335"/>
      <c r="AA10" s="1789"/>
      <c r="AB10" s="1782"/>
      <c r="AC10" s="1785"/>
      <c r="AD10" s="110">
        <v>1</v>
      </c>
    </row>
    <row r="11" spans="1:30" s="110" customFormat="1" x14ac:dyDescent="0.25">
      <c r="A11" s="1775"/>
      <c r="B11" s="1773"/>
      <c r="C11" s="1773"/>
      <c r="D11" s="1773"/>
      <c r="E11" s="1773"/>
      <c r="F11" s="1773"/>
      <c r="G11" s="1771"/>
      <c r="H11" s="1772"/>
      <c r="I11" s="1771"/>
      <c r="J11" s="1771"/>
      <c r="K11" s="1773"/>
      <c r="L11" s="1773"/>
      <c r="M11" s="1773"/>
      <c r="N11" s="1787"/>
      <c r="O11" s="1773"/>
      <c r="P11" s="1773"/>
      <c r="Q11" s="1771"/>
      <c r="R11" s="1772"/>
      <c r="S11" s="1773"/>
      <c r="T11" s="339">
        <v>45384</v>
      </c>
      <c r="U11" s="1777"/>
      <c r="V11" s="333">
        <v>68347.48</v>
      </c>
      <c r="W11" s="339">
        <v>45384</v>
      </c>
      <c r="X11" s="334"/>
      <c r="Y11" s="335"/>
      <c r="Z11" s="335"/>
      <c r="AA11" s="1789"/>
      <c r="AB11" s="1782"/>
      <c r="AC11" s="1785"/>
      <c r="AD11" s="110">
        <v>1</v>
      </c>
    </row>
    <row r="12" spans="1:30" s="110" customFormat="1" x14ac:dyDescent="0.25">
      <c r="A12" s="1775"/>
      <c r="B12" s="1773"/>
      <c r="C12" s="1773"/>
      <c r="D12" s="1773"/>
      <c r="E12" s="1773"/>
      <c r="F12" s="1773"/>
      <c r="G12" s="1771"/>
      <c r="H12" s="1772"/>
      <c r="I12" s="1771"/>
      <c r="J12" s="1771"/>
      <c r="K12" s="1773"/>
      <c r="L12" s="1773"/>
      <c r="M12" s="1773"/>
      <c r="N12" s="1787"/>
      <c r="O12" s="1773"/>
      <c r="P12" s="1773"/>
      <c r="Q12" s="1771"/>
      <c r="R12" s="1772"/>
      <c r="S12" s="1773"/>
      <c r="T12" s="339">
        <v>45414</v>
      </c>
      <c r="U12" s="1777"/>
      <c r="V12" s="333">
        <v>66142.73</v>
      </c>
      <c r="W12" s="339">
        <v>45419</v>
      </c>
      <c r="X12" s="334"/>
      <c r="Y12" s="335"/>
      <c r="Z12" s="335"/>
      <c r="AA12" s="1789"/>
      <c r="AB12" s="1782"/>
      <c r="AC12" s="1785"/>
      <c r="AD12" s="110">
        <v>1</v>
      </c>
    </row>
    <row r="13" spans="1:30" s="110" customFormat="1" x14ac:dyDescent="0.25">
      <c r="A13" s="1775"/>
      <c r="B13" s="1773"/>
      <c r="C13" s="1773"/>
      <c r="D13" s="1773"/>
      <c r="E13" s="1773"/>
      <c r="F13" s="1773"/>
      <c r="G13" s="1771"/>
      <c r="H13" s="1772"/>
      <c r="I13" s="1771"/>
      <c r="J13" s="1771"/>
      <c r="K13" s="1773"/>
      <c r="L13" s="1773"/>
      <c r="M13" s="1773"/>
      <c r="N13" s="1787"/>
      <c r="O13" s="1773"/>
      <c r="P13" s="1773"/>
      <c r="Q13" s="1771"/>
      <c r="R13" s="1772"/>
      <c r="S13" s="1773"/>
      <c r="T13" s="339">
        <v>45445</v>
      </c>
      <c r="U13" s="1777"/>
      <c r="V13" s="333">
        <v>68347.48</v>
      </c>
      <c r="W13" s="339">
        <v>45449</v>
      </c>
      <c r="X13" s="334"/>
      <c r="Y13" s="335"/>
      <c r="Z13" s="335"/>
      <c r="AA13" s="1789"/>
      <c r="AB13" s="1782"/>
      <c r="AC13" s="1785"/>
      <c r="AD13" s="110">
        <v>1</v>
      </c>
    </row>
    <row r="14" spans="1:30" s="110" customFormat="1" x14ac:dyDescent="0.25">
      <c r="A14" s="1776"/>
      <c r="B14" s="1725"/>
      <c r="C14" s="1725"/>
      <c r="D14" s="1725"/>
      <c r="E14" s="1725"/>
      <c r="F14" s="1725"/>
      <c r="G14" s="1729"/>
      <c r="H14" s="1735"/>
      <c r="I14" s="1729"/>
      <c r="J14" s="1729"/>
      <c r="K14" s="1725"/>
      <c r="L14" s="1725"/>
      <c r="M14" s="1725"/>
      <c r="N14" s="1733"/>
      <c r="O14" s="1725"/>
      <c r="P14" s="1725"/>
      <c r="Q14" s="1729"/>
      <c r="R14" s="1735"/>
      <c r="S14" s="1725"/>
      <c r="T14" s="340">
        <v>45470</v>
      </c>
      <c r="U14" s="1727"/>
      <c r="V14" s="346">
        <v>57323.7</v>
      </c>
      <c r="W14" s="340">
        <v>45477</v>
      </c>
      <c r="X14" s="337"/>
      <c r="Y14" s="336"/>
      <c r="Z14" s="336"/>
      <c r="AA14" s="1790"/>
      <c r="AB14" s="1783"/>
      <c r="AC14" s="1786"/>
      <c r="AD14" s="110">
        <v>1</v>
      </c>
    </row>
    <row r="15" spans="1:30" s="80" customFormat="1" ht="90" customHeight="1" x14ac:dyDescent="0.25">
      <c r="A15" s="1778">
        <v>2</v>
      </c>
      <c r="B15" s="1765" t="s">
        <v>56</v>
      </c>
      <c r="C15" s="1765" t="s">
        <v>310</v>
      </c>
      <c r="D15" s="1765" t="s">
        <v>158</v>
      </c>
      <c r="E15" s="1765" t="s">
        <v>311</v>
      </c>
      <c r="F15" s="1765" t="s">
        <v>154</v>
      </c>
      <c r="G15" s="1768">
        <v>349440</v>
      </c>
      <c r="H15" s="1794">
        <f>IF(AD15 = 2, G15 - Q15,0)</f>
        <v>129292.79999999999</v>
      </c>
      <c r="I15" s="1768">
        <v>5</v>
      </c>
      <c r="J15" s="1768">
        <v>0</v>
      </c>
      <c r="K15" s="1797" t="s">
        <v>75</v>
      </c>
      <c r="L15" s="1765" t="s">
        <v>312</v>
      </c>
      <c r="M15" s="1765" t="s">
        <v>313</v>
      </c>
      <c r="N15" s="1800">
        <v>45470</v>
      </c>
      <c r="O15" s="1765" t="s">
        <v>314</v>
      </c>
      <c r="P15" s="1765" t="s">
        <v>156</v>
      </c>
      <c r="Q15" s="1768">
        <v>220147.20000000001</v>
      </c>
      <c r="R15" s="1794">
        <f>IF(AD15 = 2, Q15 + SUM(Y15:Y18) - SUM(Z15:Z18) - SUM(V15:V18) - AB15,0)</f>
        <v>0</v>
      </c>
      <c r="S15" s="1765" t="s">
        <v>319</v>
      </c>
      <c r="T15" s="602">
        <v>45473</v>
      </c>
      <c r="U15" s="1762" t="s">
        <v>157</v>
      </c>
      <c r="V15" s="594">
        <v>9676.7999999999993</v>
      </c>
      <c r="W15" s="602">
        <v>45477</v>
      </c>
      <c r="X15" s="595"/>
      <c r="Y15" s="596"/>
      <c r="Z15" s="596"/>
      <c r="AA15" s="1762"/>
      <c r="AB15" s="1768"/>
      <c r="AC15" s="1791"/>
      <c r="AD15" s="80">
        <v>2</v>
      </c>
    </row>
    <row r="16" spans="1:30" s="110" customFormat="1" x14ac:dyDescent="0.25">
      <c r="A16" s="1779"/>
      <c r="B16" s="1766"/>
      <c r="C16" s="1766"/>
      <c r="D16" s="1766"/>
      <c r="E16" s="1766"/>
      <c r="F16" s="1766"/>
      <c r="G16" s="1769"/>
      <c r="H16" s="1795"/>
      <c r="I16" s="1769"/>
      <c r="J16" s="1769"/>
      <c r="K16" s="1798"/>
      <c r="L16" s="1766"/>
      <c r="M16" s="1766"/>
      <c r="N16" s="1801"/>
      <c r="O16" s="1766"/>
      <c r="P16" s="1766"/>
      <c r="Q16" s="1769"/>
      <c r="R16" s="1795"/>
      <c r="S16" s="1766"/>
      <c r="T16" s="603">
        <v>45504</v>
      </c>
      <c r="U16" s="1763"/>
      <c r="V16" s="597">
        <v>74995.199999999997</v>
      </c>
      <c r="W16" s="603">
        <v>45511</v>
      </c>
      <c r="X16" s="598"/>
      <c r="Y16" s="599"/>
      <c r="Z16" s="599"/>
      <c r="AA16" s="1763"/>
      <c r="AB16" s="1769"/>
      <c r="AC16" s="1792"/>
      <c r="AD16" s="110">
        <v>2</v>
      </c>
    </row>
    <row r="17" spans="1:30" s="110" customFormat="1" x14ac:dyDescent="0.25">
      <c r="A17" s="1779"/>
      <c r="B17" s="1766"/>
      <c r="C17" s="1766"/>
      <c r="D17" s="1766"/>
      <c r="E17" s="1766"/>
      <c r="F17" s="1766"/>
      <c r="G17" s="1769"/>
      <c r="H17" s="1795"/>
      <c r="I17" s="1769"/>
      <c r="J17" s="1769"/>
      <c r="K17" s="1798"/>
      <c r="L17" s="1766"/>
      <c r="M17" s="1766"/>
      <c r="N17" s="1801"/>
      <c r="O17" s="1766"/>
      <c r="P17" s="1766"/>
      <c r="Q17" s="1769"/>
      <c r="R17" s="1795"/>
      <c r="S17" s="1766"/>
      <c r="T17" s="603">
        <v>45535</v>
      </c>
      <c r="U17" s="1763"/>
      <c r="V17" s="597">
        <v>74995.199999999997</v>
      </c>
      <c r="W17" s="603">
        <v>45539</v>
      </c>
      <c r="X17" s="598"/>
      <c r="Y17" s="599"/>
      <c r="Z17" s="599"/>
      <c r="AA17" s="1763"/>
      <c r="AB17" s="1769"/>
      <c r="AC17" s="1792"/>
      <c r="AD17" s="110">
        <v>2</v>
      </c>
    </row>
    <row r="18" spans="1:30" s="110" customFormat="1" x14ac:dyDescent="0.25">
      <c r="A18" s="1780"/>
      <c r="B18" s="1767"/>
      <c r="C18" s="1767"/>
      <c r="D18" s="1767"/>
      <c r="E18" s="1767"/>
      <c r="F18" s="1767"/>
      <c r="G18" s="1770"/>
      <c r="H18" s="1796"/>
      <c r="I18" s="1770"/>
      <c r="J18" s="1770"/>
      <c r="K18" s="1799"/>
      <c r="L18" s="1767"/>
      <c r="M18" s="1767"/>
      <c r="N18" s="1802"/>
      <c r="O18" s="1767"/>
      <c r="P18" s="1767"/>
      <c r="Q18" s="1770"/>
      <c r="R18" s="1796"/>
      <c r="S18" s="1767"/>
      <c r="T18" s="604">
        <v>45561</v>
      </c>
      <c r="U18" s="1764"/>
      <c r="V18" s="605">
        <v>60480</v>
      </c>
      <c r="W18" s="604">
        <v>45566</v>
      </c>
      <c r="X18" s="601"/>
      <c r="Y18" s="600"/>
      <c r="Z18" s="600"/>
      <c r="AA18" s="1764"/>
      <c r="AB18" s="1770"/>
      <c r="AC18" s="1793"/>
      <c r="AD18" s="110">
        <v>2</v>
      </c>
    </row>
    <row r="19" spans="1:30" s="80" customFormat="1" ht="90" customHeight="1" x14ac:dyDescent="0.25">
      <c r="A19" s="1756">
        <v>3</v>
      </c>
      <c r="B19" s="1741" t="s">
        <v>56</v>
      </c>
      <c r="C19" s="1741" t="s">
        <v>315</v>
      </c>
      <c r="D19" s="1741" t="s">
        <v>158</v>
      </c>
      <c r="E19" s="1741" t="s">
        <v>316</v>
      </c>
      <c r="F19" s="1741" t="s">
        <v>174</v>
      </c>
      <c r="G19" s="1744">
        <v>458943.3</v>
      </c>
      <c r="H19" s="1747">
        <f>IF(AD19 = 3, G19 - Q19,0)</f>
        <v>0</v>
      </c>
      <c r="I19" s="1744">
        <v>25</v>
      </c>
      <c r="J19" s="1744">
        <v>0</v>
      </c>
      <c r="K19" s="1750" t="s">
        <v>194</v>
      </c>
      <c r="L19" s="1741" t="s">
        <v>317</v>
      </c>
      <c r="M19" s="1741" t="s">
        <v>318</v>
      </c>
      <c r="N19" s="1753">
        <v>45473</v>
      </c>
      <c r="O19" s="1741" t="s">
        <v>170</v>
      </c>
      <c r="P19" s="1741" t="s">
        <v>171</v>
      </c>
      <c r="Q19" s="1744">
        <v>458943.3</v>
      </c>
      <c r="R19" s="1747">
        <f>IF(AD19 = 3, Q19 + SUM(Y19:Y24) - SUM(Z19:Z24) - SUM(V19:V24) - AB19,0)</f>
        <v>0</v>
      </c>
      <c r="S19" s="1741" t="s">
        <v>391</v>
      </c>
      <c r="T19" s="693">
        <v>45554</v>
      </c>
      <c r="U19" s="1759" t="s">
        <v>157</v>
      </c>
      <c r="V19" s="685">
        <v>36774.449999999997</v>
      </c>
      <c r="W19" s="693">
        <v>45561</v>
      </c>
      <c r="X19" s="686"/>
      <c r="Y19" s="687"/>
      <c r="Z19" s="687"/>
      <c r="AA19" s="1759" t="s">
        <v>431</v>
      </c>
      <c r="AB19" s="1744">
        <v>243878.95</v>
      </c>
      <c r="AC19" s="1738"/>
      <c r="AD19" s="80">
        <v>3</v>
      </c>
    </row>
    <row r="20" spans="1:30" s="110" customFormat="1" x14ac:dyDescent="0.25">
      <c r="A20" s="1757"/>
      <c r="B20" s="1742"/>
      <c r="C20" s="1742"/>
      <c r="D20" s="1742"/>
      <c r="E20" s="1742"/>
      <c r="F20" s="1742"/>
      <c r="G20" s="1745"/>
      <c r="H20" s="1748"/>
      <c r="I20" s="1745"/>
      <c r="J20" s="1745"/>
      <c r="K20" s="1751"/>
      <c r="L20" s="1742"/>
      <c r="M20" s="1742"/>
      <c r="N20" s="1754"/>
      <c r="O20" s="1742"/>
      <c r="P20" s="1742"/>
      <c r="Q20" s="1745"/>
      <c r="R20" s="1748"/>
      <c r="S20" s="1742"/>
      <c r="T20" s="694">
        <v>45568</v>
      </c>
      <c r="U20" s="1760"/>
      <c r="V20" s="688">
        <v>39364.199999999997</v>
      </c>
      <c r="W20" s="694">
        <v>45573</v>
      </c>
      <c r="X20" s="689"/>
      <c r="Y20" s="690"/>
      <c r="Z20" s="690"/>
      <c r="AA20" s="1760"/>
      <c r="AB20" s="1745"/>
      <c r="AC20" s="1739"/>
      <c r="AD20" s="110">
        <v>3</v>
      </c>
    </row>
    <row r="21" spans="1:30" s="110" customFormat="1" x14ac:dyDescent="0.25">
      <c r="A21" s="1757"/>
      <c r="B21" s="1742"/>
      <c r="C21" s="1742"/>
      <c r="D21" s="1742"/>
      <c r="E21" s="1742"/>
      <c r="F21" s="1742"/>
      <c r="G21" s="1745"/>
      <c r="H21" s="1748"/>
      <c r="I21" s="1745"/>
      <c r="J21" s="1745"/>
      <c r="K21" s="1751"/>
      <c r="L21" s="1742"/>
      <c r="M21" s="1742"/>
      <c r="N21" s="1754"/>
      <c r="O21" s="1742"/>
      <c r="P21" s="1742"/>
      <c r="Q21" s="1745"/>
      <c r="R21" s="1748"/>
      <c r="S21" s="1742"/>
      <c r="T21" s="694">
        <v>45579</v>
      </c>
      <c r="U21" s="1760"/>
      <c r="V21" s="688">
        <v>32745.95</v>
      </c>
      <c r="W21" s="694">
        <v>45588</v>
      </c>
      <c r="X21" s="689"/>
      <c r="Y21" s="690"/>
      <c r="Z21" s="690"/>
      <c r="AA21" s="1760"/>
      <c r="AB21" s="1745"/>
      <c r="AC21" s="1739"/>
      <c r="AD21" s="110">
        <v>3</v>
      </c>
    </row>
    <row r="22" spans="1:30" s="110" customFormat="1" x14ac:dyDescent="0.25">
      <c r="A22" s="1757"/>
      <c r="B22" s="1742"/>
      <c r="C22" s="1742"/>
      <c r="D22" s="1742"/>
      <c r="E22" s="1742"/>
      <c r="F22" s="1742"/>
      <c r="G22" s="1745"/>
      <c r="H22" s="1748"/>
      <c r="I22" s="1745"/>
      <c r="J22" s="1745"/>
      <c r="K22" s="1751"/>
      <c r="L22" s="1742"/>
      <c r="M22" s="1742"/>
      <c r="N22" s="1754"/>
      <c r="O22" s="1742"/>
      <c r="P22" s="1742"/>
      <c r="Q22" s="1745"/>
      <c r="R22" s="1748"/>
      <c r="S22" s="1742"/>
      <c r="T22" s="694">
        <v>45593</v>
      </c>
      <c r="U22" s="1760"/>
      <c r="V22" s="688">
        <v>36601.800000000003</v>
      </c>
      <c r="W22" s="694">
        <v>45597</v>
      </c>
      <c r="X22" s="689"/>
      <c r="Y22" s="690"/>
      <c r="Z22" s="690"/>
      <c r="AA22" s="1760"/>
      <c r="AB22" s="1745"/>
      <c r="AC22" s="1739"/>
      <c r="AD22" s="110">
        <v>3</v>
      </c>
    </row>
    <row r="23" spans="1:30" s="110" customFormat="1" x14ac:dyDescent="0.25">
      <c r="A23" s="1757"/>
      <c r="B23" s="1742"/>
      <c r="C23" s="1742"/>
      <c r="D23" s="1742"/>
      <c r="E23" s="1742"/>
      <c r="F23" s="1742"/>
      <c r="G23" s="1745"/>
      <c r="H23" s="1748"/>
      <c r="I23" s="1745"/>
      <c r="J23" s="1745"/>
      <c r="K23" s="1751"/>
      <c r="L23" s="1742"/>
      <c r="M23" s="1742"/>
      <c r="N23" s="1754"/>
      <c r="O23" s="1742"/>
      <c r="P23" s="1742"/>
      <c r="Q23" s="1745"/>
      <c r="R23" s="1748"/>
      <c r="S23" s="1742"/>
      <c r="T23" s="694">
        <v>45614</v>
      </c>
      <c r="U23" s="1760"/>
      <c r="V23" s="688">
        <v>32400.65</v>
      </c>
      <c r="W23" s="694">
        <v>45617</v>
      </c>
      <c r="X23" s="689"/>
      <c r="Y23" s="690"/>
      <c r="Z23" s="690"/>
      <c r="AA23" s="1760"/>
      <c r="AB23" s="1745"/>
      <c r="AC23" s="1739"/>
      <c r="AD23" s="110">
        <v>3</v>
      </c>
    </row>
    <row r="24" spans="1:30" s="110" customFormat="1" x14ac:dyDescent="0.25">
      <c r="A24" s="1758"/>
      <c r="B24" s="1743"/>
      <c r="C24" s="1743"/>
      <c r="D24" s="1743"/>
      <c r="E24" s="1743"/>
      <c r="F24" s="1743"/>
      <c r="G24" s="1746"/>
      <c r="H24" s="1749"/>
      <c r="I24" s="1746"/>
      <c r="J24" s="1746"/>
      <c r="K24" s="1752"/>
      <c r="L24" s="1743"/>
      <c r="M24" s="1743"/>
      <c r="N24" s="1755"/>
      <c r="O24" s="1743"/>
      <c r="P24" s="1743"/>
      <c r="Q24" s="1746"/>
      <c r="R24" s="1749"/>
      <c r="S24" s="1743"/>
      <c r="T24" s="695">
        <v>45628</v>
      </c>
      <c r="U24" s="1761"/>
      <c r="V24" s="929">
        <v>37177.300000000003</v>
      </c>
      <c r="W24" s="695">
        <v>45632</v>
      </c>
      <c r="X24" s="692"/>
      <c r="Y24" s="691"/>
      <c r="Z24" s="691"/>
      <c r="AA24" s="1761"/>
      <c r="AB24" s="1746"/>
      <c r="AC24" s="1740"/>
      <c r="AD24" s="110">
        <v>3</v>
      </c>
    </row>
    <row r="25" spans="1:30" x14ac:dyDescent="0.25">
      <c r="AD25" s="2">
        <v>4</v>
      </c>
    </row>
  </sheetData>
  <sheetProtection algorithmName="SHA-512" hashValue="Ir3bn67Ouc5mkwMhZizkREtg3NxhhdKfdtLwIqAgiPJV2cm1PPpGBGrgFBU4LVkrHa3bgTHWbsPk6KLLMDFK2g==" saltValue="YlgOIv7JUJXawyXkh5XgJw==" spinCount="100000" sheet="1" objects="1" scenarios="1" formatCells="0" formatColumns="0" formatRows="0"/>
  <mergeCells count="73">
    <mergeCell ref="AC15:AC18"/>
    <mergeCell ref="D15:D18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N15:N18"/>
    <mergeCell ref="O15:O18"/>
    <mergeCell ref="P15:P18"/>
    <mergeCell ref="Q15:Q18"/>
    <mergeCell ref="R15:R18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AA9:AA14"/>
    <mergeCell ref="A9:A14"/>
    <mergeCell ref="B9:B14"/>
    <mergeCell ref="U9:U14"/>
    <mergeCell ref="A15:A18"/>
    <mergeCell ref="U15:U18"/>
    <mergeCell ref="E2:F2"/>
    <mergeCell ref="O2:P2"/>
    <mergeCell ref="Y2:AA2"/>
    <mergeCell ref="T2:U2"/>
    <mergeCell ref="Q9:Q14"/>
    <mergeCell ref="R9:R14"/>
    <mergeCell ref="S9:S14"/>
    <mergeCell ref="O9:O14"/>
    <mergeCell ref="P9:P14"/>
    <mergeCell ref="AA15:AA18"/>
    <mergeCell ref="B15:B18"/>
    <mergeCell ref="AB15:AB18"/>
    <mergeCell ref="C15:C18"/>
    <mergeCell ref="S15:S18"/>
    <mergeCell ref="A19:A24"/>
    <mergeCell ref="U19:U24"/>
    <mergeCell ref="AA19:AA24"/>
    <mergeCell ref="B19:B24"/>
    <mergeCell ref="AB19:AB24"/>
    <mergeCell ref="C19:C24"/>
    <mergeCell ref="S19:S24"/>
    <mergeCell ref="AC19:AC24"/>
    <mergeCell ref="D19:D24"/>
    <mergeCell ref="E19:E24"/>
    <mergeCell ref="F19:F24"/>
    <mergeCell ref="G19:G24"/>
    <mergeCell ref="H19:H24"/>
    <mergeCell ref="I19:I24"/>
    <mergeCell ref="J19:J24"/>
    <mergeCell ref="K19:K24"/>
    <mergeCell ref="L19:L24"/>
    <mergeCell ref="M19:M24"/>
    <mergeCell ref="N19:N24"/>
    <mergeCell ref="O19:O24"/>
    <mergeCell ref="P19:P24"/>
    <mergeCell ref="Q19:Q24"/>
    <mergeCell ref="R19:R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6"/>
  <sheetViews>
    <sheetView showGridLines="0" tabSelected="1" topLeftCell="Q1" zoomScale="50" zoomScaleNormal="50" workbookViewId="0">
      <pane ySplit="8" topLeftCell="A9" activePane="bottomLeft" state="frozen"/>
      <selection pane="bottomLeft" activeCell="Q9" sqref="Q9:Q15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5703125" style="3" customWidth="1"/>
    <col min="7" max="7" width="22.42578125" style="10" customWidth="1"/>
    <col min="8" max="8" width="22.42578125" style="2" customWidth="1"/>
    <col min="9" max="9" width="24.42578125" style="28" customWidth="1"/>
    <col min="10" max="10" width="28.42578125" style="28" customWidth="1"/>
    <col min="11" max="12" width="19.5703125" style="3" customWidth="1"/>
    <col min="13" max="13" width="25.570312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425781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402" t="s">
        <v>139</v>
      </c>
      <c r="F2" s="1403"/>
      <c r="G2" s="77">
        <f>SUM(G9:G9999)</f>
        <v>570613.17999999993</v>
      </c>
      <c r="H2" s="10"/>
      <c r="O2" s="1402" t="s">
        <v>24</v>
      </c>
      <c r="P2" s="1403"/>
      <c r="Q2" s="75">
        <f>SUM(Q9:Q9999)</f>
        <v>570613.17999999993</v>
      </c>
      <c r="T2" s="1056" t="s">
        <v>137</v>
      </c>
      <c r="U2" s="1058"/>
      <c r="V2" s="66">
        <f>SUM(V9:V9999)</f>
        <v>565259.69999999995</v>
      </c>
      <c r="X2" s="65"/>
      <c r="Y2" s="1056" t="s">
        <v>45</v>
      </c>
      <c r="Z2" s="1057"/>
      <c r="AA2" s="1058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4" t="s">
        <v>36</v>
      </c>
      <c r="B8" s="144"/>
      <c r="C8" s="144" t="s">
        <v>73</v>
      </c>
      <c r="D8" s="144" t="s">
        <v>74</v>
      </c>
      <c r="E8" s="144" t="s">
        <v>71</v>
      </c>
      <c r="F8" s="144" t="s">
        <v>72</v>
      </c>
      <c r="G8" s="145">
        <v>15500.01</v>
      </c>
      <c r="H8" s="145">
        <f t="shared" ref="H8" si="0">G8-Q8</f>
        <v>6725</v>
      </c>
      <c r="I8" s="146">
        <v>6</v>
      </c>
      <c r="J8" s="146">
        <v>0</v>
      </c>
      <c r="K8" s="144" t="s">
        <v>75</v>
      </c>
      <c r="L8" s="144" t="s">
        <v>76</v>
      </c>
      <c r="M8" s="144" t="s">
        <v>77</v>
      </c>
      <c r="N8" s="147">
        <v>43655</v>
      </c>
      <c r="O8" s="144" t="s">
        <v>79</v>
      </c>
      <c r="P8" s="144" t="s">
        <v>78</v>
      </c>
      <c r="Q8" s="145">
        <v>8775.01</v>
      </c>
      <c r="R8" s="145">
        <f>Q8-V8</f>
        <v>0</v>
      </c>
      <c r="S8" s="144" t="s">
        <v>80</v>
      </c>
      <c r="T8" s="147">
        <v>43677</v>
      </c>
      <c r="U8" s="144" t="s">
        <v>81</v>
      </c>
      <c r="V8" s="145">
        <v>8775.01</v>
      </c>
      <c r="W8" s="147">
        <v>43696</v>
      </c>
      <c r="X8" s="144"/>
      <c r="Y8" s="144"/>
      <c r="Z8" s="144"/>
      <c r="AA8" s="144"/>
      <c r="AB8" s="145"/>
      <c r="AC8" s="148" t="s">
        <v>64</v>
      </c>
    </row>
    <row r="9" spans="1:30" s="80" customFormat="1" ht="54.6" customHeight="1" x14ac:dyDescent="0.25">
      <c r="A9" s="1817">
        <v>1</v>
      </c>
      <c r="B9" s="1820" t="s">
        <v>56</v>
      </c>
      <c r="C9" s="1820" t="s">
        <v>166</v>
      </c>
      <c r="D9" s="1820" t="s">
        <v>158</v>
      </c>
      <c r="E9" s="1820" t="s">
        <v>167</v>
      </c>
      <c r="F9" s="1820" t="s">
        <v>174</v>
      </c>
      <c r="G9" s="1823">
        <v>359413.18</v>
      </c>
      <c r="H9" s="1826">
        <f>IF(AD9 = 1, G9 - Q9,0)</f>
        <v>0</v>
      </c>
      <c r="I9" s="1823">
        <v>1</v>
      </c>
      <c r="J9" s="1823">
        <v>0</v>
      </c>
      <c r="K9" s="1820" t="s">
        <v>194</v>
      </c>
      <c r="L9" s="1832" t="s">
        <v>169</v>
      </c>
      <c r="M9" s="1820" t="s">
        <v>168</v>
      </c>
      <c r="N9" s="1835">
        <v>45285</v>
      </c>
      <c r="O9" s="1820" t="s">
        <v>170</v>
      </c>
      <c r="P9" s="1820" t="s">
        <v>171</v>
      </c>
      <c r="Q9" s="1823">
        <v>359413.18</v>
      </c>
      <c r="R9" s="1826">
        <f>IF(AD9 = 1, Q9 + SUM(Y9:Y13) - SUM(Z9:Z13) - SUM(V9:V13) - AB9,0)</f>
        <v>4.0017766878008842E-11</v>
      </c>
      <c r="S9" s="1820" t="s">
        <v>172</v>
      </c>
      <c r="T9" s="190">
        <v>45324</v>
      </c>
      <c r="U9" s="1820" t="s">
        <v>173</v>
      </c>
      <c r="V9" s="182">
        <v>64120.09</v>
      </c>
      <c r="W9" s="190">
        <v>45338</v>
      </c>
      <c r="X9" s="183"/>
      <c r="Y9" s="184"/>
      <c r="Z9" s="184"/>
      <c r="AA9" s="1820" t="s">
        <v>281</v>
      </c>
      <c r="AB9" s="1823">
        <v>5353.48</v>
      </c>
      <c r="AC9" s="1829"/>
      <c r="AD9" s="80">
        <v>1</v>
      </c>
    </row>
    <row r="10" spans="1:30" s="110" customFormat="1" x14ac:dyDescent="0.25">
      <c r="A10" s="1818"/>
      <c r="B10" s="1821"/>
      <c r="C10" s="1821"/>
      <c r="D10" s="1821"/>
      <c r="E10" s="1821"/>
      <c r="F10" s="1821"/>
      <c r="G10" s="1824"/>
      <c r="H10" s="1827"/>
      <c r="I10" s="1824"/>
      <c r="J10" s="1824"/>
      <c r="K10" s="1821"/>
      <c r="L10" s="1833"/>
      <c r="M10" s="1821"/>
      <c r="N10" s="1836"/>
      <c r="O10" s="1821"/>
      <c r="P10" s="1821"/>
      <c r="Q10" s="1824"/>
      <c r="R10" s="1827"/>
      <c r="S10" s="1821"/>
      <c r="T10" s="191">
        <v>45324</v>
      </c>
      <c r="U10" s="1821"/>
      <c r="V10" s="185">
        <v>51101.4</v>
      </c>
      <c r="W10" s="191">
        <v>45338</v>
      </c>
      <c r="X10" s="186"/>
      <c r="Y10" s="187"/>
      <c r="Z10" s="187"/>
      <c r="AA10" s="1821"/>
      <c r="AB10" s="1824"/>
      <c r="AC10" s="1830"/>
      <c r="AD10" s="110">
        <v>1</v>
      </c>
    </row>
    <row r="11" spans="1:30" s="110" customFormat="1" x14ac:dyDescent="0.25">
      <c r="A11" s="1818"/>
      <c r="B11" s="1821"/>
      <c r="C11" s="1821"/>
      <c r="D11" s="1821"/>
      <c r="E11" s="1821"/>
      <c r="F11" s="1821"/>
      <c r="G11" s="1824"/>
      <c r="H11" s="1827"/>
      <c r="I11" s="1824"/>
      <c r="J11" s="1824"/>
      <c r="K11" s="1821"/>
      <c r="L11" s="1833"/>
      <c r="M11" s="1821"/>
      <c r="N11" s="1836"/>
      <c r="O11" s="1821"/>
      <c r="P11" s="1821"/>
      <c r="Q11" s="1824"/>
      <c r="R11" s="1827"/>
      <c r="S11" s="1821"/>
      <c r="T11" s="191">
        <v>45342</v>
      </c>
      <c r="U11" s="1821"/>
      <c r="V11" s="185">
        <v>60956.67</v>
      </c>
      <c r="W11" s="191">
        <v>45344</v>
      </c>
      <c r="X11" s="186"/>
      <c r="Y11" s="187"/>
      <c r="Z11" s="187"/>
      <c r="AA11" s="1821"/>
      <c r="AB11" s="1824"/>
      <c r="AC11" s="1830"/>
      <c r="AD11" s="110">
        <v>1</v>
      </c>
    </row>
    <row r="12" spans="1:30" s="110" customFormat="1" x14ac:dyDescent="0.25">
      <c r="A12" s="1818"/>
      <c r="B12" s="1821"/>
      <c r="C12" s="1821"/>
      <c r="D12" s="1821"/>
      <c r="E12" s="1821"/>
      <c r="F12" s="1821"/>
      <c r="G12" s="1824"/>
      <c r="H12" s="1827"/>
      <c r="I12" s="1824"/>
      <c r="J12" s="1824"/>
      <c r="K12" s="1821"/>
      <c r="L12" s="1833"/>
      <c r="M12" s="1821"/>
      <c r="N12" s="1836"/>
      <c r="O12" s="1821"/>
      <c r="P12" s="1821"/>
      <c r="Q12" s="1824"/>
      <c r="R12" s="1827"/>
      <c r="S12" s="1821"/>
      <c r="T12" s="191">
        <v>45357</v>
      </c>
      <c r="U12" s="1821"/>
      <c r="V12" s="185">
        <v>72515.320000000007</v>
      </c>
      <c r="W12" s="191">
        <v>45371</v>
      </c>
      <c r="X12" s="186"/>
      <c r="Y12" s="187"/>
      <c r="Z12" s="187"/>
      <c r="AA12" s="1821"/>
      <c r="AB12" s="1824"/>
      <c r="AC12" s="1830"/>
      <c r="AD12" s="110">
        <v>1</v>
      </c>
    </row>
    <row r="13" spans="1:30" s="110" customFormat="1" x14ac:dyDescent="0.25">
      <c r="A13" s="1819"/>
      <c r="B13" s="1822"/>
      <c r="C13" s="1822"/>
      <c r="D13" s="1822"/>
      <c r="E13" s="1822"/>
      <c r="F13" s="1822"/>
      <c r="G13" s="1825"/>
      <c r="H13" s="1828"/>
      <c r="I13" s="1825"/>
      <c r="J13" s="1825"/>
      <c r="K13" s="1822"/>
      <c r="L13" s="1834"/>
      <c r="M13" s="1822"/>
      <c r="N13" s="1837"/>
      <c r="O13" s="1822"/>
      <c r="P13" s="1822"/>
      <c r="Q13" s="1825"/>
      <c r="R13" s="1828"/>
      <c r="S13" s="1822"/>
      <c r="T13" s="192">
        <v>45373</v>
      </c>
      <c r="U13" s="1822"/>
      <c r="V13" s="246">
        <v>105366.22</v>
      </c>
      <c r="W13" s="192">
        <v>45394</v>
      </c>
      <c r="X13" s="189"/>
      <c r="Y13" s="188"/>
      <c r="Z13" s="188"/>
      <c r="AA13" s="1822"/>
      <c r="AB13" s="1825"/>
      <c r="AC13" s="1831"/>
      <c r="AD13" s="110">
        <v>1</v>
      </c>
    </row>
    <row r="14" spans="1:30" s="80" customFormat="1" ht="54" customHeight="1" x14ac:dyDescent="0.25">
      <c r="A14" s="1815">
        <v>2</v>
      </c>
      <c r="B14" s="1805" t="s">
        <v>56</v>
      </c>
      <c r="C14" s="1805" t="s">
        <v>412</v>
      </c>
      <c r="D14" s="1805" t="s">
        <v>158</v>
      </c>
      <c r="E14" s="1805" t="s">
        <v>413</v>
      </c>
      <c r="F14" s="1805" t="s">
        <v>414</v>
      </c>
      <c r="G14" s="1807">
        <v>211200</v>
      </c>
      <c r="H14" s="1809">
        <f>IF(AD14 = 2, G14 - Q14,0)</f>
        <v>0</v>
      </c>
      <c r="I14" s="1807">
        <v>1</v>
      </c>
      <c r="J14" s="1807">
        <v>0</v>
      </c>
      <c r="K14" s="1805" t="s">
        <v>194</v>
      </c>
      <c r="L14" s="1811" t="s">
        <v>415</v>
      </c>
      <c r="M14" s="1805" t="s">
        <v>413</v>
      </c>
      <c r="N14" s="1813">
        <v>45566</v>
      </c>
      <c r="O14" s="1805" t="s">
        <v>314</v>
      </c>
      <c r="P14" s="1805" t="s">
        <v>405</v>
      </c>
      <c r="Q14" s="1807">
        <v>211200</v>
      </c>
      <c r="R14" s="1809">
        <f>IF(AD14 = 2, Q14 + SUM(Y14:Y15) - SUM(Z14:Z15) - SUM(V14:V15) - AB14,0)</f>
        <v>0</v>
      </c>
      <c r="S14" s="1805" t="s">
        <v>416</v>
      </c>
      <c r="T14" s="683">
        <v>45596</v>
      </c>
      <c r="U14" s="1805" t="s">
        <v>173</v>
      </c>
      <c r="V14" s="702">
        <v>103680</v>
      </c>
      <c r="W14" s="683">
        <v>45603</v>
      </c>
      <c r="X14" s="680"/>
      <c r="Y14" s="679"/>
      <c r="Z14" s="679"/>
      <c r="AA14" s="1805"/>
      <c r="AB14" s="1807"/>
      <c r="AC14" s="1803"/>
      <c r="AD14" s="80">
        <v>2</v>
      </c>
    </row>
    <row r="15" spans="1:30" s="110" customFormat="1" x14ac:dyDescent="0.25">
      <c r="A15" s="1816"/>
      <c r="B15" s="1806"/>
      <c r="C15" s="1806"/>
      <c r="D15" s="1806"/>
      <c r="E15" s="1806"/>
      <c r="F15" s="1806"/>
      <c r="G15" s="1808"/>
      <c r="H15" s="1810"/>
      <c r="I15" s="1808"/>
      <c r="J15" s="1808"/>
      <c r="K15" s="1806"/>
      <c r="L15" s="1812"/>
      <c r="M15" s="1806"/>
      <c r="N15" s="1814"/>
      <c r="O15" s="1806"/>
      <c r="P15" s="1806"/>
      <c r="Q15" s="1808"/>
      <c r="R15" s="1810"/>
      <c r="S15" s="1806"/>
      <c r="T15" s="684">
        <v>45624</v>
      </c>
      <c r="U15" s="1806"/>
      <c r="V15" s="767">
        <v>107520</v>
      </c>
      <c r="W15" s="684">
        <v>45631</v>
      </c>
      <c r="X15" s="682"/>
      <c r="Y15" s="681"/>
      <c r="Z15" s="681"/>
      <c r="AA15" s="1806"/>
      <c r="AB15" s="1808"/>
      <c r="AC15" s="1804"/>
      <c r="AD15" s="110">
        <v>2</v>
      </c>
    </row>
    <row r="16" spans="1:30" x14ac:dyDescent="0.25">
      <c r="AD16" s="2">
        <v>3</v>
      </c>
    </row>
  </sheetData>
  <sheetProtection algorithmName="SHA-512" hashValue="rlHEoYH8dJhTKHp77CgnV28v8qbflu0Xm80Pvn2cBMNEVpzyCaVlkjgKHqle+8ZrKEWO8AJWL7NGORriJdk93A==" saltValue="yNnvHr7AjSg5PyoSIfYyDg==" spinCount="100000" sheet="1" objects="1" scenarios="1" formatCells="0" formatColumns="0" formatRows="0"/>
  <mergeCells count="50"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  <mergeCell ref="A14:A15"/>
    <mergeCell ref="U14:U15"/>
    <mergeCell ref="AA14:AA15"/>
    <mergeCell ref="B14:B15"/>
    <mergeCell ref="AB14:AB15"/>
    <mergeCell ref="C14:C15"/>
    <mergeCell ref="S14:S15"/>
    <mergeCell ref="AC14:A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I1" zoomScale="50" zoomScaleNormal="50" workbookViewId="0">
      <pane ySplit="8" topLeftCell="A22" activePane="bottomLeft" state="frozen"/>
      <selection pane="bottomLeft" activeCell="O51" sqref="O51:O53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42578125" style="2" customWidth="1"/>
    <col min="4" max="6" width="33.5703125" style="2" customWidth="1"/>
    <col min="7" max="8" width="22.42578125" style="2" customWidth="1"/>
    <col min="9" max="9" width="24.42578125" style="2" customWidth="1"/>
    <col min="10" max="10" width="28.42578125" style="2" customWidth="1"/>
    <col min="11" max="12" width="19.5703125" style="2" customWidth="1"/>
    <col min="13" max="13" width="25.570312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570312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425781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1402" t="s">
        <v>139</v>
      </c>
      <c r="F2" s="1403"/>
      <c r="G2" s="77">
        <f>SUM(G9:G9999)</f>
        <v>0</v>
      </c>
      <c r="H2" s="10"/>
      <c r="O2" s="1402" t="s">
        <v>24</v>
      </c>
      <c r="P2" s="1403"/>
      <c r="Q2" s="75">
        <f>SUM(Q9:Q9999)</f>
        <v>0</v>
      </c>
      <c r="T2" s="1056" t="s">
        <v>137</v>
      </c>
      <c r="U2" s="1058"/>
      <c r="V2" s="66">
        <f>SUM(V9:V9999)</f>
        <v>0</v>
      </c>
      <c r="X2" s="65"/>
      <c r="Y2" s="1056" t="s">
        <v>45</v>
      </c>
      <c r="Z2" s="1057"/>
      <c r="AA2" s="1058"/>
      <c r="AB2" s="67">
        <f>SUM(AB9:AB9999)</f>
        <v>0</v>
      </c>
    </row>
    <row r="4" spans="1:30" ht="39.950000000000003" customHeight="1" x14ac:dyDescent="0.25">
      <c r="P4" s="1055"/>
      <c r="Q4" s="1055"/>
      <c r="R4" s="1055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algorithmName="SHA-512" hashValue="up7ViQ0RAn2GMTGBQbU9vhC+ocnfaXhNMskVnokS8EcMB83zWRIaX38kLTv+FuxDfjgUUAIChjbrmROPn2Rmmg==" saltValue="4spgjLJn/zw1kJXG4Xv07g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42578125" style="32" customWidth="1"/>
    <col min="2" max="3" width="17.425781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72</v>
      </c>
      <c r="B1" s="46">
        <v>46</v>
      </c>
      <c r="C1" s="46">
        <v>9</v>
      </c>
      <c r="D1" s="1840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841"/>
      <c r="E2" s="31"/>
      <c r="F2" s="59">
        <v>121</v>
      </c>
      <c r="G2" s="63">
        <v>75</v>
      </c>
      <c r="H2" s="62">
        <v>2</v>
      </c>
      <c r="I2" s="61">
        <v>3</v>
      </c>
      <c r="J2" s="60">
        <v>2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186</v>
      </c>
      <c r="B4" s="43">
        <v>41</v>
      </c>
      <c r="C4" s="43">
        <v>9</v>
      </c>
      <c r="D4" s="1842" t="s">
        <v>102</v>
      </c>
      <c r="E4" s="31"/>
      <c r="F4" s="59">
        <v>122</v>
      </c>
      <c r="G4" s="63">
        <v>76</v>
      </c>
      <c r="H4" s="62">
        <v>3</v>
      </c>
      <c r="I4" s="61">
        <v>4</v>
      </c>
      <c r="J4" s="60">
        <v>3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1843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10</v>
      </c>
      <c r="B7" s="45">
        <v>1</v>
      </c>
      <c r="C7" s="45">
        <v>9</v>
      </c>
      <c r="D7" s="1844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845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24</v>
      </c>
      <c r="B10" s="41">
        <v>3</v>
      </c>
      <c r="C10" s="41">
        <v>9</v>
      </c>
      <c r="D10" s="1846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847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15</v>
      </c>
      <c r="B13" s="39">
        <v>2</v>
      </c>
      <c r="C13" s="39">
        <v>9</v>
      </c>
      <c r="D13" s="1848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849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1838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839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2024-12-26T10:05:52Z</cp:lastPrinted>
  <dcterms:created xsi:type="dcterms:W3CDTF">2017-01-25T04:28:39Z</dcterms:created>
  <dcterms:modified xsi:type="dcterms:W3CDTF">2025-01-09T12:44:19Z</dcterms:modified>
</cp:coreProperties>
</file>