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ЭтаКнига"/>
  <workbookProtection workbookPassword="EB34" lockStructure="1"/>
  <bookViews>
    <workbookView windowWidth="28800" windowHeight="11130" tabRatio="603" firstSheet="2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<sst xmlns="http://schemas.openxmlformats.org/spreadsheetml/2006/main" count="1103" uniqueCount="439">
  <si>
    <t>Наименование организации: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</si>
  <si>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муниципальный  район Краснодарского края</t>
  </si>
  <si>
    <t>СГОЗ  (общий)</t>
  </si>
  <si>
    <t>п.4 (10% от СГОЗ или 2 000 000)</t>
  </si>
  <si>
    <t>п.5 (50% СГОЗ)</t>
  </si>
  <si>
    <t>СГОЗ (остаток)</t>
  </si>
  <si>
    <t>п.4 (остаток)</t>
  </si>
  <si>
    <t>п.5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</si>
  <si>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</si>
  <si>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</si>
  <si>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</si>
  <si>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>Расторжение контракта по соглашению сторон</t>
  </si>
  <si>
    <t xml:space="preserve">Экономия </t>
  </si>
  <si>
    <t>Состоявшиеся аукционы</t>
  </si>
  <si>
    <t>Несостоявшиеся аукционы</t>
  </si>
  <si>
    <t>Иные конкурентные закупки</t>
  </si>
  <si>
    <t xml:space="preserve">Ед. поставщик п.4 ч.1 </t>
  </si>
  <si>
    <t>Ед. поставщик п. 5 ч. 1</t>
  </si>
  <si>
    <t>Ед.поставщик за искл. п.4,5 ч.1</t>
  </si>
  <si>
    <t>Всего:</t>
  </si>
  <si>
    <t>Всего средств потрачено по заключенным контрактам</t>
  </si>
  <si>
    <t>Сумма заключенных контрактов</t>
  </si>
  <si>
    <t>Сумма средств выплаченных по контрактам</t>
  </si>
  <si>
    <t>Общая сумма расторжений по контрактам/договорам</t>
  </si>
  <si>
    <t>№ п/п</t>
  </si>
  <si>
    <t>Наименование муниципальной программы, национального или регионального проекта</t>
  </si>
  <si>
    <t>Контракт заключен в электронном виде посредством                             АИС "Портал поставщиков"   (Да/Нет)</t>
  </si>
  <si>
    <t>Код бюджетной классификации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</si>
  <si>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</si>
  <si>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</si>
  <si>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</si>
  <si>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</si>
  <si>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Остаток по контракту</t>
  </si>
  <si>
    <t xml:space="preserve">ИНН поставщика (подрядчика, исполнителя) </t>
  </si>
  <si>
    <t>Поставщик (подрядчик, исполнитель)</t>
  </si>
  <si>
    <t>СМП и СОНО                       (да/нет)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</si>
  <si>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</si>
  <si>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Фактическая дата поставки товара (оказания услуги, выполнения работы)</t>
  </si>
  <si>
    <t>Сроки оплаты согласно договора/контракта</t>
  </si>
  <si>
    <t>Сумма согласно документа об исполнении контракта заказчиком</t>
  </si>
  <si>
    <t>Фактическая дата оплаты</t>
  </si>
  <si>
    <t>Изменение контракта (№, дата)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</si>
  <si>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</si>
  <si>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</si>
  <si>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Расторжение контракта (№, дата)</t>
  </si>
  <si>
    <t>Сумма расторжения в рублях</t>
  </si>
  <si>
    <t>Примечание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</si>
  <si>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</si>
  <si>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</si>
  <si>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</si>
  <si>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</si>
  <si>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</si>
  <si>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</si>
  <si>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</si>
  <si>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</si>
  <si>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</si>
  <si>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</si>
  <si>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</si>
  <si>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</si>
  <si>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</si>
  <si>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</si>
  <si>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</si>
  <si>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</si>
  <si>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</si>
  <si>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</si>
  <si>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</si>
  <si>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</si>
  <si>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</si>
  <si>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</si>
  <si>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</si>
  <si>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Муниципальная программа "Развитие образования"</t>
  </si>
  <si>
    <t>902 0113 1310110490 244</t>
  </si>
  <si>
    <t>№ 1</t>
  </si>
  <si>
    <t>09.01.2020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</si>
  <si>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</si>
  <si>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</si>
  <si>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</si>
  <si>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</si>
  <si>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акта приема-сдачи и документа на оплату</t>
  </si>
  <si>
    <t>Пример</t>
  </si>
  <si>
    <t>нет</t>
  </si>
  <si>
    <t>925 0000 0000000000 244</t>
  </si>
  <si>
    <t>Услуги по подготовке декларации НВОС</t>
  </si>
  <si>
    <t>235307568414</t>
  </si>
  <si>
    <t>ИП Козырева Е.Н.</t>
  </si>
  <si>
    <t>с момента заключения контракта по 31.12.2025г.</t>
  </si>
  <si>
    <t>В течение 7 дней с момента подписания акта о приемке оказанных услуг</t>
  </si>
  <si>
    <t>66-ТО</t>
  </si>
  <si>
    <t>Проверка тех. состояния транспортных средств</t>
  </si>
  <si>
    <t>235305769122</t>
  </si>
  <si>
    <t>ИП Барма И.Н.</t>
  </si>
  <si>
    <t>Не ранее чем через 5 рабочих дней со дня поступления заявки Заказчика</t>
  </si>
  <si>
    <t>В течение 10 рабочих дней с момента подписания акта о приемке оказанных услуг</t>
  </si>
  <si>
    <t>Ремонт автомобиля</t>
  </si>
  <si>
    <t>235303483777</t>
  </si>
  <si>
    <t>ИП Аполонов А.А.</t>
  </si>
  <si>
    <t>21.02.2025</t>
  </si>
  <si>
    <t>в течение 10 рабочих дней с даты подписания УПД</t>
  </si>
  <si>
    <t>АТ00-002488</t>
  </si>
  <si>
    <t>Право на использование програмного обеспечения</t>
  </si>
  <si>
    <t>2311187588</t>
  </si>
  <si>
    <t>ООО Айти Мониторинг"</t>
  </si>
  <si>
    <t>В течение 15 рабочих дней, со дня подписания сторонами договора</t>
  </si>
  <si>
    <t>в течение 10 рабочих дней с даты подписания акта выполненных работ</t>
  </si>
  <si>
    <t>Учебно-педагогическая документация</t>
  </si>
  <si>
    <t>2310132554</t>
  </si>
  <si>
    <t>ООО "Краснодарский учколлектор"</t>
  </si>
  <si>
    <t>с момента заключения контракта до 15.08.2025г</t>
  </si>
  <si>
    <t>в течение 7 рабочих дней с даты подписания акта выполненных работ</t>
  </si>
  <si>
    <t>48</t>
  </si>
  <si>
    <t>Проверка работы и очистка  вентиляции пищеблока</t>
  </si>
  <si>
    <t>2353002302</t>
  </si>
  <si>
    <t>ООО "Сигнал"</t>
  </si>
  <si>
    <t>с момента заключения контракта до 18.04.2025г</t>
  </si>
  <si>
    <t>10300</t>
  </si>
  <si>
    <t>Подготовка декларации НВОС , отчет 2 ТП (отходы) за 2024г</t>
  </si>
  <si>
    <t>2353023292</t>
  </si>
  <si>
    <t>ООО "Экопроект"</t>
  </si>
  <si>
    <t>с момента заключения контракта до 31.12.2025г</t>
  </si>
  <si>
    <t>в течение 7 дней с даты подписания акта о приемке оказанных услуг</t>
  </si>
  <si>
    <t>3086</t>
  </si>
  <si>
    <t>Неисключительное право использования программного продукта</t>
  </si>
  <si>
    <t>234602203000</t>
  </si>
  <si>
    <t>ИП Архангельский А.А.</t>
  </si>
  <si>
    <t>в течение 10 дней с момента заключения договора</t>
  </si>
  <si>
    <t>в течение 10 рабочих  дней с даты подписания акта о приемке оказанных услуг</t>
  </si>
  <si>
    <t>21-25-К</t>
  </si>
  <si>
    <t>Дезинсекция открытой территории школы против клещей, блох</t>
  </si>
  <si>
    <t>2353018870</t>
  </si>
  <si>
    <t>ООО "Дезинфекция"</t>
  </si>
  <si>
    <t>с момента заключения контракта до 15.06.2025</t>
  </si>
  <si>
    <t>ФПК-72/5768</t>
  </si>
  <si>
    <t>Курсы повышения квалификации</t>
  </si>
  <si>
    <t>2310018516</t>
  </si>
  <si>
    <t>ФГБОУ ВО КГУФКСТ</t>
  </si>
  <si>
    <t>с 12.05.2025 по 23.05.2025</t>
  </si>
  <si>
    <t>Участие в форуме</t>
  </si>
  <si>
    <t>2304013862</t>
  </si>
  <si>
    <t>ЧУ "Пансионар Рассвет"</t>
  </si>
  <si>
    <t>с 13.05.2025 по 16.05.2025</t>
  </si>
  <si>
    <t>51/25</t>
  </si>
  <si>
    <t>Дополнительное образование водителей</t>
  </si>
  <si>
    <t>2327014502</t>
  </si>
  <si>
    <t>ООО "Брюховецкий образовательный центр"</t>
  </si>
  <si>
    <t>с 28.05.2025 по 02.06.2025</t>
  </si>
  <si>
    <t>34550725/019536</t>
  </si>
  <si>
    <t>Бензин</t>
  </si>
  <si>
    <t>7743529527</t>
  </si>
  <si>
    <t>ООО "РН-Карт"</t>
  </si>
  <si>
    <t>с 01.07.2025 по 30.09.2025</t>
  </si>
  <si>
    <t>в течение 10 рабочих  дней с даты подписания акта о приемке поставленных товаров</t>
  </si>
  <si>
    <t>б/н от 20.10.2025</t>
  </si>
  <si>
    <t>6/21</t>
  </si>
  <si>
    <t>Оказание услуг по организации питания в лагере с дневным пребыванием</t>
  </si>
  <si>
    <t>235300582900</t>
  </si>
  <si>
    <t>ИП Эжбаев Ю.Н.</t>
  </si>
  <si>
    <t>с 26.05.2025 по 15.06.2025</t>
  </si>
  <si>
    <t>106/25</t>
  </si>
  <si>
    <t xml:space="preserve">Медицинский осмотр водителя </t>
  </si>
  <si>
    <t>2353006498</t>
  </si>
  <si>
    <t>ГБУЗ "Тимашевская ЦРБ" МЗ КК</t>
  </si>
  <si>
    <t>10.06.2025</t>
  </si>
  <si>
    <t>в течение 7 рабочих  дней с даты подписания акта о приемке оказанных услуг</t>
  </si>
  <si>
    <t>160</t>
  </si>
  <si>
    <t>Медицинский осмотр работников</t>
  </si>
  <si>
    <t>15.08.2025</t>
  </si>
  <si>
    <t>112/25</t>
  </si>
  <si>
    <t>23.07.2025</t>
  </si>
  <si>
    <t>112-1/25</t>
  </si>
  <si>
    <t>1/2025/25</t>
  </si>
  <si>
    <t>Услуги по публичному показу музейных предметов, музейных коллекций</t>
  </si>
  <si>
    <t>2310052884</t>
  </si>
  <si>
    <t>ГБУК КК"КГИАМЗ им. Е.Д. Фелицина"</t>
  </si>
  <si>
    <t>с 05.06.2025 по 15.10.2025г согласно заявки</t>
  </si>
  <si>
    <t>в течение 5 рабочих  дней с даты подписания акта о приемке оказанных услуг</t>
  </si>
  <si>
    <t>51-25</t>
  </si>
  <si>
    <t>Работы по электролабораторным испытаниям и электрическим измерениям</t>
  </si>
  <si>
    <t>2353018101</t>
  </si>
  <si>
    <t>ООО "Агропромэнерго"</t>
  </si>
  <si>
    <t>07.07.2025</t>
  </si>
  <si>
    <t>в течение 10 рабочих  дней с даты подписания акта о приемке выполненных работ</t>
  </si>
  <si>
    <t>11/2025</t>
  </si>
  <si>
    <t>Краска фасадная, краска половая</t>
  </si>
  <si>
    <t>235303016116</t>
  </si>
  <si>
    <t>ИП Демченко В.В.</t>
  </si>
  <si>
    <t>341</t>
  </si>
  <si>
    <t>Лабораторные исследования воды, освещенности, почвы, метеорологических факторов, санитарно-гигиеническая оценка результатов</t>
  </si>
  <si>
    <t>2308105200</t>
  </si>
  <si>
    <t>Тимашевский филиал  ФБУЗ "Центр гигиены и эпидемиологии в Краснодарском крае"</t>
  </si>
  <si>
    <t>в течение 30 дней с момента заключения договора</t>
  </si>
  <si>
    <t>б/н</t>
  </si>
  <si>
    <t>Профиль, эмаль,колер, дюбель, краска, шпатлевка, цемент</t>
  </si>
  <si>
    <t>235309678500</t>
  </si>
  <si>
    <t>ИП Озеров В.В.</t>
  </si>
  <si>
    <t>в течение 10 дней с момента заключения договора.</t>
  </si>
  <si>
    <t>1191</t>
  </si>
  <si>
    <t>Настройка программного обеспечения</t>
  </si>
  <si>
    <t>235309088540</t>
  </si>
  <si>
    <t>ИП Железняк И.И.</t>
  </si>
  <si>
    <t>21.07.2025</t>
  </si>
  <si>
    <t>в течение 10 рабочих  дней с даты подписания акта оказанных услуг.</t>
  </si>
  <si>
    <t>К231939/25</t>
  </si>
  <si>
    <t>6663003127</t>
  </si>
  <si>
    <t>АО "ПФ"СКБ Контур"</t>
  </si>
  <si>
    <t>22.07.2025</t>
  </si>
  <si>
    <t>32317250-280725-25</t>
  </si>
  <si>
    <t>Страховая премия обязательного страхования гражданской ответственности владельцев транспортных средств</t>
  </si>
  <si>
    <t>7707067683</t>
  </si>
  <si>
    <t>ПАО СК "Росгосстрах"</t>
  </si>
  <si>
    <t>04.08.2025</t>
  </si>
  <si>
    <t>Экскурсионные услуги с целью духовно-нравственного воспитания учащихся</t>
  </si>
  <si>
    <t>2353016418</t>
  </si>
  <si>
    <t>Местная религиозная организация православный Приход храма Вознесения Господня г. Тимашевска  Краснодарского края  Ейской Епархии  Русской Православной Церкви</t>
  </si>
  <si>
    <t>05.08.2025</t>
  </si>
  <si>
    <t>34550725/027379</t>
  </si>
  <si>
    <t>с 01.09.2025 по 31.12.2025</t>
  </si>
  <si>
    <t>54/2025-Т</t>
  </si>
  <si>
    <t>Услуга по опрессовки системы центрального отпления объекта</t>
  </si>
  <si>
    <t>2312314060</t>
  </si>
  <si>
    <t>ООО "ТеплоСервис"</t>
  </si>
  <si>
    <t>17.1ТО-03-03/259</t>
  </si>
  <si>
    <t>Техническое обслуживание, ремонт, услуги по локализации и ликвидации аварий, аварийно-диспетчерское обслуживание сетей газораспределения/газопотребления</t>
  </si>
  <si>
    <t>2308021656</t>
  </si>
  <si>
    <t>АО "Газпром газораспределение Краснодар"</t>
  </si>
  <si>
    <t>09.10.2025</t>
  </si>
  <si>
    <t>с 01.10.2025 по 31.12.2025</t>
  </si>
  <si>
    <t>14/2025</t>
  </si>
  <si>
    <t>Краска фасадная</t>
  </si>
  <si>
    <t>Цемент, краска, эмаль</t>
  </si>
  <si>
    <t>07.0.2025</t>
  </si>
  <si>
    <t>СМП и СОНО                       (Да/Нет)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</si>
  <si>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</si>
  <si>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</si>
  <si>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Сумма расторжения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</si>
  <si>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</si>
  <si>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925 0000 0000000000 247</t>
  </si>
  <si>
    <t>25-11-02596/25</t>
  </si>
  <si>
    <t>Поставка газа</t>
  </si>
  <si>
    <t xml:space="preserve">ООО "Газпром межрегионгаз Краснодар" </t>
  </si>
  <si>
    <t>с 01.01.2025 по 31.12.2025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</si>
  <si>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</si>
  <si>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20517/ТМ</t>
  </si>
  <si>
    <t>Услуги по обращению с твердыми коммунальными отходами</t>
  </si>
  <si>
    <t>АО "Мусороуборочная компания"</t>
  </si>
  <si>
    <t>с 01.01.2025 по 30.06.2025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</si>
  <si>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</si>
  <si>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</si>
  <si>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</si>
  <si>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в течение 10 рабочих дней с даты подписания акта сдачи-приемки оказанных услуг</t>
  </si>
  <si>
    <t>А-179</t>
  </si>
  <si>
    <t>Работы по  техническому обслуживанию установки системы пожарного мониторинга "Стрелец-мониторинг"</t>
  </si>
  <si>
    <t>в течение 10 рабочих дней с даты подписания акта оказанных услуг</t>
  </si>
  <si>
    <t>34001048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</si>
  <si>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</si>
  <si>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</si>
  <si>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</si>
  <si>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Базирование транспортных средств</t>
  </si>
  <si>
    <t>ИП Лукоянов Ю.В.</t>
  </si>
  <si>
    <t>В течение  10 рабочих дней со дня подписания акта оказанных услуг</t>
  </si>
  <si>
    <t>Холодное водоснабжение</t>
  </si>
  <si>
    <t>ООО "Водоснабжение"</t>
  </si>
  <si>
    <t>42</t>
  </si>
  <si>
    <t>Услуги по выполнению предрейсового и послерейсового медицинского осмотра водителей и предрейсового и послерейсового  технического осмотра транспортного средства</t>
  </si>
  <si>
    <t>Тимашевская РО КРО ОО "ВОА"</t>
  </si>
  <si>
    <t>б/н от 07.02.2025</t>
  </si>
  <si>
    <t>ДГ 25/43</t>
  </si>
  <si>
    <t>Услуги по тех. сопровождению программного обеспечения спутниковой навигации</t>
  </si>
  <si>
    <t>ООО "КАНкорт"</t>
  </si>
  <si>
    <t>172</t>
  </si>
  <si>
    <t>Услуги связи</t>
  </si>
  <si>
    <t>ПАО "Ростелеком"</t>
  </si>
  <si>
    <t xml:space="preserve">нет </t>
  </si>
  <si>
    <t>21/25</t>
  </si>
  <si>
    <t>Систематическая дератизация</t>
  </si>
  <si>
    <t>Откачка и вывоз ЖБО</t>
  </si>
  <si>
    <t>ООО "РООС"</t>
  </si>
  <si>
    <t>34550724/038602</t>
  </si>
  <si>
    <t>с 01.01.2025 по 31.05.2025</t>
  </si>
  <si>
    <t>в срок, не превышающий 10 рабочих дней с даты подписания отчетных документов</t>
  </si>
  <si>
    <t>б/н от 16.04.2025</t>
  </si>
  <si>
    <t>Техническое обслуживание комплекса тревожной сигнализации</t>
  </si>
  <si>
    <t>ИП Даценко И.Н.</t>
  </si>
  <si>
    <t>210009817619-122024</t>
  </si>
  <si>
    <t>Услуги по идентификации АСН в ГАИС "Эра-Глонасс"</t>
  </si>
  <si>
    <t>АО "ГЛОНАСС"</t>
  </si>
  <si>
    <t>в течение 7 рабочих дней с даты подписания акта оказанных услуг</t>
  </si>
  <si>
    <t>1/25</t>
  </si>
  <si>
    <t>Оказание услуг по организации питания</t>
  </si>
  <si>
    <t>с 09.01.2025 по 23.05.2025</t>
  </si>
  <si>
    <t>2/25</t>
  </si>
  <si>
    <t>с 09.01.2025 по 31.01.2025</t>
  </si>
  <si>
    <t>б/н от 18.02.2025</t>
  </si>
  <si>
    <t>3/25</t>
  </si>
  <si>
    <t>43</t>
  </si>
  <si>
    <t>01.02.2025 по 31.12.2025г.</t>
  </si>
  <si>
    <t>21/1</t>
  </si>
  <si>
    <t>Стойка охраны</t>
  </si>
  <si>
    <t>ООО "ТИТ-Мебель"</t>
  </si>
  <si>
    <t>в течение 30 рабочих дней со дня заключения контракта.</t>
  </si>
  <si>
    <t>в течение 10 рабочих дней с даты подписания акта приемки товара</t>
  </si>
  <si>
    <t>4/21</t>
  </si>
  <si>
    <t>с 03.02.2025 по 23.05.2025</t>
  </si>
  <si>
    <t>б/н от 10.06.2025</t>
  </si>
  <si>
    <t>34550725/011963</t>
  </si>
  <si>
    <t>с 01.04.2025 по 30.06.2025</t>
  </si>
  <si>
    <t>б/н от 25.07.2025</t>
  </si>
  <si>
    <t>23-12192</t>
  </si>
  <si>
    <t>Полиграфическая продукция</t>
  </si>
  <si>
    <t>ООО "СпецБланк-Москва"</t>
  </si>
  <si>
    <t>в течение 40 календарных дней  после подписания контракта</t>
  </si>
  <si>
    <t>да</t>
  </si>
  <si>
    <t>Бумага для офисной техники</t>
  </si>
  <si>
    <t>ООО "Югпромснаб"</t>
  </si>
  <si>
    <t>В течение 10 рабочих дней с даты подписания  договора</t>
  </si>
  <si>
    <t>в течение 10 рабочих дней с даты подписания универсального передаточного документа</t>
  </si>
  <si>
    <t>21-04/2025</t>
  </si>
  <si>
    <t>Ковер Самбо</t>
  </si>
  <si>
    <t>ООО "РУССАМБО"</t>
  </si>
  <si>
    <t>с момента подписания договора до 10.05.2024</t>
  </si>
  <si>
    <t>5/21</t>
  </si>
  <si>
    <t>Услуги по организации питания</t>
  </si>
  <si>
    <t>с 01.04.2025 по 23.05.2025</t>
  </si>
  <si>
    <t>б/н от 06.06.2025</t>
  </si>
  <si>
    <t>Оказание услуг по обращению с твердыми коммунальными отходами</t>
  </si>
  <si>
    <t>с 01.07.2025 по 31.12.2025</t>
  </si>
  <si>
    <t>7/21</t>
  </si>
  <si>
    <t>с 01.09.2025 по 30.09.2025</t>
  </si>
  <si>
    <t>б/н от 10.10.2025</t>
  </si>
  <si>
    <t>ДГ 25/544</t>
  </si>
  <si>
    <t>Техническое сопровождение транспортных средств</t>
  </si>
  <si>
    <t>8/21</t>
  </si>
  <si>
    <t>с 01.10.2025 по 31.10.2025</t>
  </si>
  <si>
    <t xml:space="preserve">№ в реестре контрактов </t>
  </si>
  <si>
    <t>№ контракта</t>
  </si>
  <si>
    <t>Дата заключения</t>
  </si>
  <si>
    <t>Цена контракта (Объем финансового обеспечения подлежащий к оплате в текущем фин. году)</t>
  </si>
  <si>
    <t>3235301125818100175</t>
  </si>
  <si>
    <t>9020104 5210000190244</t>
  </si>
  <si>
    <t>123</t>
  </si>
  <si>
    <t>Поставка электрической энергии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</si>
  <si>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</si>
  <si>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</si>
  <si>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</si>
  <si>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 xml:space="preserve"> 32353015333240000039</t>
  </si>
  <si>
    <t>23070500320</t>
  </si>
  <si>
    <t>Электроэнергия</t>
  </si>
  <si>
    <t>ПАО "ТНС энерго Кубань"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</si>
  <si>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</si>
  <si>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1 от 17.02.2025</t>
  </si>
  <si>
    <t xml:space="preserve">3235301533325000001 </t>
  </si>
  <si>
    <t>А0172103</t>
  </si>
  <si>
    <t>Учебная литература</t>
  </si>
  <si>
    <t>Акционерное общество "Издательство "Просвещение"</t>
  </si>
  <si>
    <t>с 20.02.2025 по 30.06.2025</t>
  </si>
  <si>
    <t>в течение 10 рабочих дней с даты подписания документа о приемке</t>
  </si>
  <si>
    <t xml:space="preserve">	3235301533325000002 </t>
  </si>
  <si>
    <t>А0174570</t>
  </si>
  <si>
    <t>с 25.02.2025 по 30.06.2025</t>
  </si>
  <si>
    <t xml:space="preserve">3235301533325000003 </t>
  </si>
  <si>
    <t>А0218803</t>
  </si>
  <si>
    <t>с24.04.2025 по 25.08.2025</t>
  </si>
  <si>
    <t>Сумма начальных (максимальных) цен контрактов</t>
  </si>
  <si>
    <t>ИКЗ (Идентификационный код закупки)</t>
  </si>
  <si>
    <t>№ извещения</t>
  </si>
  <si>
    <t>Объект закупки</t>
  </si>
  <si>
    <t>Н(М)ЦК</t>
  </si>
  <si>
    <t>Экономия</t>
  </si>
  <si>
    <t>Количество поданных заявок</t>
  </si>
  <si>
    <t>Количество заявок признанные несоответствующими</t>
  </si>
  <si>
    <t>СМП и СОНО</t>
  </si>
  <si>
    <t>№ в реестре контрактов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</si>
  <si>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</si>
  <si>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</si>
  <si>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</si>
  <si>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>24</t>
  </si>
  <si>
    <t>25</t>
  </si>
  <si>
    <t>26</t>
  </si>
  <si>
    <t>27</t>
  </si>
  <si>
    <t>28</t>
  </si>
  <si>
    <t>29</t>
  </si>
  <si>
    <t xml:space="preserve">193235301125823530100103000010000244 </t>
  </si>
  <si>
    <t>902 0113 1210310010 244</t>
  </si>
  <si>
    <t>0818300019919000194</t>
  </si>
  <si>
    <t xml:space="preserve">Поставка картриджа и тонер-картриджей </t>
  </si>
  <si>
    <t>Нет</t>
  </si>
  <si>
    <t>3235301125819000079</t>
  </si>
  <si>
    <t>Ф.2019.412162</t>
  </si>
  <si>
    <t>3443923035</t>
  </si>
  <si>
    <t xml:space="preserve"> ООО "АНАЛИТИК ЦЕНТР" 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</si>
  <si>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</si>
  <si>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</si>
  <si>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243235301533323530100100140018010244</t>
  </si>
  <si>
    <t xml:space="preserve">0818300019924000328 </t>
  </si>
  <si>
    <t>Оказание охранных услуг</t>
  </si>
  <si>
    <t>Да</t>
  </si>
  <si>
    <t>3235301533324000010</t>
  </si>
  <si>
    <t>2304067057</t>
  </si>
  <si>
    <t xml:space="preserve">ООО ЧОО "ЛЕГИОН" </t>
  </si>
  <si>
    <t>с 01 января 2025 г. по 27 мая 2025 г. до 23 ч.59 включительно)</t>
  </si>
  <si>
    <t>в течение не более чем 7 рабочих дней с даты подписания Заказчиком документа о приемке</t>
  </si>
  <si>
    <t>253235301533323530100100140015629244</t>
  </si>
  <si>
    <t>08183000199250001740001</t>
  </si>
  <si>
    <t>Оказание услуг по организации горячего питания</t>
  </si>
  <si>
    <t>3235301533325000005</t>
  </si>
  <si>
    <t>с 01.09.2025 по 28.11.2025</t>
  </si>
  <si>
    <t>233235301533323530100100120015629244</t>
  </si>
  <si>
    <t>0818300019924000324</t>
  </si>
  <si>
    <t>3235301533324000008</t>
  </si>
  <si>
    <t>0818300019923000373-01</t>
  </si>
  <si>
    <t>с 09.01.2025 по 23.05.2025г</t>
  </si>
  <si>
    <t>В течение 7 рабочих дней после подписания документа о приемке</t>
  </si>
  <si>
    <t>б/н от 05.06.2025</t>
  </si>
  <si>
    <t>253235301533323530100100130018010244</t>
  </si>
  <si>
    <t>0818300019925000133</t>
  </si>
  <si>
    <t>3235301533325000004</t>
  </si>
  <si>
    <t>08183000199250001330001</t>
  </si>
  <si>
    <t>с 28.05.2025 по 31.12.2025</t>
  </si>
  <si>
    <t>02,06.2025</t>
  </si>
  <si>
    <t>Index</t>
  </si>
  <si>
    <t>TekStrokaP4</t>
  </si>
  <si>
    <t>TekNomerP4</t>
  </si>
  <si>
    <t>NachStrokaP4</t>
  </si>
  <si>
    <t>Index+1</t>
  </si>
  <si>
    <t xml:space="preserve">Ед. поставщик п.5 ч.1 </t>
  </si>
  <si>
    <t>TekStrokaP5</t>
  </si>
  <si>
    <t>TekNomerP5</t>
  </si>
  <si>
    <t>NachStrokaP5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</si>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</sst>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#\ ##0.00"/>
    <numFmt numFmtId="182" formatCode="[$-F800]dddd\,\ mmmm\ dd\,\ yyyy"/>
    <numFmt numFmtId="183" formatCode="dd\.mm\.yyyy"/>
    <numFmt numFmtId="184" formatCode="#\ ##0.00\ &quot;₽&quot;;\-#\ ##0.00\ &quot;₽&quot;"/>
    <numFmt numFmtId="185" formatCode="0_ ;\-0\ "/>
    <numFmt numFmtId="186" formatCode="#\ ##0.00_ ;\-#\ ##0.00\ "/>
    <numFmt numFmtId="187" formatCode="#\ ##0.00&quot;р.&quot;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sz val="14"/>
      <color rgb="FF000000"/>
      <name val="Times New Roman"/>
      <charset val="204"/>
    </font>
    <font>
      <sz val="14"/>
      <name val="Times New Roman"/>
      <charset val="204"/>
    </font>
    <font>
      <b/>
      <sz val="20"/>
      <color theme="1"/>
      <name val="Times New Roman"/>
      <charset val="204"/>
    </font>
    <font>
      <sz val="18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6"/>
      <color theme="1"/>
      <name val="Times New Roman"/>
      <charset val="204"/>
    </font>
    <font>
      <b/>
      <sz val="16"/>
      <name val="Times New Roman"/>
      <charset val="204"/>
    </font>
    <font>
      <sz val="16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8FFF8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5" fillId="20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1" borderId="22" applyNumberFormat="0" applyAlignment="0" applyProtection="0">
      <alignment vertical="center"/>
    </xf>
    <xf numFmtId="0" fontId="25" fillId="22" borderId="23" applyNumberFormat="0" applyAlignment="0" applyProtection="0">
      <alignment vertical="center"/>
    </xf>
    <xf numFmtId="0" fontId="26" fillId="22" borderId="22" applyNumberFormat="0" applyAlignment="0" applyProtection="0">
      <alignment vertical="center"/>
    </xf>
    <xf numFmtId="0" fontId="27" fillId="23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0" borderId="0"/>
    <xf numFmtId="0" fontId="35" fillId="0" borderId="0"/>
    <xf numFmtId="0" fontId="35" fillId="0" borderId="0"/>
  </cellStyleXfs>
  <cellXfs count="19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 wrapText="1"/>
    </xf>
    <xf numFmtId="0" fontId="2" fillId="0" borderId="0" xfId="52" applyFont="1" applyAlignment="1">
      <alignment horizontal="center" vertical="center" wrapText="1"/>
    </xf>
    <xf numFmtId="0" fontId="2" fillId="3" borderId="1" xfId="52" applyFont="1" applyFill="1" applyBorder="1" applyAlignment="1">
      <alignment horizontal="center" vertical="center" wrapText="1"/>
    </xf>
    <xf numFmtId="0" fontId="2" fillId="4" borderId="1" xfId="52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0" fontId="2" fillId="2" borderId="3" xfId="52" applyFont="1" applyFill="1" applyBorder="1" applyAlignment="1">
      <alignment horizontal="center" vertical="center" wrapText="1"/>
    </xf>
    <xf numFmtId="0" fontId="2" fillId="0" borderId="0" xfId="53" applyFont="1" applyAlignment="1">
      <alignment horizontal="center" vertical="center" wrapText="1"/>
    </xf>
    <xf numFmtId="0" fontId="2" fillId="3" borderId="1" xfId="53" applyFont="1" applyFill="1" applyBorder="1" applyAlignment="1">
      <alignment horizontal="center" vertical="center" wrapText="1"/>
    </xf>
    <xf numFmtId="0" fontId="2" fillId="3" borderId="2" xfId="52" applyFont="1" applyFill="1" applyBorder="1" applyAlignment="1">
      <alignment horizontal="center" vertical="center" wrapText="1"/>
    </xf>
    <xf numFmtId="0" fontId="2" fillId="3" borderId="3" xfId="52" applyFont="1" applyFill="1" applyBorder="1" applyAlignment="1">
      <alignment horizontal="center" vertical="center" wrapText="1"/>
    </xf>
    <xf numFmtId="0" fontId="2" fillId="4" borderId="1" xfId="53" applyFont="1" applyFill="1" applyBorder="1" applyAlignment="1">
      <alignment horizontal="center" vertical="center" wrapText="1"/>
    </xf>
    <xf numFmtId="0" fontId="2" fillId="4" borderId="2" xfId="52" applyFont="1" applyFill="1" applyBorder="1" applyAlignment="1">
      <alignment horizontal="center" vertical="center" wrapText="1"/>
    </xf>
    <xf numFmtId="0" fontId="2" fillId="4" borderId="3" xfId="52" applyFont="1" applyFill="1" applyBorder="1" applyAlignment="1">
      <alignment horizontal="center" vertical="center" wrapText="1"/>
    </xf>
    <xf numFmtId="0" fontId="2" fillId="5" borderId="1" xfId="53" applyFont="1" applyFill="1" applyBorder="1" applyAlignment="1">
      <alignment horizontal="center" vertical="center" wrapText="1"/>
    </xf>
    <xf numFmtId="0" fontId="2" fillId="5" borderId="1" xfId="52" applyFont="1" applyFill="1" applyBorder="1" applyAlignment="1">
      <alignment horizontal="center" vertical="center" wrapText="1"/>
    </xf>
    <xf numFmtId="0" fontId="2" fillId="5" borderId="2" xfId="52" applyFont="1" applyFill="1" applyBorder="1" applyAlignment="1">
      <alignment horizontal="center" vertical="center" wrapText="1"/>
    </xf>
    <xf numFmtId="0" fontId="2" fillId="5" borderId="3" xfId="52" applyFont="1" applyFill="1" applyBorder="1" applyAlignment="1">
      <alignment horizontal="center" vertical="center" wrapText="1"/>
    </xf>
    <xf numFmtId="0" fontId="2" fillId="6" borderId="1" xfId="53" applyFont="1" applyFill="1" applyBorder="1" applyAlignment="1">
      <alignment horizontal="center" vertical="center" wrapText="1"/>
    </xf>
    <xf numFmtId="0" fontId="2" fillId="6" borderId="1" xfId="52" applyFont="1" applyFill="1" applyBorder="1" applyAlignment="1">
      <alignment horizontal="center" vertical="center" wrapText="1"/>
    </xf>
    <xf numFmtId="0" fontId="2" fillId="6" borderId="2" xfId="52" applyFont="1" applyFill="1" applyBorder="1" applyAlignment="1">
      <alignment horizontal="center" vertical="center" wrapText="1"/>
    </xf>
    <xf numFmtId="0" fontId="2" fillId="6" borderId="3" xfId="52" applyFont="1" applyFill="1" applyBorder="1" applyAlignment="1">
      <alignment horizontal="center" vertical="center" wrapText="1"/>
    </xf>
    <xf numFmtId="0" fontId="2" fillId="7" borderId="1" xfId="53" applyFont="1" applyFill="1" applyBorder="1" applyAlignment="1">
      <alignment horizontal="center" vertical="center" wrapText="1"/>
    </xf>
    <xf numFmtId="0" fontId="2" fillId="7" borderId="1" xfId="52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" fillId="0" borderId="0" xfId="5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80" fontId="5" fillId="9" borderId="6" xfId="0" applyNumberFormat="1" applyFont="1" applyFill="1" applyBorder="1" applyAlignment="1">
      <alignment horizontal="center" vertical="center" wrapText="1"/>
    </xf>
    <xf numFmtId="180" fontId="5" fillId="0" borderId="0" xfId="0" applyNumberFormat="1" applyFont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11" borderId="1" xfId="0" applyNumberFormat="1" applyFont="1" applyFill="1" applyBorder="1" applyAlignment="1">
      <alignment horizontal="center" vertical="center" wrapText="1"/>
    </xf>
    <xf numFmtId="180" fontId="5" fillId="11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81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81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81" fontId="5" fillId="0" borderId="1" xfId="0" applyNumberFormat="1" applyFont="1" applyBorder="1" applyAlignment="1" applyProtection="1">
      <alignment horizontal="center" vertical="center" wrapText="1"/>
      <protection locked="0"/>
    </xf>
    <xf numFmtId="181" fontId="5" fillId="0" borderId="1" xfId="0" applyNumberFormat="1" applyFont="1" applyBorder="1" applyAlignment="1">
      <alignment horizontal="center" vertical="center" wrapText="1"/>
    </xf>
    <xf numFmtId="2" fontId="5" fillId="11" borderId="1" xfId="0" applyNumberFormat="1" applyFont="1" applyFill="1" applyBorder="1" applyAlignment="1">
      <alignment horizontal="center" vertical="center" wrapText="1"/>
    </xf>
    <xf numFmtId="182" fontId="5" fillId="11" borderId="1" xfId="0" applyNumberFormat="1" applyFont="1" applyFill="1" applyBorder="1" applyAlignment="1">
      <alignment horizontal="center" vertical="center" wrapText="1"/>
    </xf>
    <xf numFmtId="18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83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>
      <alignment horizontal="center" vertical="center" wrapText="1"/>
    </xf>
    <xf numFmtId="180" fontId="5" fillId="12" borderId="6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4" fontId="5" fillId="1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10" borderId="2" xfId="0" applyFont="1" applyFill="1" applyBorder="1" applyAlignment="1">
      <alignment horizontal="center" vertical="center" wrapText="1"/>
    </xf>
    <xf numFmtId="181" fontId="5" fillId="14" borderId="1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 wrapText="1"/>
    </xf>
    <xf numFmtId="184" fontId="5" fillId="15" borderId="6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8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49" fontId="5" fillId="10" borderId="1" xfId="0" applyNumberFormat="1" applyFont="1" applyFill="1" applyBorder="1" applyAlignment="1">
      <alignment horizontal="center" vertical="center" wrapText="1"/>
    </xf>
    <xf numFmtId="180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11" borderId="2" xfId="0" applyNumberFormat="1" applyFont="1" applyFill="1" applyBorder="1" applyAlignment="1">
      <alignment horizontal="center" vertical="center" wrapText="1"/>
    </xf>
    <xf numFmtId="180" fontId="5" fillId="11" borderId="2" xfId="0" applyNumberFormat="1" applyFont="1" applyFill="1" applyBorder="1" applyAlignment="1">
      <alignment horizontal="center" vertical="center" wrapText="1"/>
    </xf>
    <xf numFmtId="2" fontId="5" fillId="10" borderId="1" xfId="0" applyNumberFormat="1" applyFont="1" applyFill="1" applyBorder="1" applyAlignment="1">
      <alignment horizontal="center" vertical="center" wrapText="1"/>
    </xf>
    <xf numFmtId="182" fontId="5" fillId="10" borderId="1" xfId="0" applyNumberFormat="1" applyFont="1" applyFill="1" applyBorder="1" applyAlignment="1">
      <alignment horizontal="center" vertical="center" wrapText="1"/>
    </xf>
    <xf numFmtId="2" fontId="5" fillId="11" borderId="2" xfId="0" applyNumberFormat="1" applyFont="1" applyFill="1" applyBorder="1" applyAlignment="1">
      <alignment horizontal="center" vertical="center" wrapText="1"/>
    </xf>
    <xf numFmtId="182" fontId="5" fillId="11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5" fillId="10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180" fontId="4" fillId="1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4" fillId="16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2" fontId="4" fillId="10" borderId="1" xfId="0" applyNumberFormat="1" applyFont="1" applyFill="1" applyBorder="1" applyAlignment="1">
      <alignment horizontal="center" vertical="center" wrapText="1"/>
    </xf>
    <xf numFmtId="182" fontId="4" fillId="10" borderId="1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183" fontId="5" fillId="16" borderId="1" xfId="0" applyNumberFormat="1" applyFont="1" applyFill="1" applyBorder="1" applyAlignment="1" applyProtection="1">
      <alignment horizontal="center" vertical="center" wrapText="1"/>
      <protection locked="0"/>
    </xf>
    <xf numFmtId="182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82" fontId="4" fillId="10" borderId="2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0" xfId="0" applyFont="1" applyFill="1" applyAlignment="1">
      <alignment horizontal="center" vertical="center" wrapText="1"/>
    </xf>
    <xf numFmtId="49" fontId="5" fillId="10" borderId="2" xfId="0" applyNumberFormat="1" applyFont="1" applyFill="1" applyBorder="1" applyAlignment="1">
      <alignment horizontal="center" vertical="center" wrapText="1"/>
    </xf>
    <xf numFmtId="182" fontId="5" fillId="10" borderId="2" xfId="0" applyNumberFormat="1" applyFont="1" applyFill="1" applyBorder="1" applyAlignment="1">
      <alignment horizontal="center" vertical="center" wrapText="1"/>
    </xf>
    <xf numFmtId="49" fontId="5" fillId="11" borderId="8" xfId="0" applyNumberFormat="1" applyFont="1" applyFill="1" applyBorder="1" applyAlignment="1">
      <alignment horizontal="center" vertical="center" wrapText="1"/>
    </xf>
    <xf numFmtId="183" fontId="5" fillId="11" borderId="8" xfId="0" applyNumberFormat="1" applyFont="1" applyFill="1" applyBorder="1" applyAlignment="1">
      <alignment horizontal="center" vertical="center" wrapText="1"/>
    </xf>
    <xf numFmtId="182" fontId="5" fillId="11" borderId="8" xfId="0" applyNumberFormat="1" applyFont="1" applyFill="1" applyBorder="1" applyAlignment="1">
      <alignment horizontal="center" vertical="center" wrapText="1"/>
    </xf>
    <xf numFmtId="180" fontId="5" fillId="11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80" fontId="5" fillId="10" borderId="2" xfId="0" applyNumberFormat="1" applyFont="1" applyFill="1" applyBorder="1" applyAlignment="1">
      <alignment horizontal="center" vertical="center" wrapText="1"/>
    </xf>
    <xf numFmtId="1" fontId="5" fillId="11" borderId="8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8" xfId="0" applyFont="1" applyFill="1" applyBorder="1" applyAlignment="1">
      <alignment horizontal="center" vertical="center" wrapText="1"/>
    </xf>
    <xf numFmtId="184" fontId="5" fillId="0" borderId="0" xfId="0" applyNumberFormat="1" applyFont="1" applyAlignment="1">
      <alignment horizontal="center" vertical="center" wrapText="1"/>
    </xf>
    <xf numFmtId="183" fontId="5" fillId="11" borderId="1" xfId="0" applyNumberFormat="1" applyFont="1" applyFill="1" applyBorder="1" applyAlignment="1">
      <alignment horizontal="center" vertical="center" wrapText="1"/>
    </xf>
    <xf numFmtId="184" fontId="4" fillId="10" borderId="1" xfId="0" applyNumberFormat="1" applyFont="1" applyFill="1" applyBorder="1" applyAlignment="1">
      <alignment horizontal="center" vertical="center" wrapText="1"/>
    </xf>
    <xf numFmtId="185" fontId="5" fillId="11" borderId="1" xfId="0" applyNumberFormat="1" applyFont="1" applyFill="1" applyBorder="1" applyAlignment="1">
      <alignment horizontal="center" vertical="center" wrapText="1"/>
    </xf>
    <xf numFmtId="184" fontId="5" fillId="11" borderId="1" xfId="0" applyNumberFormat="1" applyFont="1" applyFill="1" applyBorder="1" applyAlignment="1">
      <alignment horizontal="center" vertical="center" wrapText="1"/>
    </xf>
    <xf numFmtId="18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8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81" fontId="5" fillId="16" borderId="1" xfId="0" applyNumberFormat="1" applyFont="1" applyFill="1" applyBorder="1" applyAlignment="1" applyProtection="1">
      <alignment horizontal="center" vertical="center" wrapText="1"/>
      <protection locked="0"/>
    </xf>
    <xf numFmtId="180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16" borderId="1" xfId="0" applyNumberFormat="1" applyFont="1" applyFill="1" applyBorder="1" applyAlignment="1" applyProtection="1">
      <alignment horizontal="center" vertical="center" wrapText="1"/>
      <protection locked="0"/>
    </xf>
    <xf numFmtId="182" fontId="5" fillId="16" borderId="1" xfId="0" applyNumberFormat="1" applyFont="1" applyFill="1" applyBorder="1" applyAlignment="1" applyProtection="1">
      <alignment horizontal="center" vertical="center" wrapText="1"/>
      <protection locked="0"/>
    </xf>
    <xf numFmtId="181" fontId="5" fillId="16" borderId="1" xfId="0" applyNumberFormat="1" applyFont="1" applyFill="1" applyBorder="1" applyAlignment="1">
      <alignment horizontal="center" vertical="center" wrapText="1"/>
    </xf>
    <xf numFmtId="185" fontId="5" fillId="16" borderId="1" xfId="0" applyNumberFormat="1" applyFont="1" applyFill="1" applyBorder="1" applyAlignment="1" applyProtection="1">
      <alignment horizontal="center" vertical="center" wrapText="1"/>
      <protection locked="0"/>
    </xf>
    <xf numFmtId="184" fontId="5" fillId="16" borderId="1" xfId="0" applyNumberFormat="1" applyFont="1" applyFill="1" applyBorder="1" applyAlignment="1" applyProtection="1">
      <alignment horizontal="center" vertical="center" wrapText="1"/>
      <protection locked="0"/>
    </xf>
    <xf numFmtId="181" fontId="7" fillId="14" borderId="1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186" fontId="5" fillId="11" borderId="1" xfId="0" applyNumberFormat="1" applyFont="1" applyFill="1" applyBorder="1" applyAlignment="1">
      <alignment horizontal="center" vertical="center" wrapText="1"/>
    </xf>
    <xf numFmtId="184" fontId="5" fillId="10" borderId="1" xfId="0" applyNumberFormat="1" applyFont="1" applyFill="1" applyBorder="1" applyAlignment="1">
      <alignment horizontal="center" vertical="center" wrapText="1"/>
    </xf>
    <xf numFmtId="181" fontId="5" fillId="11" borderId="1" xfId="0" applyNumberFormat="1" applyFont="1" applyFill="1" applyBorder="1" applyAlignment="1">
      <alignment horizontal="center" vertical="center" wrapText="1"/>
    </xf>
    <xf numFmtId="186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82" fontId="5" fillId="0" borderId="1" xfId="0" applyNumberFormat="1" applyFont="1" applyBorder="1" applyAlignment="1" applyProtection="1">
      <alignment horizontal="center" vertical="center" wrapText="1"/>
      <protection locked="0"/>
    </xf>
    <xf numFmtId="184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8" fillId="17" borderId="4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9" fillId="17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87" fontId="10" fillId="0" borderId="6" xfId="0" applyNumberFormat="1" applyFont="1" applyBorder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/>
    </xf>
    <xf numFmtId="181" fontId="10" fillId="0" borderId="10" xfId="0" applyNumberFormat="1" applyFont="1" applyBorder="1" applyAlignment="1">
      <alignment horizontal="center" vertical="center" wrapText="1"/>
    </xf>
    <xf numFmtId="181" fontId="10" fillId="0" borderId="11" xfId="0" applyNumberFormat="1" applyFont="1" applyBorder="1" applyAlignment="1">
      <alignment horizontal="center" vertical="center" wrapText="1"/>
    </xf>
    <xf numFmtId="181" fontId="10" fillId="0" borderId="12" xfId="0" applyNumberFormat="1" applyFont="1" applyBorder="1" applyAlignment="1">
      <alignment horizontal="center" vertical="center" wrapText="1"/>
    </xf>
    <xf numFmtId="180" fontId="10" fillId="0" borderId="10" xfId="0" applyNumberFormat="1" applyFont="1" applyBorder="1" applyAlignment="1">
      <alignment horizontal="center" vertical="center" wrapText="1"/>
    </xf>
    <xf numFmtId="187" fontId="11" fillId="0" borderId="6" xfId="0" applyNumberFormat="1" applyFont="1" applyBorder="1" applyAlignment="1">
      <alignment horizontal="center" vertical="center" wrapText="1"/>
    </xf>
    <xf numFmtId="180" fontId="11" fillId="0" borderId="10" xfId="0" applyNumberFormat="1" applyFont="1" applyBorder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18" borderId="4" xfId="0" applyFont="1" applyFill="1" applyBorder="1" applyAlignment="1">
      <alignment horizontal="center" vertical="center" wrapText="1"/>
    </xf>
    <xf numFmtId="0" fontId="12" fillId="18" borderId="7" xfId="0" applyFont="1" applyFill="1" applyBorder="1" applyAlignment="1">
      <alignment horizontal="center" vertical="center" wrapText="1"/>
    </xf>
    <xf numFmtId="0" fontId="12" fillId="18" borderId="5" xfId="0" applyFont="1" applyFill="1" applyBorder="1" applyAlignment="1">
      <alignment horizontal="center" vertical="center" wrapText="1"/>
    </xf>
    <xf numFmtId="0" fontId="13" fillId="18" borderId="4" xfId="0" applyFont="1" applyFill="1" applyBorder="1" applyAlignment="1">
      <alignment horizontal="center" vertical="center" wrapText="1"/>
    </xf>
    <xf numFmtId="0" fontId="13" fillId="18" borderId="7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center" vertical="center" wrapText="1"/>
    </xf>
    <xf numFmtId="180" fontId="5" fillId="0" borderId="4" xfId="0" applyNumberFormat="1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 wrapText="1"/>
    </xf>
    <xf numFmtId="180" fontId="5" fillId="0" borderId="5" xfId="0" applyNumberFormat="1" applyFont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2" fillId="15" borderId="7" xfId="0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 wrapText="1"/>
    </xf>
    <xf numFmtId="0" fontId="12" fillId="19" borderId="5" xfId="0" applyFont="1" applyFill="1" applyBorder="1" applyAlignment="1">
      <alignment horizontal="center" vertical="center" wrapText="1"/>
    </xf>
    <xf numFmtId="0" fontId="12" fillId="19" borderId="13" xfId="0" applyFont="1" applyFill="1" applyBorder="1" applyAlignment="1">
      <alignment horizontal="center" vertical="center" wrapText="1"/>
    </xf>
    <xf numFmtId="0" fontId="12" fillId="19" borderId="14" xfId="0" applyFont="1" applyFill="1" applyBorder="1" applyAlignment="1">
      <alignment horizontal="center" vertical="center" wrapText="1"/>
    </xf>
    <xf numFmtId="0" fontId="12" fillId="19" borderId="15" xfId="0" applyFont="1" applyFill="1" applyBorder="1" applyAlignment="1">
      <alignment horizontal="center" vertical="center" wrapText="1"/>
    </xf>
    <xf numFmtId="180" fontId="8" fillId="10" borderId="13" xfId="0" applyNumberFormat="1" applyFont="1" applyFill="1" applyBorder="1" applyAlignment="1">
      <alignment horizontal="center" vertical="center" wrapText="1"/>
    </xf>
    <xf numFmtId="180" fontId="8" fillId="10" borderId="14" xfId="0" applyNumberFormat="1" applyFont="1" applyFill="1" applyBorder="1" applyAlignment="1">
      <alignment horizontal="center" vertical="center" wrapText="1"/>
    </xf>
    <xf numFmtId="180" fontId="8" fillId="10" borderId="15" xfId="0" applyNumberFormat="1" applyFont="1" applyFill="1" applyBorder="1" applyAlignment="1">
      <alignment horizontal="center" vertical="center" wrapText="1"/>
    </xf>
    <xf numFmtId="0" fontId="12" fillId="19" borderId="16" xfId="0" applyFont="1" applyFill="1" applyBorder="1" applyAlignment="1">
      <alignment horizontal="center" vertical="center" wrapText="1"/>
    </xf>
    <xf numFmtId="0" fontId="12" fillId="19" borderId="17" xfId="0" applyFont="1" applyFill="1" applyBorder="1" applyAlignment="1">
      <alignment horizontal="center" vertical="center" wrapText="1"/>
    </xf>
    <xf numFmtId="0" fontId="12" fillId="19" borderId="18" xfId="0" applyFont="1" applyFill="1" applyBorder="1" applyAlignment="1">
      <alignment horizontal="center" vertical="center" wrapText="1"/>
    </xf>
    <xf numFmtId="180" fontId="8" fillId="10" borderId="16" xfId="0" applyNumberFormat="1" applyFont="1" applyFill="1" applyBorder="1" applyAlignment="1">
      <alignment horizontal="center" vertical="center" wrapText="1"/>
    </xf>
    <xf numFmtId="180" fontId="8" fillId="10" borderId="17" xfId="0" applyNumberFormat="1" applyFont="1" applyFill="1" applyBorder="1" applyAlignment="1">
      <alignment horizontal="center" vertical="center" wrapText="1"/>
    </xf>
    <xf numFmtId="180" fontId="8" fillId="10" borderId="18" xfId="0" applyNumberFormat="1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80" fontId="10" fillId="0" borderId="11" xfId="0" applyNumberFormat="1" applyFont="1" applyBorder="1" applyAlignment="1">
      <alignment horizontal="center" vertical="center" wrapText="1"/>
    </xf>
    <xf numFmtId="180" fontId="10" fillId="0" borderId="12" xfId="0" applyNumberFormat="1" applyFont="1" applyBorder="1" applyAlignment="1">
      <alignment horizontal="center" vertical="center" wrapText="1"/>
    </xf>
    <xf numFmtId="181" fontId="10" fillId="0" borderId="0" xfId="0" applyNumberFormat="1" applyFont="1" applyAlignment="1">
      <alignment vertical="center" wrapText="1"/>
    </xf>
    <xf numFmtId="181" fontId="10" fillId="0" borderId="6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81" fontId="11" fillId="0" borderId="10" xfId="0" applyNumberFormat="1" applyFont="1" applyBorder="1" applyAlignment="1">
      <alignment horizontal="center" vertical="center" wrapText="1"/>
    </xf>
    <xf numFmtId="181" fontId="11" fillId="0" borderId="12" xfId="0" applyNumberFormat="1" applyFont="1" applyBorder="1" applyAlignment="1">
      <alignment horizontal="center" vertical="center" wrapText="1"/>
    </xf>
    <xf numFmtId="0" fontId="13" fillId="18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Обычный 3" xfId="52"/>
    <cellStyle name="Обычный 4" xfId="53"/>
  </cellStyles>
  <tableStyles count="0" defaultTableStyle="TableStyleMedium2" defaultPivotStyle="PivotStyleLight16"/>
  <colors>
    <mruColors>
      <color rgb="008FFF8F"/>
      <color rgb="0000FF00"/>
      <color rgb="00FF9999"/>
      <color rgb="00A30101"/>
      <color rgb="00FF6D6D"/>
      <color rgb="00AAFE22"/>
      <color rgb="00CEFE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>
      <xdr:nvSpPr>
        <xdr:cNvPr id="2" name="Скругленный прямоугольник 1"/>
        <xdr:cNvSpPr/>
      </xdr:nvSpPr>
      <xdr:spPr>
        <a:xfrm>
          <a:off x="10937875" y="982980"/>
          <a:ext cx="5747385" cy="4953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74085"/>
    <xdr:sp>
      <xdr:nvSpPr>
        <xdr:cNvPr id="3" name="TextBox 2"/>
        <xdr:cNvSpPr txBox="1"/>
      </xdr:nvSpPr>
      <xdr:spPr>
        <a:xfrm>
          <a:off x="11412855" y="1558925"/>
          <a:ext cx="184785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>
      <xdr:nvSpPr>
        <xdr:cNvPr id="4" name="Скругленный прямоугольник 3"/>
        <xdr:cNvSpPr/>
      </xdr:nvSpPr>
      <xdr:spPr>
        <a:xfrm>
          <a:off x="32016065" y="982980"/>
          <a:ext cx="5749925" cy="4953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  <a:endParaRPr lang="ru-RU" sz="32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3</xdr:row>
      <xdr:rowOff>507810</xdr:rowOff>
    </xdr:to>
    <xdr:sp macro="[0]!УдалитьСтрокуП4">
      <xdr:nvSpPr>
        <xdr:cNvPr id="5" name="Скругленный прямоугольник 4"/>
        <xdr:cNvSpPr/>
      </xdr:nvSpPr>
      <xdr:spPr>
        <a:xfrm>
          <a:off x="20586700" y="982980"/>
          <a:ext cx="5773420" cy="507365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>
      <xdr:nvSpPr>
        <xdr:cNvPr id="3" name="Скругленный прямоугольник 2"/>
        <xdr:cNvSpPr/>
      </xdr:nvSpPr>
      <xdr:spPr>
        <a:xfrm>
          <a:off x="20107910" y="989330"/>
          <a:ext cx="5755640" cy="49466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>
      <xdr:nvSpPr>
        <xdr:cNvPr id="4" name="Скругленный прямоугольник 3"/>
        <xdr:cNvSpPr/>
      </xdr:nvSpPr>
      <xdr:spPr>
        <a:xfrm>
          <a:off x="11400790" y="982980"/>
          <a:ext cx="5753735" cy="484505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>
      <xdr:nvSpPr>
        <xdr:cNvPr id="5" name="Скругленный прямоугольник 4"/>
        <xdr:cNvSpPr/>
      </xdr:nvSpPr>
      <xdr:spPr>
        <a:xfrm>
          <a:off x="29002355" y="982980"/>
          <a:ext cx="5734685" cy="501015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  <a:endParaRPr lang="ru-RU" sz="32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>
      <xdr:nvSpPr>
        <xdr:cNvPr id="2" name="Скругленный прямоугольник 1"/>
        <xdr:cNvSpPr/>
      </xdr:nvSpPr>
      <xdr:spPr>
        <a:xfrm>
          <a:off x="6870700" y="982980"/>
          <a:ext cx="5756275" cy="499745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>
      <xdr:nvSpPr>
        <xdr:cNvPr id="5" name="Скругленный прямоугольник 4"/>
        <xdr:cNvSpPr/>
      </xdr:nvSpPr>
      <xdr:spPr>
        <a:xfrm>
          <a:off x="30267275" y="982980"/>
          <a:ext cx="5759450" cy="489585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  <a:endParaRPr lang="ru-RU" sz="32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>
      <xdr:nvSpPr>
        <xdr:cNvPr id="6" name="Скругленный прямоугольник 5"/>
        <xdr:cNvSpPr/>
      </xdr:nvSpPr>
      <xdr:spPr>
        <a:xfrm>
          <a:off x="20309205" y="982980"/>
          <a:ext cx="5741035" cy="49974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>
      <xdr:nvSpPr>
        <xdr:cNvPr id="2" name="Скругленный прямоугольник 1"/>
        <xdr:cNvSpPr/>
      </xdr:nvSpPr>
      <xdr:spPr>
        <a:xfrm>
          <a:off x="12872720" y="1012190"/>
          <a:ext cx="5775325" cy="49657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>
      <xdr:nvSpPr>
        <xdr:cNvPr id="3" name="Скругленный прямоугольник 2"/>
        <xdr:cNvSpPr/>
      </xdr:nvSpPr>
      <xdr:spPr>
        <a:xfrm>
          <a:off x="24053165" y="1002030"/>
          <a:ext cx="5733415" cy="495935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>
      <xdr:nvSpPr>
        <xdr:cNvPr id="4" name="Скругленный прямоугольник 3"/>
        <xdr:cNvSpPr/>
      </xdr:nvSpPr>
      <xdr:spPr>
        <a:xfrm>
          <a:off x="35020250" y="1031240"/>
          <a:ext cx="5741670" cy="49657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  <a:endParaRPr lang="ru-RU" sz="3200" b="1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507810</xdr:rowOff>
    </xdr:to>
    <xdr:sp macro="[0]!ДобавитьКонтрактNEA">
      <xdr:nvSpPr>
        <xdr:cNvPr id="2" name="Скругленный прямоугольник 1"/>
        <xdr:cNvSpPr/>
      </xdr:nvSpPr>
      <xdr:spPr>
        <a:xfrm>
          <a:off x="12489180" y="982980"/>
          <a:ext cx="5768975" cy="507365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507810</xdr:rowOff>
    </xdr:to>
    <xdr:sp macro="[0]!УдалитьСтрокуNEA">
      <xdr:nvSpPr>
        <xdr:cNvPr id="5" name="Скругленный прямоугольник 4"/>
        <xdr:cNvSpPr/>
      </xdr:nvSpPr>
      <xdr:spPr>
        <a:xfrm>
          <a:off x="23294975" y="982980"/>
          <a:ext cx="5727700" cy="50736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>
      <xdr:nvSpPr>
        <xdr:cNvPr id="7" name="Скругленный прямоугольник 6"/>
        <xdr:cNvSpPr/>
      </xdr:nvSpPr>
      <xdr:spPr>
        <a:xfrm>
          <a:off x="34601785" y="954405"/>
          <a:ext cx="5748020" cy="49403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  <a:endParaRPr lang="ru-RU" sz="3200" b="1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3</xdr:row>
      <xdr:rowOff>507810</xdr:rowOff>
    </xdr:to>
    <xdr:sp macro="[0]!ДобавитьКонтрактIKZ">
      <xdr:nvSpPr>
        <xdr:cNvPr id="2" name="Скругленный прямоугольник 1"/>
        <xdr:cNvSpPr/>
      </xdr:nvSpPr>
      <xdr:spPr>
        <a:xfrm>
          <a:off x="11334115" y="982980"/>
          <a:ext cx="5764530" cy="507365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>
      <xdr:nvSpPr>
        <xdr:cNvPr id="3" name="Скругленный прямоугольник 2"/>
        <xdr:cNvSpPr/>
      </xdr:nvSpPr>
      <xdr:spPr>
        <a:xfrm>
          <a:off x="23215600" y="993140"/>
          <a:ext cx="5727065" cy="49657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>
      <xdr:nvSpPr>
        <xdr:cNvPr id="4" name="Скругленный прямоугольник 3"/>
        <xdr:cNvSpPr/>
      </xdr:nvSpPr>
      <xdr:spPr>
        <a:xfrm>
          <a:off x="34505900" y="993140"/>
          <a:ext cx="5749925" cy="49657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  <a:endParaRPr lang="ru-RU" sz="3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6">
    <tabColor rgb="FFFFFF00"/>
  </sheetPr>
  <dimension ref="A1:N20"/>
  <sheetViews>
    <sheetView showGridLines="0" zoomScale="70" zoomScaleNormal="70" workbookViewId="0">
      <selection activeCell="E1" sqref="E1:N1"/>
    </sheetView>
  </sheetViews>
  <sheetFormatPr defaultColWidth="0" defaultRowHeight="15"/>
  <cols>
    <col min="1" max="2" width="9.08571428571429" style="135" customWidth="1"/>
    <col min="3" max="3" width="25.3619047619048" style="135" customWidth="1"/>
    <col min="4" max="5" width="9.08571428571429" style="135" customWidth="1"/>
    <col min="6" max="6" width="11.6285714285714" style="135" customWidth="1"/>
    <col min="7" max="7" width="19" style="135" customWidth="1"/>
    <col min="8" max="8" width="6.54285714285714" style="135" customWidth="1"/>
    <col min="9" max="9" width="5.54285714285714" style="135" customWidth="1"/>
    <col min="10" max="10" width="15" style="135" customWidth="1"/>
    <col min="11" max="11" width="14.9047619047619" style="135" customWidth="1"/>
    <col min="12" max="12" width="21.3619047619048" style="135" customWidth="1"/>
    <col min="13" max="13" width="10.0857142857143" style="135" customWidth="1"/>
    <col min="14" max="14" width="17.0857142857143" style="135" customWidth="1"/>
    <col min="15" max="22" width="9.08571428571429" style="135" hidden="1" customWidth="1"/>
    <col min="23" max="23" width="30.6285714285714" style="135" hidden="1" customWidth="1"/>
    <col min="24" max="16384" width="9.08571428571429" style="135" hidden="1"/>
  </cols>
  <sheetData>
    <row r="1" ht="73.5" customHeight="1" spans="1:14">
      <c r="A1" s="136" t="s">
        <v>0</v>
      </c>
      <c r="B1" s="137"/>
      <c r="C1" s="137"/>
      <c r="D1" s="137"/>
      <c r="E1" s="138" t="s">
        <v>1</v>
      </c>
      <c r="F1" s="139"/>
      <c r="G1" s="139"/>
      <c r="H1" s="139"/>
      <c r="I1" s="139"/>
      <c r="J1" s="139"/>
      <c r="K1" s="139"/>
      <c r="L1" s="139"/>
      <c r="M1" s="139"/>
      <c r="N1" s="185"/>
    </row>
    <row r="3" ht="15.75" spans="9:14">
      <c r="I3" s="186"/>
      <c r="J3" s="186"/>
      <c r="K3" s="186"/>
      <c r="L3" s="186"/>
      <c r="M3" s="186"/>
      <c r="N3" s="186"/>
    </row>
    <row r="4" ht="32.25" customHeight="1" spans="1:14">
      <c r="A4" s="140" t="s">
        <v>2</v>
      </c>
      <c r="B4" s="141"/>
      <c r="C4" s="142">
        <v>8901208.46</v>
      </c>
      <c r="D4" s="143"/>
      <c r="E4" s="144" t="s">
        <v>3</v>
      </c>
      <c r="F4" s="145"/>
      <c r="G4" s="146"/>
      <c r="H4" s="147">
        <v>1388610.82</v>
      </c>
      <c r="I4" s="187"/>
      <c r="J4" s="188"/>
      <c r="K4" s="189"/>
      <c r="L4" s="190" t="s">
        <v>4</v>
      </c>
      <c r="M4" s="144">
        <v>2041243.56</v>
      </c>
      <c r="N4" s="146"/>
    </row>
    <row r="5" ht="30.75" customHeight="1" spans="1:14">
      <c r="A5" s="140" t="s">
        <v>5</v>
      </c>
      <c r="B5" s="141"/>
      <c r="C5" s="148">
        <f>C4-G15+J15</f>
        <v>2016093.38</v>
      </c>
      <c r="D5" s="143"/>
      <c r="E5" s="144" t="s">
        <v>6</v>
      </c>
      <c r="F5" s="145"/>
      <c r="G5" s="146"/>
      <c r="H5" s="149">
        <f>H4-G12</f>
        <v>554171.75</v>
      </c>
      <c r="I5" s="191"/>
      <c r="J5" s="192"/>
      <c r="K5" s="189"/>
      <c r="L5" s="190" t="s">
        <v>7</v>
      </c>
      <c r="M5" s="193">
        <f>M4-G13</f>
        <v>0</v>
      </c>
      <c r="N5" s="194"/>
    </row>
    <row r="6" spans="3:12">
      <c r="C6" s="150"/>
      <c r="D6" s="151"/>
      <c r="E6" s="151"/>
      <c r="F6" s="151"/>
      <c r="G6" s="151"/>
      <c r="H6" s="151"/>
      <c r="I6" s="151"/>
      <c r="J6" s="151"/>
      <c r="K6" s="151"/>
      <c r="L6" s="151"/>
    </row>
    <row r="7" ht="15.75"/>
    <row r="8" ht="72" customHeight="1" spans="1:14">
      <c r="A8" s="152" t="s">
        <v>8</v>
      </c>
      <c r="B8" s="153"/>
      <c r="C8" s="154"/>
      <c r="D8" s="152" t="s">
        <v>9</v>
      </c>
      <c r="E8" s="153"/>
      <c r="F8" s="154"/>
      <c r="G8" s="155" t="s">
        <v>10</v>
      </c>
      <c r="H8" s="156"/>
      <c r="I8" s="195"/>
      <c r="J8" s="155" t="s">
        <v>11</v>
      </c>
      <c r="K8" s="156"/>
      <c r="L8" s="195"/>
      <c r="M8" s="152" t="s">
        <v>12</v>
      </c>
      <c r="N8" s="154"/>
    </row>
    <row r="9" ht="41.25" customHeight="1" spans="1:14">
      <c r="A9" s="157" t="s">
        <v>13</v>
      </c>
      <c r="B9" s="158"/>
      <c r="C9" s="159"/>
      <c r="D9" s="160">
        <f>'Состоявшиеся аукционы'!G2</f>
        <v>1339144.2</v>
      </c>
      <c r="E9" s="160"/>
      <c r="F9" s="160"/>
      <c r="G9" s="160">
        <f>'Состоявшиеся аукционы'!Q2</f>
        <v>1272465</v>
      </c>
      <c r="H9" s="160"/>
      <c r="I9" s="160"/>
      <c r="J9" s="161">
        <f>'Состоявшиеся аукционы'!AB2</f>
        <v>0</v>
      </c>
      <c r="K9" s="162"/>
      <c r="L9" s="163"/>
      <c r="M9" s="160">
        <f t="shared" ref="M9:M15" si="0">D9-G9</f>
        <v>66679.2</v>
      </c>
      <c r="N9" s="160"/>
    </row>
    <row r="10" ht="78.75" customHeight="1" spans="1:14">
      <c r="A10" s="157" t="s">
        <v>14</v>
      </c>
      <c r="B10" s="158"/>
      <c r="C10" s="159"/>
      <c r="D10" s="160">
        <f>'Несостоявшиеся аукционы'!G2</f>
        <v>847247.54</v>
      </c>
      <c r="E10" s="160"/>
      <c r="F10" s="160"/>
      <c r="G10" s="160">
        <f>'Несостоявшиеся аукционы'!Q2</f>
        <v>847247.54</v>
      </c>
      <c r="H10" s="160"/>
      <c r="I10" s="160"/>
      <c r="J10" s="161">
        <f>'Несостоявшиеся аукционы'!AB2</f>
        <v>55175.35</v>
      </c>
      <c r="K10" s="162"/>
      <c r="L10" s="163"/>
      <c r="M10" s="160">
        <f t="shared" si="0"/>
        <v>0</v>
      </c>
      <c r="N10" s="160"/>
    </row>
    <row r="11" ht="40.5" customHeight="1" spans="1:14">
      <c r="A11" s="157" t="s">
        <v>15</v>
      </c>
      <c r="B11" s="158"/>
      <c r="C11" s="159"/>
      <c r="D11" s="161">
        <f>'Иные конкурентные закупки'!G2</f>
        <v>1098720</v>
      </c>
      <c r="E11" s="162"/>
      <c r="F11" s="163"/>
      <c r="G11" s="161">
        <f>'Иные конкурентные закупки'!Q2</f>
        <v>994080</v>
      </c>
      <c r="H11" s="162"/>
      <c r="I11" s="163"/>
      <c r="J11" s="161">
        <f>'Иные конкурентные закупки'!AB2</f>
        <v>0</v>
      </c>
      <c r="K11" s="162"/>
      <c r="L11" s="163"/>
      <c r="M11" s="161">
        <f t="shared" si="0"/>
        <v>104640</v>
      </c>
      <c r="N11" s="163"/>
    </row>
    <row r="12" ht="54.75" customHeight="1" spans="1:14">
      <c r="A12" s="164" t="s">
        <v>16</v>
      </c>
      <c r="B12" s="165"/>
      <c r="C12" s="166"/>
      <c r="D12" s="160">
        <f>'Ед. поставщик п.4 ч.1'!H2</f>
        <v>834439.07</v>
      </c>
      <c r="E12" s="160"/>
      <c r="F12" s="160"/>
      <c r="G12" s="160">
        <f>D12</f>
        <v>834439.07</v>
      </c>
      <c r="H12" s="160"/>
      <c r="I12" s="160"/>
      <c r="J12" s="161">
        <f>'Ед. поставщик п.4 ч.1'!V2</f>
        <v>52685.76</v>
      </c>
      <c r="K12" s="162"/>
      <c r="L12" s="163"/>
      <c r="M12" s="160">
        <f t="shared" si="0"/>
        <v>0</v>
      </c>
      <c r="N12" s="160"/>
    </row>
    <row r="13" ht="45.75" customHeight="1" spans="1:14">
      <c r="A13" s="164" t="s">
        <v>17</v>
      </c>
      <c r="B13" s="165"/>
      <c r="C13" s="166"/>
      <c r="D13" s="160">
        <f>'Ед. поставщик п.5 ч.1'!H2</f>
        <v>2041243.56</v>
      </c>
      <c r="E13" s="160"/>
      <c r="F13" s="160"/>
      <c r="G13" s="160">
        <f>D13</f>
        <v>2041243.56</v>
      </c>
      <c r="H13" s="160"/>
      <c r="I13" s="160"/>
      <c r="J13" s="161">
        <f>'Ед. поставщик п.5 ч.1'!V2</f>
        <v>354060.52</v>
      </c>
      <c r="K13" s="162"/>
      <c r="L13" s="163"/>
      <c r="M13" s="160">
        <f t="shared" si="0"/>
        <v>0</v>
      </c>
      <c r="N13" s="160"/>
    </row>
    <row r="14" ht="45.75" customHeight="1" spans="1:14">
      <c r="A14" s="167" t="s">
        <v>18</v>
      </c>
      <c r="B14" s="168"/>
      <c r="C14" s="169"/>
      <c r="D14" s="161">
        <f>'Ед.поставщик за искл. п.4,5 ч.1'!G2</f>
        <v>1357561.54</v>
      </c>
      <c r="E14" s="162"/>
      <c r="F14" s="163"/>
      <c r="G14" s="161">
        <f>D14</f>
        <v>1357561.54</v>
      </c>
      <c r="H14" s="162"/>
      <c r="I14" s="163"/>
      <c r="J14" s="161">
        <f>'Ед.поставщик за искл. п.4,5 ч.1'!T2</f>
        <v>0</v>
      </c>
      <c r="K14" s="162"/>
      <c r="L14" s="163"/>
      <c r="M14" s="160">
        <f t="shared" si="0"/>
        <v>0</v>
      </c>
      <c r="N14" s="160"/>
    </row>
    <row r="15" ht="21" spans="1:14">
      <c r="A15" s="170" t="s">
        <v>19</v>
      </c>
      <c r="B15" s="171"/>
      <c r="C15" s="172"/>
      <c r="D15" s="160">
        <f>SUM(D9:D14)</f>
        <v>7518355.91</v>
      </c>
      <c r="E15" s="160"/>
      <c r="F15" s="160"/>
      <c r="G15" s="161">
        <f>SUM(G9:G14)</f>
        <v>7347036.71</v>
      </c>
      <c r="H15" s="162"/>
      <c r="I15" s="163"/>
      <c r="J15" s="161">
        <f>SUM(J9:J14)</f>
        <v>461921.63</v>
      </c>
      <c r="K15" s="162"/>
      <c r="L15" s="163"/>
      <c r="M15" s="160">
        <f t="shared" si="0"/>
        <v>171319.2</v>
      </c>
      <c r="N15" s="160"/>
    </row>
    <row r="18" ht="15.75"/>
    <row r="19" ht="23.25" customHeight="1" spans="1:12">
      <c r="A19" s="173" t="s">
        <v>20</v>
      </c>
      <c r="B19" s="174"/>
      <c r="C19" s="175"/>
      <c r="D19" s="17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5706003.63</v>
      </c>
      <c r="E19" s="177"/>
      <c r="F19" s="177"/>
      <c r="G19" s="178"/>
      <c r="I19" s="196"/>
      <c r="J19" s="196"/>
      <c r="K19" s="196"/>
      <c r="L19" s="196"/>
    </row>
    <row r="20" ht="24" customHeight="1" spans="1:12">
      <c r="A20" s="179"/>
      <c r="B20" s="180"/>
      <c r="C20" s="181"/>
      <c r="D20" s="182"/>
      <c r="E20" s="183"/>
      <c r="F20" s="183"/>
      <c r="G20" s="184"/>
      <c r="I20" s="196"/>
      <c r="J20" s="196"/>
      <c r="K20" s="196"/>
      <c r="L20" s="196"/>
    </row>
  </sheetData>
  <mergeCells count="52">
    <mergeCell ref="A1:D1"/>
    <mergeCell ref="E1:N1"/>
    <mergeCell ref="A4:B4"/>
    <mergeCell ref="E4:G4"/>
    <mergeCell ref="H4:J4"/>
    <mergeCell ref="M4:N4"/>
    <mergeCell ref="A5:B5"/>
    <mergeCell ref="E5:G5"/>
    <mergeCell ref="H5:J5"/>
    <mergeCell ref="M5:N5"/>
    <mergeCell ref="A8:C8"/>
    <mergeCell ref="D8:F8"/>
    <mergeCell ref="G8:I8"/>
    <mergeCell ref="J8:L8"/>
    <mergeCell ref="M8:N8"/>
    <mergeCell ref="A9:C9"/>
    <mergeCell ref="D9:F9"/>
    <mergeCell ref="G9:I9"/>
    <mergeCell ref="J9:L9"/>
    <mergeCell ref="M9:N9"/>
    <mergeCell ref="A10:C10"/>
    <mergeCell ref="D10:F10"/>
    <mergeCell ref="G10:I10"/>
    <mergeCell ref="J10:L10"/>
    <mergeCell ref="M10:N10"/>
    <mergeCell ref="A11:C11"/>
    <mergeCell ref="D11:F11"/>
    <mergeCell ref="G11:I11"/>
    <mergeCell ref="J11:L11"/>
    <mergeCell ref="M11:N11"/>
    <mergeCell ref="A12:C12"/>
    <mergeCell ref="D12:F12"/>
    <mergeCell ref="G12:I12"/>
    <mergeCell ref="J12:L12"/>
    <mergeCell ref="M12:N12"/>
    <mergeCell ref="A13:C13"/>
    <mergeCell ref="D13:F13"/>
    <mergeCell ref="G13:I13"/>
    <mergeCell ref="J13:L13"/>
    <mergeCell ref="M13:N13"/>
    <mergeCell ref="A14:C14"/>
    <mergeCell ref="D14:F14"/>
    <mergeCell ref="G14:I14"/>
    <mergeCell ref="J14:L14"/>
    <mergeCell ref="M14:N14"/>
    <mergeCell ref="A15:C15"/>
    <mergeCell ref="D15:F15"/>
    <mergeCell ref="G15:I15"/>
    <mergeCell ref="J15:L15"/>
    <mergeCell ref="M15:N15"/>
    <mergeCell ref="A19:C20"/>
    <mergeCell ref="D19:G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24">
    <tabColor rgb="FFFF0000"/>
  </sheetPr>
  <dimension ref="A2:X42"/>
  <sheetViews>
    <sheetView showGridLines="0" zoomScale="50" zoomScaleNormal="50" topLeftCell="G1" workbookViewId="0">
      <pane ySplit="8" topLeftCell="A9" activePane="bottomLeft" state="frozen"/>
      <selection/>
      <selection pane="bottomLeft" activeCell="Q25" sqref="Q25"/>
    </sheetView>
  </sheetViews>
  <sheetFormatPr defaultColWidth="0" defaultRowHeight="18.75"/>
  <cols>
    <col min="1" max="1" width="9.08571428571429" style="85" customWidth="1"/>
    <col min="2" max="3" width="35" style="55" customWidth="1"/>
    <col min="4" max="4" width="32.9047619047619" style="55" customWidth="1"/>
    <col min="5" max="5" width="24.6285714285714" style="71" customWidth="1"/>
    <col min="6" max="6" width="27.5428571428571" style="55" customWidth="1"/>
    <col min="7" max="7" width="49.0857142857143" style="55" customWidth="1"/>
    <col min="8" max="8" width="26.9047619047619" style="37" customWidth="1"/>
    <col min="9" max="9" width="21.9047619047619" style="37" customWidth="1"/>
    <col min="10" max="10" width="33.5428571428571" style="55" customWidth="1"/>
    <col min="11" max="12" width="28.3619047619048" style="55" customWidth="1"/>
    <col min="13" max="13" width="34.9047619047619" style="55" customWidth="1"/>
    <col min="14" max="14" width="28.9047619047619" style="71" customWidth="1"/>
    <col min="15" max="15" width="28.9047619047619" style="55" customWidth="1"/>
    <col min="16" max="16" width="24" style="112" customWidth="1"/>
    <col min="17" max="17" width="24" style="71" customWidth="1"/>
    <col min="18" max="18" width="23.4571428571429" style="33" customWidth="1"/>
    <col min="19" max="20" width="23.6285714285714" style="33" customWidth="1"/>
    <col min="21" max="21" width="24.5428571428571" style="71" customWidth="1"/>
    <col min="22" max="22" width="25.5428571428571" style="112" customWidth="1"/>
    <col min="23" max="23" width="17.6285714285714" style="33" customWidth="1"/>
    <col min="24" max="16384" width="9.08571428571429" style="33" hidden="1"/>
  </cols>
  <sheetData>
    <row r="2" ht="39.9" customHeight="1" spans="1:22">
      <c r="A2" s="128"/>
      <c r="B2" s="60"/>
      <c r="C2" s="60"/>
      <c r="D2" s="60"/>
      <c r="E2" s="60"/>
      <c r="F2" s="37"/>
      <c r="G2" s="34" t="s">
        <v>21</v>
      </c>
      <c r="H2" s="56">
        <f>SUM(H9:H9999)</f>
        <v>834439.07</v>
      </c>
      <c r="K2" s="33"/>
      <c r="L2" s="33"/>
      <c r="M2" s="33"/>
      <c r="N2" s="57" t="s">
        <v>22</v>
      </c>
      <c r="O2" s="58"/>
      <c r="P2" s="59">
        <f>SUM(P9:P9999)</f>
        <v>592341.69</v>
      </c>
      <c r="R2" s="60"/>
      <c r="S2" s="57" t="s">
        <v>23</v>
      </c>
      <c r="T2" s="65"/>
      <c r="U2" s="58"/>
      <c r="V2" s="66">
        <f>SUM(V9:V9999)</f>
        <v>52685.76</v>
      </c>
    </row>
    <row r="3" spans="1:14">
      <c r="A3" s="33"/>
      <c r="B3" s="33"/>
      <c r="C3" s="33"/>
      <c r="D3" s="33"/>
      <c r="E3" s="33"/>
      <c r="N3" s="60"/>
    </row>
    <row r="4" ht="39.9" customHeight="1" spans="14:16">
      <c r="N4" s="55"/>
      <c r="P4" s="55"/>
    </row>
    <row r="6" ht="159" customHeight="1" spans="1:23">
      <c r="A6" s="86" t="s">
        <v>24</v>
      </c>
      <c r="B6" s="72" t="s">
        <v>25</v>
      </c>
      <c r="C6" s="72" t="s">
        <v>26</v>
      </c>
      <c r="D6" s="72" t="s">
        <v>27</v>
      </c>
      <c r="E6" s="79" t="s">
        <v>28</v>
      </c>
      <c r="F6" s="72" t="s">
        <v>29</v>
      </c>
      <c r="G6" s="72" t="s">
        <v>30</v>
      </c>
      <c r="H6" s="73" t="s">
        <v>31</v>
      </c>
      <c r="I6" s="73" t="s">
        <v>32</v>
      </c>
      <c r="J6" s="72" t="s">
        <v>33</v>
      </c>
      <c r="K6" s="72" t="s">
        <v>34</v>
      </c>
      <c r="L6" s="72" t="s">
        <v>35</v>
      </c>
      <c r="M6" s="72" t="s">
        <v>36</v>
      </c>
      <c r="N6" s="79" t="s">
        <v>37</v>
      </c>
      <c r="O6" s="72" t="s">
        <v>38</v>
      </c>
      <c r="P6" s="130" t="s">
        <v>39</v>
      </c>
      <c r="Q6" s="79" t="s">
        <v>40</v>
      </c>
      <c r="R6" s="74" t="s">
        <v>41</v>
      </c>
      <c r="S6" s="74" t="s">
        <v>42</v>
      </c>
      <c r="T6" s="74" t="s">
        <v>43</v>
      </c>
      <c r="U6" s="79" t="s">
        <v>44</v>
      </c>
      <c r="V6" s="130" t="s">
        <v>45</v>
      </c>
      <c r="W6" s="74" t="s">
        <v>46</v>
      </c>
    </row>
    <row r="7" spans="1:23">
      <c r="A7" s="88" t="s">
        <v>47</v>
      </c>
      <c r="B7" s="75" t="s">
        <v>48</v>
      </c>
      <c r="C7" s="75" t="s">
        <v>49</v>
      </c>
      <c r="D7" s="75" t="s">
        <v>50</v>
      </c>
      <c r="E7" s="75" t="s">
        <v>51</v>
      </c>
      <c r="F7" s="75" t="s">
        <v>52</v>
      </c>
      <c r="G7" s="75" t="s">
        <v>53</v>
      </c>
      <c r="H7" s="75" t="s">
        <v>54</v>
      </c>
      <c r="I7" s="75" t="s">
        <v>55</v>
      </c>
      <c r="J7" s="75" t="s">
        <v>56</v>
      </c>
      <c r="K7" s="75" t="s">
        <v>57</v>
      </c>
      <c r="L7" s="75" t="s">
        <v>58</v>
      </c>
      <c r="M7" s="75" t="s">
        <v>59</v>
      </c>
      <c r="N7" s="75" t="s">
        <v>60</v>
      </c>
      <c r="O7" s="75" t="s">
        <v>61</v>
      </c>
      <c r="P7" s="75" t="s">
        <v>62</v>
      </c>
      <c r="Q7" s="75" t="s">
        <v>63</v>
      </c>
      <c r="R7" s="75" t="s">
        <v>64</v>
      </c>
      <c r="S7" s="75" t="s">
        <v>65</v>
      </c>
      <c r="T7" s="75" t="s">
        <v>66</v>
      </c>
      <c r="U7" s="75" t="s">
        <v>67</v>
      </c>
      <c r="V7" s="75" t="s">
        <v>68</v>
      </c>
      <c r="W7" s="75" t="s">
        <v>69</v>
      </c>
    </row>
    <row r="8" s="99" customFormat="1" ht="114" hidden="1" customHeight="1" spans="1:23">
      <c r="A8" s="89">
        <v>1</v>
      </c>
      <c r="B8" s="40" t="s">
        <v>70</v>
      </c>
      <c r="C8" s="40"/>
      <c r="D8" s="40" t="s">
        <v>71</v>
      </c>
      <c r="E8" s="51" t="s">
        <v>72</v>
      </c>
      <c r="F8" s="51" t="s">
        <v>73</v>
      </c>
      <c r="G8" s="40" t="s">
        <v>74</v>
      </c>
      <c r="H8" s="129">
        <v>20000</v>
      </c>
      <c r="I8" s="129">
        <f>H8-P8</f>
        <v>0</v>
      </c>
      <c r="J8" s="40" t="s">
        <v>75</v>
      </c>
      <c r="K8" s="40" t="s">
        <v>76</v>
      </c>
      <c r="L8" s="40"/>
      <c r="M8" s="40" t="s">
        <v>77</v>
      </c>
      <c r="N8" s="51">
        <v>43840</v>
      </c>
      <c r="O8" s="40" t="s">
        <v>78</v>
      </c>
      <c r="P8" s="131">
        <v>20000</v>
      </c>
      <c r="Q8" s="51">
        <v>43840</v>
      </c>
      <c r="R8" s="40"/>
      <c r="S8" s="129"/>
      <c r="T8" s="129"/>
      <c r="U8" s="51"/>
      <c r="V8" s="129"/>
      <c r="W8" s="67" t="s">
        <v>79</v>
      </c>
    </row>
    <row r="9" s="31" customFormat="1" ht="75" spans="1:24">
      <c r="A9" s="91">
        <v>1</v>
      </c>
      <c r="B9" s="121" t="s">
        <v>70</v>
      </c>
      <c r="C9" s="43" t="s">
        <v>80</v>
      </c>
      <c r="D9" s="43" t="s">
        <v>81</v>
      </c>
      <c r="E9" s="43">
        <v>10113</v>
      </c>
      <c r="F9" s="95">
        <v>45702</v>
      </c>
      <c r="G9" s="43" t="s">
        <v>82</v>
      </c>
      <c r="H9" s="44">
        <v>7000</v>
      </c>
      <c r="I9" s="45">
        <f>IF(X9=124,H9+SUM(S9:S9)-SUM(T9:T9)-SUM(P9:P9)-V9,0)</f>
        <v>0</v>
      </c>
      <c r="J9" s="43" t="s">
        <v>83</v>
      </c>
      <c r="K9" s="43" t="s">
        <v>84</v>
      </c>
      <c r="L9" s="43" t="s">
        <v>80</v>
      </c>
      <c r="M9" s="43" t="s">
        <v>85</v>
      </c>
      <c r="N9" s="52">
        <v>45702</v>
      </c>
      <c r="O9" s="52" t="s">
        <v>86</v>
      </c>
      <c r="P9" s="62">
        <v>7000</v>
      </c>
      <c r="Q9" s="96">
        <v>45706</v>
      </c>
      <c r="R9" s="43"/>
      <c r="S9" s="44"/>
      <c r="T9" s="44"/>
      <c r="U9" s="44"/>
      <c r="V9" s="132"/>
      <c r="W9" s="68"/>
      <c r="X9" s="31">
        <v>124</v>
      </c>
    </row>
    <row r="10" s="31" customFormat="1" ht="93.75" spans="1:24">
      <c r="A10" s="91">
        <v>2</v>
      </c>
      <c r="B10" s="121" t="s">
        <v>70</v>
      </c>
      <c r="C10" s="43" t="s">
        <v>80</v>
      </c>
      <c r="D10" s="43" t="s">
        <v>81</v>
      </c>
      <c r="E10" s="43" t="s">
        <v>87</v>
      </c>
      <c r="F10" s="95">
        <v>45692</v>
      </c>
      <c r="G10" s="43" t="s">
        <v>88</v>
      </c>
      <c r="H10" s="44">
        <v>2400</v>
      </c>
      <c r="I10" s="45">
        <f>IF(X10=125,H10+SUM(S10:S10)-SUM(T10:T10)-SUM(P10:P10)-V10,0)</f>
        <v>0</v>
      </c>
      <c r="J10" s="43" t="s">
        <v>89</v>
      </c>
      <c r="K10" s="43" t="s">
        <v>90</v>
      </c>
      <c r="L10" s="43" t="s">
        <v>80</v>
      </c>
      <c r="M10" s="43" t="s">
        <v>91</v>
      </c>
      <c r="N10" s="52">
        <v>45692</v>
      </c>
      <c r="O10" s="52" t="s">
        <v>92</v>
      </c>
      <c r="P10" s="62">
        <v>2400</v>
      </c>
      <c r="Q10" s="96">
        <v>45700</v>
      </c>
      <c r="R10" s="43"/>
      <c r="S10" s="44"/>
      <c r="T10" s="44"/>
      <c r="U10" s="44"/>
      <c r="V10" s="132"/>
      <c r="W10" s="68"/>
      <c r="X10" s="31">
        <v>125</v>
      </c>
    </row>
    <row r="11" s="31" customFormat="1" ht="56.25" spans="1:24">
      <c r="A11" s="91">
        <v>3</v>
      </c>
      <c r="B11" s="121" t="s">
        <v>70</v>
      </c>
      <c r="C11" s="43" t="s">
        <v>80</v>
      </c>
      <c r="D11" s="43" t="s">
        <v>81</v>
      </c>
      <c r="E11" s="43" t="s">
        <v>54</v>
      </c>
      <c r="F11" s="95">
        <v>45709</v>
      </c>
      <c r="G11" s="43" t="s">
        <v>93</v>
      </c>
      <c r="H11" s="44">
        <v>15490</v>
      </c>
      <c r="I11" s="45">
        <f>IF(X11=126,H11+SUM(S11:S11)-SUM(T11:T11)-SUM(P11:P11)-V11,0)</f>
        <v>0</v>
      </c>
      <c r="J11" s="43" t="s">
        <v>94</v>
      </c>
      <c r="K11" s="43" t="s">
        <v>95</v>
      </c>
      <c r="L11" s="43" t="s">
        <v>80</v>
      </c>
      <c r="M11" s="43" t="s">
        <v>96</v>
      </c>
      <c r="N11" s="52">
        <v>45709</v>
      </c>
      <c r="O11" s="52" t="s">
        <v>97</v>
      </c>
      <c r="P11" s="62">
        <v>15490</v>
      </c>
      <c r="Q11" s="96">
        <v>45714</v>
      </c>
      <c r="R11" s="43"/>
      <c r="S11" s="44"/>
      <c r="T11" s="44"/>
      <c r="U11" s="44"/>
      <c r="V11" s="132"/>
      <c r="W11" s="68"/>
      <c r="X11" s="31">
        <v>126</v>
      </c>
    </row>
    <row r="12" s="31" customFormat="1" ht="75" spans="1:24">
      <c r="A12" s="91">
        <v>4</v>
      </c>
      <c r="B12" s="121" t="s">
        <v>70</v>
      </c>
      <c r="C12" s="43" t="s">
        <v>80</v>
      </c>
      <c r="D12" s="43" t="s">
        <v>81</v>
      </c>
      <c r="E12" s="43" t="s">
        <v>98</v>
      </c>
      <c r="F12" s="95">
        <v>45748</v>
      </c>
      <c r="G12" s="43" t="s">
        <v>99</v>
      </c>
      <c r="H12" s="44">
        <v>4000</v>
      </c>
      <c r="I12" s="45">
        <f>IF(X12=127,H12+SUM(S12:S12)-SUM(T12:T12)-SUM(P12:P12)-V12,0)</f>
        <v>0</v>
      </c>
      <c r="J12" s="43" t="s">
        <v>100</v>
      </c>
      <c r="K12" s="43" t="s">
        <v>101</v>
      </c>
      <c r="L12" s="43" t="s">
        <v>80</v>
      </c>
      <c r="M12" s="43" t="s">
        <v>102</v>
      </c>
      <c r="N12" s="52">
        <v>45748</v>
      </c>
      <c r="O12" s="52" t="s">
        <v>103</v>
      </c>
      <c r="P12" s="62">
        <v>4000</v>
      </c>
      <c r="Q12" s="96">
        <v>45749</v>
      </c>
      <c r="R12" s="43"/>
      <c r="S12" s="44"/>
      <c r="T12" s="44"/>
      <c r="U12" s="44"/>
      <c r="V12" s="132"/>
      <c r="W12" s="68"/>
      <c r="X12" s="31">
        <v>127</v>
      </c>
    </row>
    <row r="13" s="31" customFormat="1" ht="75" spans="1:24">
      <c r="A13" s="91">
        <v>5</v>
      </c>
      <c r="B13" s="121" t="s">
        <v>70</v>
      </c>
      <c r="C13" s="43" t="s">
        <v>80</v>
      </c>
      <c r="D13" s="43" t="s">
        <v>81</v>
      </c>
      <c r="E13" s="43" t="s">
        <v>67</v>
      </c>
      <c r="F13" s="95">
        <v>45755</v>
      </c>
      <c r="G13" s="43" t="s">
        <v>104</v>
      </c>
      <c r="H13" s="44">
        <v>1104</v>
      </c>
      <c r="I13" s="45">
        <f>IF(X13=128,H13+SUM(S13:S13)-SUM(T13:T13)-SUM(P13:P13)-V13,0)</f>
        <v>0</v>
      </c>
      <c r="J13" s="43" t="s">
        <v>105</v>
      </c>
      <c r="K13" s="43" t="s">
        <v>106</v>
      </c>
      <c r="L13" s="43" t="s">
        <v>80</v>
      </c>
      <c r="M13" s="43" t="s">
        <v>107</v>
      </c>
      <c r="N13" s="52">
        <v>45770</v>
      </c>
      <c r="O13" s="52" t="s">
        <v>108</v>
      </c>
      <c r="P13" s="62">
        <v>1104</v>
      </c>
      <c r="Q13" s="96">
        <v>45772</v>
      </c>
      <c r="R13" s="43"/>
      <c r="S13" s="44"/>
      <c r="T13" s="44"/>
      <c r="U13" s="44"/>
      <c r="V13" s="132"/>
      <c r="W13" s="68"/>
      <c r="X13" s="31">
        <v>128</v>
      </c>
    </row>
    <row r="14" s="31" customFormat="1" ht="56.25" spans="1:24">
      <c r="A14" s="91">
        <v>6</v>
      </c>
      <c r="B14" s="121" t="s">
        <v>70</v>
      </c>
      <c r="C14" s="43" t="s">
        <v>80</v>
      </c>
      <c r="D14" s="43" t="s">
        <v>81</v>
      </c>
      <c r="E14" s="43" t="s">
        <v>109</v>
      </c>
      <c r="F14" s="52">
        <v>45754</v>
      </c>
      <c r="G14" s="43" t="s">
        <v>110</v>
      </c>
      <c r="H14" s="44">
        <v>5460</v>
      </c>
      <c r="I14" s="45">
        <f>IF(X14=129,H14+SUM(S14:S14)-SUM(T14:T14)-SUM(P14:P14)-V14,0)</f>
        <v>0</v>
      </c>
      <c r="J14" s="43" t="s">
        <v>111</v>
      </c>
      <c r="K14" s="43" t="s">
        <v>112</v>
      </c>
      <c r="L14" s="43" t="s">
        <v>80</v>
      </c>
      <c r="M14" s="43" t="s">
        <v>113</v>
      </c>
      <c r="N14" s="52">
        <v>45756</v>
      </c>
      <c r="O14" s="52" t="s">
        <v>97</v>
      </c>
      <c r="P14" s="62">
        <v>5460</v>
      </c>
      <c r="Q14" s="96">
        <v>45756</v>
      </c>
      <c r="R14" s="43"/>
      <c r="S14" s="44"/>
      <c r="T14" s="44"/>
      <c r="U14" s="44"/>
      <c r="V14" s="132"/>
      <c r="W14" s="68"/>
      <c r="X14" s="31">
        <v>129</v>
      </c>
    </row>
    <row r="15" s="31" customFormat="1" ht="75" spans="1:24">
      <c r="A15" s="91">
        <v>7</v>
      </c>
      <c r="B15" s="121" t="s">
        <v>70</v>
      </c>
      <c r="C15" s="43" t="s">
        <v>80</v>
      </c>
      <c r="D15" s="43" t="s">
        <v>81</v>
      </c>
      <c r="E15" s="43" t="s">
        <v>114</v>
      </c>
      <c r="F15" s="52">
        <v>45762</v>
      </c>
      <c r="G15" s="43" t="s">
        <v>115</v>
      </c>
      <c r="H15" s="44">
        <v>3200</v>
      </c>
      <c r="I15" s="45">
        <f>IF(X15=131,H15+SUM(S15:S15)-SUM(T15:T15)-SUM(P15:P15)-V15,0)</f>
        <v>0</v>
      </c>
      <c r="J15" s="43" t="s">
        <v>116</v>
      </c>
      <c r="K15" s="43" t="s">
        <v>117</v>
      </c>
      <c r="L15" s="43" t="s">
        <v>80</v>
      </c>
      <c r="M15" s="43" t="s">
        <v>118</v>
      </c>
      <c r="N15" s="52">
        <v>45762</v>
      </c>
      <c r="O15" s="52" t="s">
        <v>119</v>
      </c>
      <c r="P15" s="62">
        <v>3200</v>
      </c>
      <c r="Q15" s="96">
        <v>45763</v>
      </c>
      <c r="R15" s="43"/>
      <c r="S15" s="44"/>
      <c r="T15" s="44"/>
      <c r="U15" s="44"/>
      <c r="V15" s="132"/>
      <c r="W15" s="68"/>
      <c r="X15" s="31">
        <v>131</v>
      </c>
    </row>
    <row r="16" s="31" customFormat="1" ht="75" spans="1:24">
      <c r="A16" s="91">
        <v>8</v>
      </c>
      <c r="B16" s="121" t="s">
        <v>70</v>
      </c>
      <c r="C16" s="43" t="s">
        <v>80</v>
      </c>
      <c r="D16" s="43" t="s">
        <v>81</v>
      </c>
      <c r="E16" s="43" t="s">
        <v>120</v>
      </c>
      <c r="F16" s="52">
        <v>45783</v>
      </c>
      <c r="G16" s="43" t="s">
        <v>121</v>
      </c>
      <c r="H16" s="44">
        <v>8000</v>
      </c>
      <c r="I16" s="45">
        <f>IF(X16=132,H16+SUM(S16:S16)-SUM(T16:T16)-SUM(P16:P16)-V16,0)</f>
        <v>0</v>
      </c>
      <c r="J16" s="43" t="s">
        <v>122</v>
      </c>
      <c r="K16" s="43" t="s">
        <v>123</v>
      </c>
      <c r="L16" s="43" t="s">
        <v>80</v>
      </c>
      <c r="M16" s="43" t="s">
        <v>124</v>
      </c>
      <c r="N16" s="52">
        <v>45783</v>
      </c>
      <c r="O16" s="52" t="s">
        <v>125</v>
      </c>
      <c r="P16" s="62">
        <v>8000</v>
      </c>
      <c r="Q16" s="96">
        <v>45789</v>
      </c>
      <c r="R16" s="43"/>
      <c r="S16" s="44"/>
      <c r="T16" s="44"/>
      <c r="U16" s="44"/>
      <c r="V16" s="132"/>
      <c r="W16" s="68"/>
      <c r="X16" s="31">
        <v>132</v>
      </c>
    </row>
    <row r="17" s="31" customFormat="1" ht="75" spans="1:24">
      <c r="A17" s="91">
        <v>9</v>
      </c>
      <c r="B17" s="121" t="s">
        <v>70</v>
      </c>
      <c r="C17" s="43" t="s">
        <v>80</v>
      </c>
      <c r="D17" s="43" t="s">
        <v>81</v>
      </c>
      <c r="E17" s="43" t="s">
        <v>126</v>
      </c>
      <c r="F17" s="52">
        <v>45789</v>
      </c>
      <c r="G17" s="43" t="s">
        <v>127</v>
      </c>
      <c r="H17" s="44">
        <v>8000</v>
      </c>
      <c r="I17" s="45">
        <f>IF(X17=134,H17+SUM(S17:S17)-SUM(T17:T17)-SUM(P17:P17)-V17,0)</f>
        <v>0</v>
      </c>
      <c r="J17" s="43" t="s">
        <v>128</v>
      </c>
      <c r="K17" s="43" t="s">
        <v>129</v>
      </c>
      <c r="L17" s="43" t="s">
        <v>80</v>
      </c>
      <c r="M17" s="43" t="s">
        <v>130</v>
      </c>
      <c r="N17" s="52">
        <v>45800</v>
      </c>
      <c r="O17" s="52" t="s">
        <v>125</v>
      </c>
      <c r="P17" s="62">
        <v>8000</v>
      </c>
      <c r="Q17" s="96">
        <v>45814</v>
      </c>
      <c r="R17" s="43"/>
      <c r="S17" s="44"/>
      <c r="T17" s="44"/>
      <c r="U17" s="44"/>
      <c r="V17" s="132"/>
      <c r="W17" s="68"/>
      <c r="X17" s="31">
        <v>134</v>
      </c>
    </row>
    <row r="18" s="31" customFormat="1" ht="75" spans="1:24">
      <c r="A18" s="91">
        <v>10</v>
      </c>
      <c r="B18" s="121" t="s">
        <v>70</v>
      </c>
      <c r="C18" s="43" t="s">
        <v>80</v>
      </c>
      <c r="D18" s="43" t="s">
        <v>81</v>
      </c>
      <c r="E18" s="43" t="s">
        <v>131</v>
      </c>
      <c r="F18" s="52">
        <v>45789</v>
      </c>
      <c r="G18" s="43" t="s">
        <v>132</v>
      </c>
      <c r="H18" s="44">
        <v>8000</v>
      </c>
      <c r="I18" s="45">
        <f>IF(X18=135,H18+SUM(S18:S18)-SUM(T18:T18)-SUM(P18:P18)-V18,0)</f>
        <v>0</v>
      </c>
      <c r="J18" s="43" t="s">
        <v>133</v>
      </c>
      <c r="K18" s="43" t="s">
        <v>134</v>
      </c>
      <c r="L18" s="43" t="s">
        <v>80</v>
      </c>
      <c r="M18" s="43" t="s">
        <v>135</v>
      </c>
      <c r="N18" s="52">
        <v>45800</v>
      </c>
      <c r="O18" s="52" t="s">
        <v>125</v>
      </c>
      <c r="P18" s="62">
        <v>8000</v>
      </c>
      <c r="Q18" s="96">
        <v>45800</v>
      </c>
      <c r="R18" s="43"/>
      <c r="S18" s="44"/>
      <c r="T18" s="44"/>
      <c r="U18" s="44"/>
      <c r="V18" s="132"/>
      <c r="W18" s="68"/>
      <c r="X18" s="31">
        <v>135</v>
      </c>
    </row>
    <row r="19" s="31" customFormat="1" ht="75" spans="1:24">
      <c r="A19" s="91">
        <v>11</v>
      </c>
      <c r="B19" s="121" t="s">
        <v>70</v>
      </c>
      <c r="C19" s="43" t="s">
        <v>80</v>
      </c>
      <c r="D19" s="43" t="s">
        <v>81</v>
      </c>
      <c r="E19" s="43" t="s">
        <v>67</v>
      </c>
      <c r="F19" s="52">
        <v>45790</v>
      </c>
      <c r="G19" s="43" t="s">
        <v>136</v>
      </c>
      <c r="H19" s="44">
        <v>12000</v>
      </c>
      <c r="I19" s="45">
        <f>IF(X19=136,H19+SUM(S19:S19)-SUM(T19:T19)-SUM(P19:P19)-V19,0)</f>
        <v>0</v>
      </c>
      <c r="J19" s="43" t="s">
        <v>137</v>
      </c>
      <c r="K19" s="43" t="s">
        <v>138</v>
      </c>
      <c r="L19" s="43" t="s">
        <v>80</v>
      </c>
      <c r="M19" s="43" t="s">
        <v>139</v>
      </c>
      <c r="N19" s="52">
        <v>45793</v>
      </c>
      <c r="O19" s="52" t="s">
        <v>125</v>
      </c>
      <c r="P19" s="62">
        <v>12000</v>
      </c>
      <c r="Q19" s="96">
        <v>45798</v>
      </c>
      <c r="R19" s="43"/>
      <c r="S19" s="44"/>
      <c r="T19" s="44"/>
      <c r="U19" s="44"/>
      <c r="V19" s="132"/>
      <c r="W19" s="68"/>
      <c r="X19" s="31">
        <v>136</v>
      </c>
    </row>
    <row r="20" s="31" customFormat="1" ht="75" spans="1:24">
      <c r="A20" s="91">
        <v>12</v>
      </c>
      <c r="B20" s="121" t="s">
        <v>70</v>
      </c>
      <c r="C20" s="43" t="s">
        <v>80</v>
      </c>
      <c r="D20" s="43" t="s">
        <v>81</v>
      </c>
      <c r="E20" s="43" t="s">
        <v>140</v>
      </c>
      <c r="F20" s="52">
        <v>45803</v>
      </c>
      <c r="G20" s="43" t="s">
        <v>141</v>
      </c>
      <c r="H20" s="44">
        <v>800</v>
      </c>
      <c r="I20" s="45">
        <f>IF(X20=137,H20+SUM(S20:S20)-SUM(T20:T20)-SUM(P20:P20)-V20,0)</f>
        <v>0</v>
      </c>
      <c r="J20" s="43" t="s">
        <v>142</v>
      </c>
      <c r="K20" s="43" t="s">
        <v>143</v>
      </c>
      <c r="L20" s="43" t="s">
        <v>80</v>
      </c>
      <c r="M20" s="43" t="s">
        <v>144</v>
      </c>
      <c r="N20" s="52">
        <v>45810</v>
      </c>
      <c r="O20" s="52" t="s">
        <v>125</v>
      </c>
      <c r="P20" s="62">
        <v>800</v>
      </c>
      <c r="Q20" s="96">
        <v>45810</v>
      </c>
      <c r="R20" s="43"/>
      <c r="S20" s="44"/>
      <c r="T20" s="44"/>
      <c r="U20" s="44"/>
      <c r="V20" s="132"/>
      <c r="W20" s="68"/>
      <c r="X20" s="31">
        <v>137</v>
      </c>
    </row>
    <row r="21" s="31" customFormat="1" ht="72" customHeight="1" spans="1:24">
      <c r="A21" s="91">
        <v>13</v>
      </c>
      <c r="B21" s="121" t="s">
        <v>70</v>
      </c>
      <c r="C21" s="43" t="s">
        <v>80</v>
      </c>
      <c r="D21" s="43" t="s">
        <v>81</v>
      </c>
      <c r="E21" s="43" t="s">
        <v>145</v>
      </c>
      <c r="F21" s="95">
        <v>45839</v>
      </c>
      <c r="G21" s="43" t="s">
        <v>146</v>
      </c>
      <c r="H21" s="44">
        <v>88250.76</v>
      </c>
      <c r="I21" s="45">
        <f>IF(X21=138,H21+SUM(S21:S22)-SUM(T21:T22)-SUM(P21:P22)-V21,0)</f>
        <v>-7.27595761418343e-12</v>
      </c>
      <c r="J21" s="43" t="s">
        <v>147</v>
      </c>
      <c r="K21" s="43" t="s">
        <v>148</v>
      </c>
      <c r="L21" s="43" t="s">
        <v>80</v>
      </c>
      <c r="M21" s="43" t="s">
        <v>149</v>
      </c>
      <c r="N21" s="52">
        <v>45900</v>
      </c>
      <c r="O21" s="52" t="s">
        <v>150</v>
      </c>
      <c r="P21" s="62">
        <v>6589</v>
      </c>
      <c r="Q21" s="96">
        <v>45911</v>
      </c>
      <c r="R21" s="43"/>
      <c r="S21" s="44"/>
      <c r="T21" s="44"/>
      <c r="U21" s="44" t="s">
        <v>151</v>
      </c>
      <c r="V21" s="132">
        <v>52685.76</v>
      </c>
      <c r="W21" s="68"/>
      <c r="X21" s="31">
        <v>138</v>
      </c>
    </row>
    <row r="22" s="32" customFormat="1" spans="1:24">
      <c r="A22" s="91"/>
      <c r="B22" s="121"/>
      <c r="C22" s="43"/>
      <c r="D22" s="43"/>
      <c r="E22" s="43"/>
      <c r="F22" s="95"/>
      <c r="G22" s="43"/>
      <c r="H22" s="44"/>
      <c r="I22" s="45"/>
      <c r="J22" s="43"/>
      <c r="K22" s="43"/>
      <c r="L22" s="43"/>
      <c r="M22" s="43"/>
      <c r="N22" s="63">
        <v>45930</v>
      </c>
      <c r="O22" s="52"/>
      <c r="P22" s="62">
        <v>28976</v>
      </c>
      <c r="Q22" s="98">
        <v>45937</v>
      </c>
      <c r="R22" s="64"/>
      <c r="S22" s="69"/>
      <c r="T22" s="69"/>
      <c r="U22" s="44"/>
      <c r="V22" s="132"/>
      <c r="W22" s="68"/>
      <c r="X22" s="32">
        <v>138</v>
      </c>
    </row>
    <row r="23" s="31" customFormat="1" ht="75" spans="1:24">
      <c r="A23" s="91">
        <v>14</v>
      </c>
      <c r="B23" s="121" t="s">
        <v>70</v>
      </c>
      <c r="C23" s="43" t="s">
        <v>80</v>
      </c>
      <c r="D23" s="43" t="s">
        <v>81</v>
      </c>
      <c r="E23" s="43" t="s">
        <v>152</v>
      </c>
      <c r="F23" s="52">
        <v>45800</v>
      </c>
      <c r="G23" s="43" t="s">
        <v>153</v>
      </c>
      <c r="H23" s="44">
        <v>130080</v>
      </c>
      <c r="I23" s="45">
        <f>IF(X23=139,H23+SUM(S23:S23)-SUM(T23:T23)-SUM(P23:P23)-V23,0)</f>
        <v>0</v>
      </c>
      <c r="J23" s="43" t="s">
        <v>154</v>
      </c>
      <c r="K23" s="43" t="s">
        <v>155</v>
      </c>
      <c r="L23" s="43" t="s">
        <v>80</v>
      </c>
      <c r="M23" s="43" t="s">
        <v>156</v>
      </c>
      <c r="N23" s="52">
        <v>45824</v>
      </c>
      <c r="O23" s="52" t="s">
        <v>125</v>
      </c>
      <c r="P23" s="62">
        <v>130080</v>
      </c>
      <c r="Q23" s="96">
        <v>45834</v>
      </c>
      <c r="R23" s="43"/>
      <c r="S23" s="44"/>
      <c r="T23" s="44"/>
      <c r="U23" s="44"/>
      <c r="V23" s="132"/>
      <c r="W23" s="68"/>
      <c r="X23" s="31">
        <v>139</v>
      </c>
    </row>
    <row r="24" s="31" customFormat="1" ht="75" spans="1:24">
      <c r="A24" s="91">
        <v>15</v>
      </c>
      <c r="B24" s="121" t="s">
        <v>70</v>
      </c>
      <c r="C24" s="43" t="s">
        <v>80</v>
      </c>
      <c r="D24" s="43" t="s">
        <v>81</v>
      </c>
      <c r="E24" s="43" t="s">
        <v>157</v>
      </c>
      <c r="F24" s="52">
        <v>45810</v>
      </c>
      <c r="G24" s="43" t="s">
        <v>158</v>
      </c>
      <c r="H24" s="44">
        <v>2454</v>
      </c>
      <c r="I24" s="45">
        <f>IF(X24=140,H24+SUM(S24:S24)-SUM(T24:T24)-SUM(P24:P24)-V24,0)</f>
        <v>0</v>
      </c>
      <c r="J24" s="43" t="s">
        <v>159</v>
      </c>
      <c r="K24" s="43" t="s">
        <v>160</v>
      </c>
      <c r="L24" s="43" t="s">
        <v>80</v>
      </c>
      <c r="M24" s="43" t="s">
        <v>161</v>
      </c>
      <c r="N24" s="52">
        <v>45818</v>
      </c>
      <c r="O24" s="52" t="s">
        <v>162</v>
      </c>
      <c r="P24" s="62">
        <v>2454</v>
      </c>
      <c r="Q24" s="96">
        <v>45818</v>
      </c>
      <c r="R24" s="43"/>
      <c r="S24" s="44"/>
      <c r="T24" s="44"/>
      <c r="U24" s="44"/>
      <c r="V24" s="132"/>
      <c r="W24" s="68"/>
      <c r="X24" s="31">
        <v>140</v>
      </c>
    </row>
    <row r="25" s="31" customFormat="1" ht="75" spans="1:24">
      <c r="A25" s="91">
        <v>16</v>
      </c>
      <c r="B25" s="121" t="s">
        <v>70</v>
      </c>
      <c r="C25" s="43" t="s">
        <v>80</v>
      </c>
      <c r="D25" s="43" t="s">
        <v>81</v>
      </c>
      <c r="E25" s="43" t="s">
        <v>163</v>
      </c>
      <c r="F25" s="52">
        <v>45792</v>
      </c>
      <c r="G25" s="43" t="s">
        <v>164</v>
      </c>
      <c r="H25" s="44">
        <v>18720</v>
      </c>
      <c r="I25" s="45">
        <f>IF(X25=141,H25+SUM(S25:S25)-SUM(T25:T25)-SUM(P25:P25)-V25,0)</f>
        <v>0</v>
      </c>
      <c r="J25" s="43" t="s">
        <v>159</v>
      </c>
      <c r="K25" s="43" t="s">
        <v>160</v>
      </c>
      <c r="L25" s="43" t="s">
        <v>80</v>
      </c>
      <c r="M25" s="43" t="s">
        <v>165</v>
      </c>
      <c r="N25" s="52">
        <v>45884</v>
      </c>
      <c r="O25" s="52" t="s">
        <v>125</v>
      </c>
      <c r="P25" s="62">
        <v>18720</v>
      </c>
      <c r="Q25" s="96">
        <v>45898</v>
      </c>
      <c r="R25" s="43"/>
      <c r="S25" s="44"/>
      <c r="T25" s="44"/>
      <c r="U25" s="44"/>
      <c r="V25" s="132"/>
      <c r="W25" s="68"/>
      <c r="X25" s="31">
        <v>141</v>
      </c>
    </row>
    <row r="26" s="31" customFormat="1" ht="75" spans="1:24">
      <c r="A26" s="91">
        <v>17</v>
      </c>
      <c r="B26" s="121" t="s">
        <v>70</v>
      </c>
      <c r="C26" s="43" t="s">
        <v>80</v>
      </c>
      <c r="D26" s="43" t="s">
        <v>81</v>
      </c>
      <c r="E26" s="43" t="s">
        <v>166</v>
      </c>
      <c r="F26" s="52">
        <v>45824</v>
      </c>
      <c r="G26" s="43" t="s">
        <v>164</v>
      </c>
      <c r="H26" s="44">
        <v>73590</v>
      </c>
      <c r="I26" s="45">
        <f>IF(X26=142,H26+SUM(S26:S26)-SUM(T26:T26)-SUM(P26:P26)-V26,0)</f>
        <v>0</v>
      </c>
      <c r="J26" s="43" t="s">
        <v>159</v>
      </c>
      <c r="K26" s="43" t="s">
        <v>160</v>
      </c>
      <c r="L26" s="43" t="s">
        <v>80</v>
      </c>
      <c r="M26" s="43" t="s">
        <v>167</v>
      </c>
      <c r="N26" s="52">
        <v>45861</v>
      </c>
      <c r="O26" s="52" t="s">
        <v>162</v>
      </c>
      <c r="P26" s="62">
        <v>73590</v>
      </c>
      <c r="Q26" s="96">
        <v>45867</v>
      </c>
      <c r="R26" s="43"/>
      <c r="S26" s="44"/>
      <c r="T26" s="44"/>
      <c r="U26" s="44"/>
      <c r="V26" s="132"/>
      <c r="W26" s="68"/>
      <c r="X26" s="31">
        <v>142</v>
      </c>
    </row>
    <row r="27" s="31" customFormat="1" ht="75" spans="1:24">
      <c r="A27" s="91">
        <v>18</v>
      </c>
      <c r="B27" s="121" t="s">
        <v>70</v>
      </c>
      <c r="C27" s="43" t="s">
        <v>80</v>
      </c>
      <c r="D27" s="43" t="s">
        <v>81</v>
      </c>
      <c r="E27" s="43" t="s">
        <v>168</v>
      </c>
      <c r="F27" s="52">
        <v>45824</v>
      </c>
      <c r="G27" s="43" t="s">
        <v>164</v>
      </c>
      <c r="H27" s="44">
        <v>7342</v>
      </c>
      <c r="I27" s="45">
        <f>IF(X27=143,H27+SUM(S27:S27)-SUM(T27:T27)-SUM(P27:P27)-V27,0)</f>
        <v>0</v>
      </c>
      <c r="J27" s="43" t="s">
        <v>159</v>
      </c>
      <c r="K27" s="43" t="s">
        <v>160</v>
      </c>
      <c r="L27" s="43" t="s">
        <v>80</v>
      </c>
      <c r="M27" s="43" t="s">
        <v>167</v>
      </c>
      <c r="N27" s="52">
        <v>45861</v>
      </c>
      <c r="O27" s="52" t="s">
        <v>162</v>
      </c>
      <c r="P27" s="62">
        <v>7342</v>
      </c>
      <c r="Q27" s="96">
        <v>45867</v>
      </c>
      <c r="R27" s="43"/>
      <c r="S27" s="44"/>
      <c r="T27" s="44"/>
      <c r="U27" s="44"/>
      <c r="V27" s="132"/>
      <c r="W27" s="68"/>
      <c r="X27" s="31">
        <v>143</v>
      </c>
    </row>
    <row r="28" s="31" customFormat="1" ht="75" spans="1:24">
      <c r="A28" s="91">
        <v>19</v>
      </c>
      <c r="B28" s="121" t="s">
        <v>70</v>
      </c>
      <c r="C28" s="43" t="s">
        <v>80</v>
      </c>
      <c r="D28" s="43" t="s">
        <v>81</v>
      </c>
      <c r="E28" s="43" t="s">
        <v>169</v>
      </c>
      <c r="F28" s="52">
        <v>45813</v>
      </c>
      <c r="G28" s="43" t="s">
        <v>170</v>
      </c>
      <c r="H28" s="44">
        <v>13600</v>
      </c>
      <c r="I28" s="45">
        <f>IF(X28=144,H28+SUM(S28:S28)-SUM(T28:T28)-SUM(P28:P28)-V28,0)</f>
        <v>0</v>
      </c>
      <c r="J28" s="43" t="s">
        <v>171</v>
      </c>
      <c r="K28" s="43" t="s">
        <v>172</v>
      </c>
      <c r="L28" s="43" t="s">
        <v>80</v>
      </c>
      <c r="M28" s="43" t="s">
        <v>173</v>
      </c>
      <c r="N28" s="52">
        <v>45838</v>
      </c>
      <c r="O28" s="52" t="s">
        <v>174</v>
      </c>
      <c r="P28" s="62">
        <v>13600</v>
      </c>
      <c r="Q28" s="96">
        <v>45841</v>
      </c>
      <c r="R28" s="43"/>
      <c r="S28" s="44"/>
      <c r="T28" s="44"/>
      <c r="U28" s="44"/>
      <c r="V28" s="132"/>
      <c r="W28" s="68"/>
      <c r="X28" s="31">
        <v>144</v>
      </c>
    </row>
    <row r="29" s="31" customFormat="1" ht="75" spans="1:24">
      <c r="A29" s="91">
        <v>20</v>
      </c>
      <c r="B29" s="121" t="s">
        <v>70</v>
      </c>
      <c r="C29" s="43" t="s">
        <v>80</v>
      </c>
      <c r="D29" s="43" t="s">
        <v>81</v>
      </c>
      <c r="E29" s="43" t="s">
        <v>175</v>
      </c>
      <c r="F29" s="95">
        <v>45839</v>
      </c>
      <c r="G29" s="43" t="s">
        <v>176</v>
      </c>
      <c r="H29" s="44">
        <v>21804</v>
      </c>
      <c r="I29" s="45">
        <f>IF(X29=145,H29+SUM(S29:S29)-SUM(T29:T29)-SUM(P29:P29)-V29,0)</f>
        <v>0</v>
      </c>
      <c r="J29" s="43" t="s">
        <v>177</v>
      </c>
      <c r="K29" s="43" t="s">
        <v>178</v>
      </c>
      <c r="L29" s="43" t="s">
        <v>80</v>
      </c>
      <c r="M29" s="121" t="s">
        <v>179</v>
      </c>
      <c r="N29" s="52">
        <v>45845</v>
      </c>
      <c r="O29" s="52" t="s">
        <v>180</v>
      </c>
      <c r="P29" s="62">
        <v>21804</v>
      </c>
      <c r="Q29" s="96">
        <v>45846</v>
      </c>
      <c r="R29" s="43"/>
      <c r="S29" s="44"/>
      <c r="T29" s="44"/>
      <c r="U29" s="44"/>
      <c r="V29" s="132"/>
      <c r="W29" s="68"/>
      <c r="X29" s="31">
        <v>145</v>
      </c>
    </row>
    <row r="30" s="31" customFormat="1" ht="75" spans="1:24">
      <c r="A30" s="91">
        <v>21</v>
      </c>
      <c r="B30" s="121" t="s">
        <v>70</v>
      </c>
      <c r="C30" s="43" t="s">
        <v>80</v>
      </c>
      <c r="D30" s="43" t="s">
        <v>81</v>
      </c>
      <c r="E30" s="43" t="s">
        <v>181</v>
      </c>
      <c r="F30" s="95">
        <v>45846</v>
      </c>
      <c r="G30" s="43" t="s">
        <v>182</v>
      </c>
      <c r="H30" s="44">
        <v>36249</v>
      </c>
      <c r="I30" s="45">
        <f>IF(X30=146,H30+SUM(S30:S30)-SUM(T30:T30)-SUM(P30:P30)-V30,0)</f>
        <v>0</v>
      </c>
      <c r="J30" s="43" t="s">
        <v>183</v>
      </c>
      <c r="K30" s="43" t="s">
        <v>184</v>
      </c>
      <c r="L30" s="43" t="s">
        <v>80</v>
      </c>
      <c r="M30" s="43" t="s">
        <v>124</v>
      </c>
      <c r="N30" s="52">
        <v>45846</v>
      </c>
      <c r="O30" s="52" t="s">
        <v>180</v>
      </c>
      <c r="P30" s="62">
        <v>36249</v>
      </c>
      <c r="Q30" s="96">
        <v>45853</v>
      </c>
      <c r="R30" s="43"/>
      <c r="S30" s="44"/>
      <c r="T30" s="44"/>
      <c r="U30" s="44"/>
      <c r="V30" s="132"/>
      <c r="W30" s="68"/>
      <c r="X30" s="31">
        <v>146</v>
      </c>
    </row>
    <row r="31" s="31" customFormat="1" ht="75" spans="1:24">
      <c r="A31" s="91">
        <v>22</v>
      </c>
      <c r="B31" s="121" t="s">
        <v>70</v>
      </c>
      <c r="C31" s="43" t="s">
        <v>80</v>
      </c>
      <c r="D31" s="43" t="s">
        <v>81</v>
      </c>
      <c r="E31" s="43" t="s">
        <v>185</v>
      </c>
      <c r="F31" s="95">
        <v>45852</v>
      </c>
      <c r="G31" s="43" t="s">
        <v>186</v>
      </c>
      <c r="H31" s="44">
        <v>8457.47</v>
      </c>
      <c r="I31" s="45">
        <f>IF(X31=147,H31+SUM(S31:S31)-SUM(T31:T31)-SUM(P31:P31)-V31,0)</f>
        <v>0</v>
      </c>
      <c r="J31" s="43" t="s">
        <v>187</v>
      </c>
      <c r="K31" s="43" t="s">
        <v>188</v>
      </c>
      <c r="L31" s="43" t="s">
        <v>80</v>
      </c>
      <c r="M31" s="43" t="s">
        <v>189</v>
      </c>
      <c r="N31" s="52">
        <v>45852</v>
      </c>
      <c r="O31" s="52" t="s">
        <v>180</v>
      </c>
      <c r="P31" s="62">
        <v>8457.47</v>
      </c>
      <c r="Q31" s="96">
        <v>45859</v>
      </c>
      <c r="R31" s="43"/>
      <c r="S31" s="44"/>
      <c r="T31" s="44"/>
      <c r="U31" s="44"/>
      <c r="V31" s="132"/>
      <c r="W31" s="68"/>
      <c r="X31" s="31">
        <v>147</v>
      </c>
    </row>
    <row r="32" s="31" customFormat="1" ht="75" spans="1:24">
      <c r="A32" s="91">
        <v>23</v>
      </c>
      <c r="B32" s="121" t="s">
        <v>70</v>
      </c>
      <c r="C32" s="43" t="s">
        <v>80</v>
      </c>
      <c r="D32" s="43" t="s">
        <v>81</v>
      </c>
      <c r="E32" s="43" t="s">
        <v>190</v>
      </c>
      <c r="F32" s="95">
        <v>45861</v>
      </c>
      <c r="G32" s="43" t="s">
        <v>191</v>
      </c>
      <c r="H32" s="44">
        <v>40301</v>
      </c>
      <c r="I32" s="45">
        <f>IF(X32=148,H32+SUM(S32:S32)-SUM(T32:T32)-SUM(P32:P32)-V32,0)</f>
        <v>0</v>
      </c>
      <c r="J32" s="43" t="s">
        <v>192</v>
      </c>
      <c r="K32" s="43" t="s">
        <v>193</v>
      </c>
      <c r="L32" s="43" t="s">
        <v>80</v>
      </c>
      <c r="M32" s="43" t="s">
        <v>194</v>
      </c>
      <c r="N32" s="52">
        <v>45861</v>
      </c>
      <c r="O32" s="52" t="s">
        <v>150</v>
      </c>
      <c r="P32" s="62">
        <v>40301</v>
      </c>
      <c r="Q32" s="96">
        <v>45866</v>
      </c>
      <c r="R32" s="43"/>
      <c r="S32" s="44"/>
      <c r="T32" s="44"/>
      <c r="U32" s="44"/>
      <c r="V32" s="132"/>
      <c r="W32" s="68"/>
      <c r="X32" s="31">
        <v>148</v>
      </c>
    </row>
    <row r="33" s="31" customFormat="1" ht="56.25" spans="1:24">
      <c r="A33" s="91">
        <v>24</v>
      </c>
      <c r="B33" s="121" t="s">
        <v>70</v>
      </c>
      <c r="C33" s="43" t="s">
        <v>80</v>
      </c>
      <c r="D33" s="43" t="s">
        <v>81</v>
      </c>
      <c r="E33" s="43" t="s">
        <v>195</v>
      </c>
      <c r="F33" s="95">
        <v>45859</v>
      </c>
      <c r="G33" s="43" t="s">
        <v>196</v>
      </c>
      <c r="H33" s="44">
        <v>1000</v>
      </c>
      <c r="I33" s="45">
        <f>IF(X33=149,H33+SUM(S33:S33)-SUM(T33:T33)-SUM(P33:P33)-V33,0)</f>
        <v>0</v>
      </c>
      <c r="J33" s="43" t="s">
        <v>197</v>
      </c>
      <c r="K33" s="43" t="s">
        <v>198</v>
      </c>
      <c r="L33" s="43" t="s">
        <v>80</v>
      </c>
      <c r="M33" s="43" t="s">
        <v>199</v>
      </c>
      <c r="N33" s="52">
        <v>45859</v>
      </c>
      <c r="O33" s="52" t="s">
        <v>200</v>
      </c>
      <c r="P33" s="62">
        <v>1000</v>
      </c>
      <c r="Q33" s="96">
        <v>45867</v>
      </c>
      <c r="R33" s="43"/>
      <c r="S33" s="44"/>
      <c r="T33" s="44"/>
      <c r="U33" s="44"/>
      <c r="V33" s="132"/>
      <c r="W33" s="68"/>
      <c r="X33" s="31">
        <v>149</v>
      </c>
    </row>
    <row r="34" s="31" customFormat="1" ht="56.25" spans="1:24">
      <c r="A34" s="91">
        <v>25</v>
      </c>
      <c r="B34" s="121" t="s">
        <v>70</v>
      </c>
      <c r="C34" s="43" t="s">
        <v>80</v>
      </c>
      <c r="D34" s="43" t="s">
        <v>81</v>
      </c>
      <c r="E34" s="43" t="s">
        <v>201</v>
      </c>
      <c r="F34" s="95">
        <v>45860</v>
      </c>
      <c r="G34" s="43" t="s">
        <v>99</v>
      </c>
      <c r="H34" s="44">
        <v>4950</v>
      </c>
      <c r="I34" s="45">
        <f>IF(X34=150,H34+SUM(S34:S34)-SUM(T34:T34)-SUM(P34:P34)-V34,0)</f>
        <v>0</v>
      </c>
      <c r="J34" s="43" t="s">
        <v>202</v>
      </c>
      <c r="K34" s="43" t="s">
        <v>203</v>
      </c>
      <c r="L34" s="43" t="s">
        <v>80</v>
      </c>
      <c r="M34" s="43" t="s">
        <v>204</v>
      </c>
      <c r="N34" s="52">
        <v>45860</v>
      </c>
      <c r="O34" s="52" t="s">
        <v>200</v>
      </c>
      <c r="P34" s="62">
        <v>4950</v>
      </c>
      <c r="Q34" s="96">
        <v>45867</v>
      </c>
      <c r="R34" s="43"/>
      <c r="S34" s="44"/>
      <c r="T34" s="44"/>
      <c r="U34" s="44"/>
      <c r="V34" s="132"/>
      <c r="W34" s="68"/>
      <c r="X34" s="31">
        <v>150</v>
      </c>
    </row>
    <row r="35" s="31" customFormat="1" ht="75" spans="1:24">
      <c r="A35" s="91">
        <v>26</v>
      </c>
      <c r="B35" s="121" t="s">
        <v>70</v>
      </c>
      <c r="C35" s="43" t="s">
        <v>80</v>
      </c>
      <c r="D35" s="43" t="s">
        <v>81</v>
      </c>
      <c r="E35" s="43" t="s">
        <v>205</v>
      </c>
      <c r="F35" s="95">
        <v>45873</v>
      </c>
      <c r="G35" s="43" t="s">
        <v>206</v>
      </c>
      <c r="H35" s="44">
        <v>7039.05</v>
      </c>
      <c r="I35" s="45">
        <f>IF(X35=151,H35+SUM(S35:S35)-SUM(T35:T35)-SUM(P35:P35)-V35,0)</f>
        <v>0</v>
      </c>
      <c r="J35" s="43" t="s">
        <v>207</v>
      </c>
      <c r="K35" s="43" t="s">
        <v>208</v>
      </c>
      <c r="L35" s="43" t="s">
        <v>80</v>
      </c>
      <c r="M35" s="43" t="s">
        <v>209</v>
      </c>
      <c r="N35" s="52">
        <v>45873</v>
      </c>
      <c r="O35" s="52" t="s">
        <v>200</v>
      </c>
      <c r="P35" s="62">
        <v>7039.05</v>
      </c>
      <c r="Q35" s="96">
        <v>45880</v>
      </c>
      <c r="R35" s="43"/>
      <c r="S35" s="44"/>
      <c r="T35" s="44"/>
      <c r="U35" s="44"/>
      <c r="V35" s="132"/>
      <c r="W35" s="68"/>
      <c r="X35" s="31">
        <v>151</v>
      </c>
    </row>
    <row r="36" s="31" customFormat="1" ht="187.5" spans="1:24">
      <c r="A36" s="91">
        <v>27</v>
      </c>
      <c r="B36" s="121" t="s">
        <v>70</v>
      </c>
      <c r="C36" s="43" t="s">
        <v>80</v>
      </c>
      <c r="D36" s="43" t="s">
        <v>81</v>
      </c>
      <c r="E36" s="43" t="s">
        <v>47</v>
      </c>
      <c r="F36" s="95">
        <v>45874</v>
      </c>
      <c r="G36" s="43" t="s">
        <v>210</v>
      </c>
      <c r="H36" s="44">
        <v>33000</v>
      </c>
      <c r="I36" s="45">
        <f>IF(X36=152,H36+SUM(S36:S36)-SUM(T36:T36)-SUM(P36:P36)-V36,0)</f>
        <v>0</v>
      </c>
      <c r="J36" s="43" t="s">
        <v>211</v>
      </c>
      <c r="K36" s="43" t="s">
        <v>212</v>
      </c>
      <c r="L36" s="43" t="s">
        <v>80</v>
      </c>
      <c r="M36" s="43" t="s">
        <v>213</v>
      </c>
      <c r="N36" s="52">
        <v>45874</v>
      </c>
      <c r="O36" s="52" t="s">
        <v>200</v>
      </c>
      <c r="P36" s="62">
        <v>33000</v>
      </c>
      <c r="Q36" s="96">
        <v>45883</v>
      </c>
      <c r="R36" s="43"/>
      <c r="S36" s="44"/>
      <c r="T36" s="44"/>
      <c r="U36" s="44"/>
      <c r="V36" s="132"/>
      <c r="W36" s="68"/>
      <c r="X36" s="31">
        <v>152</v>
      </c>
    </row>
    <row r="37" s="31" customFormat="1" ht="75" spans="1:24">
      <c r="A37" s="91">
        <v>28</v>
      </c>
      <c r="B37" s="121" t="s">
        <v>70</v>
      </c>
      <c r="C37" s="43" t="s">
        <v>80</v>
      </c>
      <c r="D37" s="43" t="s">
        <v>81</v>
      </c>
      <c r="E37" s="43" t="s">
        <v>214</v>
      </c>
      <c r="F37" s="95">
        <v>45931</v>
      </c>
      <c r="G37" s="43" t="s">
        <v>146</v>
      </c>
      <c r="H37" s="44">
        <v>218651.62</v>
      </c>
      <c r="I37" s="45">
        <f>IF(X37=153,H37+SUM(S37:S37)-SUM(T37:T37)-SUM(P37:P37)-V37,0)</f>
        <v>189411.62</v>
      </c>
      <c r="J37" s="43" t="s">
        <v>147</v>
      </c>
      <c r="K37" s="43" t="s">
        <v>148</v>
      </c>
      <c r="L37" s="43" t="s">
        <v>80</v>
      </c>
      <c r="M37" s="43" t="s">
        <v>215</v>
      </c>
      <c r="N37" s="52">
        <v>45961</v>
      </c>
      <c r="O37" s="52" t="s">
        <v>150</v>
      </c>
      <c r="P37" s="44">
        <v>29240</v>
      </c>
      <c r="Q37" s="96"/>
      <c r="R37" s="43"/>
      <c r="S37" s="44"/>
      <c r="T37" s="44"/>
      <c r="U37" s="44"/>
      <c r="V37" s="132"/>
      <c r="W37" s="68"/>
      <c r="X37" s="31">
        <v>153</v>
      </c>
    </row>
    <row r="38" s="31" customFormat="1" ht="75" spans="1:24">
      <c r="A38" s="91">
        <v>29</v>
      </c>
      <c r="B38" s="121" t="s">
        <v>70</v>
      </c>
      <c r="C38" s="43" t="s">
        <v>80</v>
      </c>
      <c r="D38" s="43" t="s">
        <v>81</v>
      </c>
      <c r="E38" s="43" t="s">
        <v>216</v>
      </c>
      <c r="F38" s="95">
        <v>45908</v>
      </c>
      <c r="G38" s="43" t="s">
        <v>217</v>
      </c>
      <c r="H38" s="44">
        <v>19000</v>
      </c>
      <c r="I38" s="45">
        <f>IF(X38=154,H38+SUM(S38:S38)-SUM(T38:T38)-SUM(P38:P38)-V38,0)</f>
        <v>0</v>
      </c>
      <c r="J38" s="43" t="s">
        <v>218</v>
      </c>
      <c r="K38" s="43" t="s">
        <v>219</v>
      </c>
      <c r="L38" s="43" t="s">
        <v>80</v>
      </c>
      <c r="M38" s="43" t="s">
        <v>189</v>
      </c>
      <c r="N38" s="52">
        <v>45908</v>
      </c>
      <c r="O38" s="52" t="s">
        <v>125</v>
      </c>
      <c r="P38" s="62">
        <v>19000</v>
      </c>
      <c r="Q38" s="96">
        <v>45911</v>
      </c>
      <c r="R38" s="43"/>
      <c r="S38" s="44"/>
      <c r="T38" s="44"/>
      <c r="U38" s="44"/>
      <c r="V38" s="132"/>
      <c r="W38" s="68"/>
      <c r="X38" s="31">
        <v>154</v>
      </c>
    </row>
    <row r="39" s="31" customFormat="1" ht="93.75" spans="1:24">
      <c r="A39" s="91">
        <v>30</v>
      </c>
      <c r="B39" s="121" t="s">
        <v>70</v>
      </c>
      <c r="C39" s="43" t="s">
        <v>80</v>
      </c>
      <c r="D39" s="43" t="s">
        <v>81</v>
      </c>
      <c r="E39" s="43" t="s">
        <v>220</v>
      </c>
      <c r="F39" s="52">
        <v>45930</v>
      </c>
      <c r="G39" s="43" t="s">
        <v>221</v>
      </c>
      <c r="H39" s="44">
        <v>12001.17</v>
      </c>
      <c r="I39" s="45">
        <f>IF(X39=155,H39+SUM(S39:S39)-SUM(T39:T39)-SUM(P39:P39)-V39,0)</f>
        <v>0</v>
      </c>
      <c r="J39" s="43" t="s">
        <v>222</v>
      </c>
      <c r="K39" s="43" t="s">
        <v>223</v>
      </c>
      <c r="L39" s="43" t="s">
        <v>80</v>
      </c>
      <c r="M39" s="43" t="s">
        <v>224</v>
      </c>
      <c r="N39" s="52" t="s">
        <v>225</v>
      </c>
      <c r="O39" s="52" t="s">
        <v>125</v>
      </c>
      <c r="P39" s="62">
        <v>12001.17</v>
      </c>
      <c r="Q39" s="96">
        <v>45944</v>
      </c>
      <c r="R39" s="43"/>
      <c r="S39" s="44"/>
      <c r="T39" s="44"/>
      <c r="U39" s="44"/>
      <c r="V39" s="132"/>
      <c r="W39" s="68"/>
      <c r="X39" s="31">
        <v>155</v>
      </c>
    </row>
    <row r="40" s="31" customFormat="1" ht="75" spans="1:24">
      <c r="A40" s="91">
        <v>31</v>
      </c>
      <c r="B40" s="121" t="s">
        <v>70</v>
      </c>
      <c r="C40" s="43" t="s">
        <v>80</v>
      </c>
      <c r="D40" s="43" t="s">
        <v>81</v>
      </c>
      <c r="E40" s="43" t="s">
        <v>226</v>
      </c>
      <c r="F40" s="52">
        <v>45937</v>
      </c>
      <c r="G40" s="43" t="s">
        <v>227</v>
      </c>
      <c r="H40" s="44">
        <v>10698</v>
      </c>
      <c r="I40" s="45">
        <f>IF(X40=156,H40+SUM(S40:S40)-SUM(T40:T40)-SUM(P40:P40)-V40,0)</f>
        <v>0</v>
      </c>
      <c r="J40" s="43" t="s">
        <v>183</v>
      </c>
      <c r="K40" s="43" t="s">
        <v>184</v>
      </c>
      <c r="L40" s="43" t="s">
        <v>80</v>
      </c>
      <c r="M40" s="43" t="s">
        <v>124</v>
      </c>
      <c r="N40" s="52">
        <v>45937</v>
      </c>
      <c r="O40" s="52" t="s">
        <v>150</v>
      </c>
      <c r="P40" s="62">
        <v>10698</v>
      </c>
      <c r="Q40" s="96">
        <v>45944</v>
      </c>
      <c r="R40" s="43"/>
      <c r="S40" s="44"/>
      <c r="T40" s="44"/>
      <c r="U40" s="44"/>
      <c r="V40" s="132"/>
      <c r="W40" s="68"/>
      <c r="X40" s="31">
        <v>156</v>
      </c>
    </row>
    <row r="41" s="31" customFormat="1" ht="75" spans="1:24">
      <c r="A41" s="91">
        <v>32</v>
      </c>
      <c r="B41" s="121" t="s">
        <v>70</v>
      </c>
      <c r="C41" s="43" t="s">
        <v>80</v>
      </c>
      <c r="D41" s="43" t="s">
        <v>81</v>
      </c>
      <c r="E41" s="43" t="s">
        <v>190</v>
      </c>
      <c r="F41" s="52">
        <v>45937</v>
      </c>
      <c r="G41" s="43" t="s">
        <v>228</v>
      </c>
      <c r="H41" s="44">
        <v>11797</v>
      </c>
      <c r="I41" s="45">
        <f>IF(X41=157,H41+SUM(S41:S41)-SUM(T41:T41)-SUM(P41:P41)-V41,0)</f>
        <v>0</v>
      </c>
      <c r="J41" s="43" t="s">
        <v>192</v>
      </c>
      <c r="K41" s="43" t="s">
        <v>193</v>
      </c>
      <c r="L41" s="43" t="s">
        <v>80</v>
      </c>
      <c r="M41" s="43" t="s">
        <v>124</v>
      </c>
      <c r="N41" s="52" t="s">
        <v>229</v>
      </c>
      <c r="O41" s="52" t="s">
        <v>150</v>
      </c>
      <c r="P41" s="62">
        <v>11797</v>
      </c>
      <c r="Q41" s="96">
        <v>45937</v>
      </c>
      <c r="R41" s="43"/>
      <c r="S41" s="44"/>
      <c r="T41" s="44"/>
      <c r="U41" s="44"/>
      <c r="V41" s="132"/>
      <c r="W41" s="68"/>
      <c r="X41" s="31">
        <v>157</v>
      </c>
    </row>
    <row r="42" ht="31.5" customHeight="1" spans="1:24">
      <c r="A42" s="88"/>
      <c r="B42" s="121"/>
      <c r="C42" s="43"/>
      <c r="D42" s="43"/>
      <c r="E42" s="110"/>
      <c r="F42" s="54"/>
      <c r="G42" s="53"/>
      <c r="H42" s="48"/>
      <c r="I42" s="49">
        <f>IF(X42=72,H42+SUM(S42:S42)-SUM(T42:T42)-SUM(P42:P42)-V42,0)</f>
        <v>0</v>
      </c>
      <c r="J42" s="53"/>
      <c r="K42" s="53"/>
      <c r="L42" s="53"/>
      <c r="M42" s="43"/>
      <c r="N42" s="54"/>
      <c r="O42" s="52"/>
      <c r="P42" s="48"/>
      <c r="Q42" s="133"/>
      <c r="R42" s="47"/>
      <c r="S42" s="48"/>
      <c r="T42" s="48"/>
      <c r="U42" s="48"/>
      <c r="V42" s="134"/>
      <c r="W42" s="47"/>
      <c r="X42" s="33">
        <v>158</v>
      </c>
    </row>
  </sheetData>
  <sheetProtection algorithmName="SHA-512" hashValue="jrQU/T7n/JrRaPNUnxVVKqyaiB971hvJCjv67ztqoQEEqjW+1fUM1XQB1ItGoSzT/LuLcw5tNCcm6FC3+WCLLQ==" saltValue="Otz7KQhUU87ucv1sRe3FwQ==" spinCount="100000" sheet="1" formatCells="0" formatColumns="0" formatRows="0" objects="1" scenarios="1"/>
  <mergeCells count="24">
    <mergeCell ref="K2:M2"/>
    <mergeCell ref="N2:O2"/>
    <mergeCell ref="S2:U2"/>
    <mergeCell ref="A3:E3"/>
    <mergeCell ref="J4:K4"/>
    <mergeCell ref="M4:N4"/>
    <mergeCell ref="O4:P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O21:O22"/>
    <mergeCell ref="U21:U22"/>
    <mergeCell ref="V21:V22"/>
    <mergeCell ref="W21:W2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">
    <tabColor rgb="FFFF0000"/>
  </sheetPr>
  <dimension ref="A2:X162"/>
  <sheetViews>
    <sheetView showGridLines="0" tabSelected="1" zoomScale="50" zoomScaleNormal="50" topLeftCell="J1" workbookViewId="0">
      <pane ySplit="8" topLeftCell="A153" activePane="bottomLeft" state="frozen"/>
      <selection/>
      <selection pane="bottomLeft" activeCell="T167" sqref="T167"/>
    </sheetView>
  </sheetViews>
  <sheetFormatPr defaultColWidth="0" defaultRowHeight="18.75"/>
  <cols>
    <col min="1" max="1" width="12" style="85" customWidth="1"/>
    <col min="2" max="2" width="37.0857142857143" style="55" customWidth="1"/>
    <col min="3" max="3" width="34" style="55" customWidth="1"/>
    <col min="4" max="4" width="25.4571428571429" style="55" customWidth="1"/>
    <col min="5" max="5" width="27.3619047619048" style="55" customWidth="1"/>
    <col min="6" max="6" width="32.4571428571429" style="55" customWidth="1"/>
    <col min="7" max="7" width="40.3619047619048" style="71" customWidth="1"/>
    <col min="8" max="8" width="27.5428571428571" style="55" customWidth="1"/>
    <col min="9" max="9" width="33" style="55" customWidth="1"/>
    <col min="10" max="11" width="27.3619047619048" style="112" customWidth="1"/>
    <col min="12" max="12" width="21.4571428571429" style="55" customWidth="1"/>
    <col min="13" max="13" width="26.5428571428571" style="55" customWidth="1"/>
    <col min="14" max="14" width="28.0857142857143" style="71" customWidth="1"/>
    <col min="15" max="15" width="39.3619047619048" style="55" customWidth="1"/>
    <col min="16" max="16" width="24.6285714285714" style="112" customWidth="1"/>
    <col min="17" max="17" width="24.4571428571429" style="71" customWidth="1"/>
    <col min="18" max="18" width="23.4571428571429" style="55" customWidth="1"/>
    <col min="19" max="19" width="25.6285714285714" style="55" customWidth="1"/>
    <col min="20" max="20" width="26" style="55" customWidth="1"/>
    <col min="21" max="21" width="23.6285714285714" style="71" customWidth="1"/>
    <col min="22" max="22" width="24" style="37" customWidth="1"/>
    <col min="23" max="23" width="21.9047619047619" style="33" customWidth="1"/>
    <col min="24" max="16384" width="9.08571428571429" style="33" hidden="1"/>
  </cols>
  <sheetData>
    <row r="2" ht="39.9" customHeight="1" spans="5:22">
      <c r="E2" s="60"/>
      <c r="F2" s="34" t="s">
        <v>21</v>
      </c>
      <c r="G2" s="35"/>
      <c r="H2" s="56">
        <f>SUM(H9:H9999)</f>
        <v>2041243.56</v>
      </c>
      <c r="I2" s="60"/>
      <c r="N2" s="57" t="s">
        <v>22</v>
      </c>
      <c r="O2" s="58"/>
      <c r="P2" s="59">
        <f>SUM(P9:P9999)</f>
        <v>1482570.12</v>
      </c>
      <c r="R2" s="60"/>
      <c r="S2" s="57" t="s">
        <v>23</v>
      </c>
      <c r="T2" s="65"/>
      <c r="U2" s="58"/>
      <c r="V2" s="66">
        <f>SUM(V9:V9999)</f>
        <v>354060.52</v>
      </c>
    </row>
    <row r="3" spans="6:21">
      <c r="F3" s="33"/>
      <c r="G3" s="33"/>
      <c r="H3" s="33"/>
      <c r="I3" s="33"/>
      <c r="N3" s="33"/>
      <c r="O3" s="33"/>
      <c r="R3" s="33"/>
      <c r="S3" s="33"/>
      <c r="T3" s="33"/>
      <c r="U3" s="33"/>
    </row>
    <row r="4" ht="39.9" customHeight="1" spans="6:21">
      <c r="F4" s="33"/>
      <c r="G4" s="33"/>
      <c r="H4" s="33"/>
      <c r="I4" s="33"/>
      <c r="N4" s="33"/>
      <c r="O4" s="33"/>
      <c r="R4" s="33"/>
      <c r="S4" s="33"/>
      <c r="T4" s="33"/>
      <c r="U4" s="33"/>
    </row>
    <row r="6" s="30" customFormat="1" ht="187.5" spans="1:23">
      <c r="A6" s="86" t="s">
        <v>24</v>
      </c>
      <c r="B6" s="86" t="s">
        <v>25</v>
      </c>
      <c r="C6" s="86" t="s">
        <v>26</v>
      </c>
      <c r="D6" s="86" t="s">
        <v>27</v>
      </c>
      <c r="E6" s="86" t="s">
        <v>28</v>
      </c>
      <c r="F6" s="86" t="s">
        <v>29</v>
      </c>
      <c r="G6" s="93" t="s">
        <v>30</v>
      </c>
      <c r="H6" s="86" t="s">
        <v>31</v>
      </c>
      <c r="I6" s="86" t="s">
        <v>32</v>
      </c>
      <c r="J6" s="114" t="s">
        <v>33</v>
      </c>
      <c r="K6" s="114" t="s">
        <v>34</v>
      </c>
      <c r="L6" s="86" t="s">
        <v>230</v>
      </c>
      <c r="M6" s="86" t="s">
        <v>231</v>
      </c>
      <c r="N6" s="93" t="s">
        <v>232</v>
      </c>
      <c r="O6" s="86" t="s">
        <v>38</v>
      </c>
      <c r="P6" s="114" t="s">
        <v>39</v>
      </c>
      <c r="Q6" s="93" t="s">
        <v>40</v>
      </c>
      <c r="R6" s="94" t="s">
        <v>41</v>
      </c>
      <c r="S6" s="94" t="s">
        <v>42</v>
      </c>
      <c r="T6" s="94" t="s">
        <v>43</v>
      </c>
      <c r="U6" s="97" t="s">
        <v>44</v>
      </c>
      <c r="V6" s="87" t="s">
        <v>233</v>
      </c>
      <c r="W6" s="38" t="s">
        <v>46</v>
      </c>
    </row>
    <row r="7" s="30" customFormat="1" spans="1:23">
      <c r="A7" s="88" t="s">
        <v>47</v>
      </c>
      <c r="B7" s="88" t="s">
        <v>48</v>
      </c>
      <c r="C7" s="88" t="s">
        <v>49</v>
      </c>
      <c r="D7" s="88" t="s">
        <v>50</v>
      </c>
      <c r="E7" s="88" t="s">
        <v>51</v>
      </c>
      <c r="F7" s="88" t="s">
        <v>52</v>
      </c>
      <c r="G7" s="88" t="s">
        <v>53</v>
      </c>
      <c r="H7" s="88" t="s">
        <v>54</v>
      </c>
      <c r="I7" s="88" t="s">
        <v>55</v>
      </c>
      <c r="J7" s="88" t="s">
        <v>56</v>
      </c>
      <c r="K7" s="88" t="s">
        <v>57</v>
      </c>
      <c r="L7" s="88" t="s">
        <v>58</v>
      </c>
      <c r="M7" s="88" t="s">
        <v>59</v>
      </c>
      <c r="N7" s="88" t="s">
        <v>60</v>
      </c>
      <c r="O7" s="88" t="s">
        <v>61</v>
      </c>
      <c r="P7" s="88" t="s">
        <v>62</v>
      </c>
      <c r="Q7" s="88" t="s">
        <v>63</v>
      </c>
      <c r="R7" s="88" t="s">
        <v>64</v>
      </c>
      <c r="S7" s="88" t="s">
        <v>65</v>
      </c>
      <c r="T7" s="88" t="s">
        <v>66</v>
      </c>
      <c r="U7" s="88" t="s">
        <v>67</v>
      </c>
      <c r="V7" s="88" t="s">
        <v>68</v>
      </c>
      <c r="W7" s="88" t="s">
        <v>69</v>
      </c>
    </row>
    <row r="8" s="99" customFormat="1" ht="112.5" hidden="1" spans="1:23">
      <c r="A8" s="89" t="s">
        <v>47</v>
      </c>
      <c r="B8" s="40" t="s">
        <v>70</v>
      </c>
      <c r="C8" s="40"/>
      <c r="D8" s="40" t="s">
        <v>71</v>
      </c>
      <c r="E8" s="40" t="s">
        <v>72</v>
      </c>
      <c r="F8" s="113">
        <v>43839</v>
      </c>
      <c r="G8" s="51" t="s">
        <v>74</v>
      </c>
      <c r="H8" s="41">
        <v>20000</v>
      </c>
      <c r="I8" s="41">
        <v>0</v>
      </c>
      <c r="J8" s="115">
        <v>2353019514</v>
      </c>
      <c r="K8" s="116" t="s">
        <v>76</v>
      </c>
      <c r="L8" s="40"/>
      <c r="M8" s="40" t="s">
        <v>77</v>
      </c>
      <c r="N8" s="51">
        <v>43840</v>
      </c>
      <c r="O8" s="40" t="s">
        <v>234</v>
      </c>
      <c r="P8" s="116">
        <v>20000</v>
      </c>
      <c r="Q8" s="51">
        <v>43840</v>
      </c>
      <c r="R8" s="40"/>
      <c r="S8" s="40"/>
      <c r="T8" s="40"/>
      <c r="U8" s="51"/>
      <c r="V8" s="41"/>
      <c r="W8" s="67" t="s">
        <v>79</v>
      </c>
    </row>
    <row r="9" s="31" customFormat="1" ht="304.25" customHeight="1" spans="1:24">
      <c r="A9" s="90">
        <v>1</v>
      </c>
      <c r="B9" s="43" t="s">
        <v>70</v>
      </c>
      <c r="C9" s="43" t="s">
        <v>80</v>
      </c>
      <c r="D9" s="43" t="s">
        <v>235</v>
      </c>
      <c r="E9" s="43" t="s">
        <v>236</v>
      </c>
      <c r="F9" s="63">
        <v>45566</v>
      </c>
      <c r="G9" s="96" t="s">
        <v>237</v>
      </c>
      <c r="H9" s="44">
        <v>230728.3</v>
      </c>
      <c r="I9" s="45">
        <f>IF(X9=1,H9+SUM(S9:S18)-SUM(T9:T18)-SUM(P9:P18)-V9,0)</f>
        <v>91165.21</v>
      </c>
      <c r="J9" s="117">
        <v>2308070396</v>
      </c>
      <c r="K9" s="118" t="s">
        <v>238</v>
      </c>
      <c r="L9" s="43" t="s">
        <v>80</v>
      </c>
      <c r="M9" s="43" t="s">
        <v>239</v>
      </c>
      <c r="N9" s="52">
        <v>45666</v>
      </c>
      <c r="O9" s="52" t="s">
        <v>240</v>
      </c>
      <c r="P9" s="62">
        <v>23514.78</v>
      </c>
      <c r="Q9" s="96">
        <v>45685</v>
      </c>
      <c r="R9" s="43"/>
      <c r="S9" s="44"/>
      <c r="T9" s="119"/>
      <c r="U9" s="44"/>
      <c r="V9" s="120"/>
      <c r="W9" s="68"/>
      <c r="X9" s="31">
        <v>1</v>
      </c>
    </row>
    <row r="10" s="32" customFormat="1" spans="1:24">
      <c r="A10" s="90"/>
      <c r="B10" s="43"/>
      <c r="C10" s="43"/>
      <c r="D10" s="43"/>
      <c r="E10" s="43"/>
      <c r="F10" s="63"/>
      <c r="G10" s="96"/>
      <c r="H10" s="44"/>
      <c r="I10" s="45"/>
      <c r="J10" s="117"/>
      <c r="K10" s="118"/>
      <c r="L10" s="43"/>
      <c r="M10" s="43"/>
      <c r="N10" s="63">
        <v>45688</v>
      </c>
      <c r="O10" s="52"/>
      <c r="P10" s="62">
        <v>16627.64</v>
      </c>
      <c r="Q10" s="98">
        <v>45700</v>
      </c>
      <c r="R10" s="64"/>
      <c r="S10" s="69"/>
      <c r="T10" s="69"/>
      <c r="U10" s="44"/>
      <c r="V10" s="120"/>
      <c r="W10" s="68"/>
      <c r="X10" s="32">
        <v>1</v>
      </c>
    </row>
    <row r="11" s="32" customFormat="1" spans="1:24">
      <c r="A11" s="90"/>
      <c r="B11" s="43"/>
      <c r="C11" s="43"/>
      <c r="D11" s="43"/>
      <c r="E11" s="43"/>
      <c r="F11" s="63"/>
      <c r="G11" s="96"/>
      <c r="H11" s="44"/>
      <c r="I11" s="45"/>
      <c r="J11" s="117"/>
      <c r="K11" s="118"/>
      <c r="L11" s="43"/>
      <c r="M11" s="43"/>
      <c r="N11" s="63">
        <v>45689</v>
      </c>
      <c r="O11" s="52"/>
      <c r="P11" s="62">
        <v>18955.86</v>
      </c>
      <c r="Q11" s="98">
        <v>45695</v>
      </c>
      <c r="R11" s="64"/>
      <c r="S11" s="69"/>
      <c r="T11" s="69"/>
      <c r="U11" s="44"/>
      <c r="V11" s="120"/>
      <c r="W11" s="68"/>
      <c r="X11" s="32">
        <v>1</v>
      </c>
    </row>
    <row r="12" s="32" customFormat="1" spans="1:24">
      <c r="A12" s="90"/>
      <c r="B12" s="43"/>
      <c r="C12" s="43"/>
      <c r="D12" s="43"/>
      <c r="E12" s="43"/>
      <c r="F12" s="63"/>
      <c r="G12" s="96"/>
      <c r="H12" s="44"/>
      <c r="I12" s="45"/>
      <c r="J12" s="117"/>
      <c r="K12" s="118"/>
      <c r="L12" s="43"/>
      <c r="M12" s="43"/>
      <c r="N12" s="63">
        <v>45716</v>
      </c>
      <c r="O12" s="52"/>
      <c r="P12" s="62">
        <v>5334.45</v>
      </c>
      <c r="Q12" s="98">
        <v>45729</v>
      </c>
      <c r="R12" s="64"/>
      <c r="S12" s="69"/>
      <c r="T12" s="69"/>
      <c r="U12" s="44"/>
      <c r="V12" s="120"/>
      <c r="W12" s="68"/>
      <c r="X12" s="32">
        <v>1</v>
      </c>
    </row>
    <row r="13" s="32" customFormat="1" spans="1:24">
      <c r="A13" s="90"/>
      <c r="B13" s="43"/>
      <c r="C13" s="43"/>
      <c r="D13" s="43"/>
      <c r="E13" s="43"/>
      <c r="F13" s="63"/>
      <c r="G13" s="96"/>
      <c r="H13" s="44"/>
      <c r="I13" s="45"/>
      <c r="J13" s="117"/>
      <c r="K13" s="118"/>
      <c r="L13" s="43"/>
      <c r="M13" s="43"/>
      <c r="N13" s="63">
        <v>45717</v>
      </c>
      <c r="O13" s="52"/>
      <c r="P13" s="62">
        <v>11909.66</v>
      </c>
      <c r="Q13" s="98">
        <v>45720</v>
      </c>
      <c r="R13" s="64"/>
      <c r="S13" s="69"/>
      <c r="T13" s="69"/>
      <c r="U13" s="44"/>
      <c r="V13" s="120"/>
      <c r="W13" s="68"/>
      <c r="X13" s="32">
        <v>1</v>
      </c>
    </row>
    <row r="14" s="32" customFormat="1" spans="1:24">
      <c r="A14" s="90"/>
      <c r="B14" s="43"/>
      <c r="C14" s="43"/>
      <c r="D14" s="43"/>
      <c r="E14" s="43"/>
      <c r="F14" s="63"/>
      <c r="G14" s="96"/>
      <c r="H14" s="44"/>
      <c r="I14" s="45"/>
      <c r="J14" s="117"/>
      <c r="K14" s="118"/>
      <c r="L14" s="43"/>
      <c r="M14" s="43"/>
      <c r="N14" s="63">
        <v>45747</v>
      </c>
      <c r="O14" s="52"/>
      <c r="P14" s="62">
        <v>12342.24</v>
      </c>
      <c r="Q14" s="98">
        <v>45763</v>
      </c>
      <c r="R14" s="64"/>
      <c r="S14" s="69"/>
      <c r="T14" s="69"/>
      <c r="U14" s="44"/>
      <c r="V14" s="120"/>
      <c r="W14" s="68"/>
      <c r="X14" s="32">
        <v>1</v>
      </c>
    </row>
    <row r="15" s="32" customFormat="1" spans="1:24">
      <c r="A15" s="90"/>
      <c r="B15" s="43"/>
      <c r="C15" s="43"/>
      <c r="D15" s="43"/>
      <c r="E15" s="43"/>
      <c r="F15" s="63"/>
      <c r="G15" s="96"/>
      <c r="H15" s="44"/>
      <c r="I15" s="45"/>
      <c r="J15" s="117"/>
      <c r="K15" s="118"/>
      <c r="L15" s="43"/>
      <c r="M15" s="43"/>
      <c r="N15" s="63">
        <v>45777</v>
      </c>
      <c r="O15" s="52"/>
      <c r="P15" s="62">
        <v>36352.66</v>
      </c>
      <c r="Q15" s="98">
        <v>45791</v>
      </c>
      <c r="R15" s="64"/>
      <c r="S15" s="69"/>
      <c r="T15" s="69"/>
      <c r="U15" s="44"/>
      <c r="V15" s="120"/>
      <c r="W15" s="68"/>
      <c r="X15" s="32">
        <v>1</v>
      </c>
    </row>
    <row r="16" s="32" customFormat="1" spans="1:24">
      <c r="A16" s="90"/>
      <c r="B16" s="43"/>
      <c r="C16" s="43"/>
      <c r="D16" s="43"/>
      <c r="E16" s="43"/>
      <c r="F16" s="63"/>
      <c r="G16" s="96"/>
      <c r="H16" s="44"/>
      <c r="I16" s="45"/>
      <c r="J16" s="117"/>
      <c r="K16" s="118"/>
      <c r="L16" s="43"/>
      <c r="M16" s="43"/>
      <c r="N16" s="63">
        <v>45778</v>
      </c>
      <c r="O16" s="52"/>
      <c r="P16" s="62">
        <v>6002.42</v>
      </c>
      <c r="Q16" s="98">
        <v>45789</v>
      </c>
      <c r="R16" s="64"/>
      <c r="S16" s="69"/>
      <c r="T16" s="69"/>
      <c r="U16" s="44"/>
      <c r="V16" s="120"/>
      <c r="W16" s="68"/>
      <c r="X16" s="32">
        <v>1</v>
      </c>
    </row>
    <row r="17" s="32" customFormat="1" spans="1:24">
      <c r="A17" s="90"/>
      <c r="B17" s="43"/>
      <c r="C17" s="43"/>
      <c r="D17" s="43"/>
      <c r="E17" s="43"/>
      <c r="F17" s="63"/>
      <c r="G17" s="96"/>
      <c r="H17" s="44"/>
      <c r="I17" s="45"/>
      <c r="J17" s="117"/>
      <c r="K17" s="118"/>
      <c r="L17" s="43"/>
      <c r="M17" s="43"/>
      <c r="N17" s="63">
        <v>45931</v>
      </c>
      <c r="O17" s="52"/>
      <c r="P17" s="62">
        <v>1514.8</v>
      </c>
      <c r="Q17" s="98">
        <v>45945</v>
      </c>
      <c r="R17" s="64"/>
      <c r="S17" s="69"/>
      <c r="T17" s="69"/>
      <c r="U17" s="44"/>
      <c r="V17" s="120"/>
      <c r="W17" s="68"/>
      <c r="X17" s="32">
        <v>1</v>
      </c>
    </row>
    <row r="18" s="32" customFormat="1" spans="1:24">
      <c r="A18" s="90"/>
      <c r="B18" s="43"/>
      <c r="C18" s="43"/>
      <c r="D18" s="43"/>
      <c r="E18" s="43"/>
      <c r="F18" s="63"/>
      <c r="G18" s="96"/>
      <c r="H18" s="44"/>
      <c r="I18" s="45"/>
      <c r="J18" s="117"/>
      <c r="K18" s="118"/>
      <c r="L18" s="43"/>
      <c r="M18" s="43"/>
      <c r="N18" s="63">
        <v>45962</v>
      </c>
      <c r="O18" s="52"/>
      <c r="P18" s="69">
        <v>7008.58</v>
      </c>
      <c r="Q18" s="98"/>
      <c r="R18" s="64"/>
      <c r="S18" s="69"/>
      <c r="T18" s="69"/>
      <c r="U18" s="44"/>
      <c r="V18" s="120"/>
      <c r="W18" s="68"/>
      <c r="X18" s="32">
        <v>1</v>
      </c>
    </row>
    <row r="19" s="31" customFormat="1" ht="63.65" customHeight="1" spans="1:24">
      <c r="A19" s="91">
        <v>2</v>
      </c>
      <c r="B19" s="43" t="s">
        <v>70</v>
      </c>
      <c r="C19" s="43" t="s">
        <v>80</v>
      </c>
      <c r="D19" s="43" t="s">
        <v>81</v>
      </c>
      <c r="E19" s="43" t="s">
        <v>241</v>
      </c>
      <c r="F19" s="63">
        <v>45653</v>
      </c>
      <c r="G19" s="96" t="s">
        <v>242</v>
      </c>
      <c r="H19" s="44">
        <v>24254.1</v>
      </c>
      <c r="I19" s="45">
        <f>IF(X19=33,H19+SUM(S19:S24)-SUM(T19:T24)-SUM(P19:P24)-V19,0)</f>
        <v>0</v>
      </c>
      <c r="J19" s="117">
        <v>2308131994</v>
      </c>
      <c r="K19" s="118" t="s">
        <v>243</v>
      </c>
      <c r="L19" s="43" t="s">
        <v>80</v>
      </c>
      <c r="M19" s="43" t="s">
        <v>244</v>
      </c>
      <c r="N19" s="52">
        <v>45688</v>
      </c>
      <c r="O19" s="52" t="s">
        <v>245</v>
      </c>
      <c r="P19" s="62">
        <v>4042.35</v>
      </c>
      <c r="Q19" s="96">
        <v>45702</v>
      </c>
      <c r="R19" s="43"/>
      <c r="S19" s="44"/>
      <c r="T19" s="44"/>
      <c r="U19" s="44"/>
      <c r="V19" s="120"/>
      <c r="W19" s="68"/>
      <c r="X19" s="31">
        <v>33</v>
      </c>
    </row>
    <row r="20" s="32" customFormat="1" spans="1:24">
      <c r="A20" s="91"/>
      <c r="B20" s="43"/>
      <c r="C20" s="43"/>
      <c r="D20" s="43"/>
      <c r="E20" s="43"/>
      <c r="F20" s="63"/>
      <c r="G20" s="96"/>
      <c r="H20" s="44"/>
      <c r="I20" s="45"/>
      <c r="J20" s="117"/>
      <c r="K20" s="118"/>
      <c r="L20" s="43"/>
      <c r="M20" s="43"/>
      <c r="N20" s="63">
        <v>45716</v>
      </c>
      <c r="O20" s="52"/>
      <c r="P20" s="62">
        <v>4042.35</v>
      </c>
      <c r="Q20" s="98">
        <v>45720</v>
      </c>
      <c r="R20" s="64"/>
      <c r="S20" s="69"/>
      <c r="T20" s="69"/>
      <c r="U20" s="44"/>
      <c r="V20" s="120"/>
      <c r="W20" s="68"/>
      <c r="X20" s="32">
        <v>33</v>
      </c>
    </row>
    <row r="21" s="32" customFormat="1" spans="1:24">
      <c r="A21" s="91"/>
      <c r="B21" s="43"/>
      <c r="C21" s="43"/>
      <c r="D21" s="43"/>
      <c r="E21" s="43"/>
      <c r="F21" s="63"/>
      <c r="G21" s="96"/>
      <c r="H21" s="44"/>
      <c r="I21" s="45"/>
      <c r="J21" s="117"/>
      <c r="K21" s="118"/>
      <c r="L21" s="43"/>
      <c r="M21" s="43"/>
      <c r="N21" s="63">
        <v>45747</v>
      </c>
      <c r="O21" s="52"/>
      <c r="P21" s="62">
        <v>4042.35</v>
      </c>
      <c r="Q21" s="98">
        <v>45754</v>
      </c>
      <c r="R21" s="64"/>
      <c r="S21" s="69"/>
      <c r="T21" s="69"/>
      <c r="U21" s="44"/>
      <c r="V21" s="120"/>
      <c r="W21" s="68"/>
      <c r="X21" s="32">
        <v>33</v>
      </c>
    </row>
    <row r="22" s="32" customFormat="1" spans="1:24">
      <c r="A22" s="91"/>
      <c r="B22" s="43"/>
      <c r="C22" s="43"/>
      <c r="D22" s="43"/>
      <c r="E22" s="43"/>
      <c r="F22" s="63"/>
      <c r="G22" s="96"/>
      <c r="H22" s="44"/>
      <c r="I22" s="45"/>
      <c r="J22" s="117"/>
      <c r="K22" s="118"/>
      <c r="L22" s="43"/>
      <c r="M22" s="43"/>
      <c r="N22" s="63">
        <v>45777</v>
      </c>
      <c r="O22" s="52"/>
      <c r="P22" s="62">
        <v>4042.35</v>
      </c>
      <c r="Q22" s="98">
        <v>45789</v>
      </c>
      <c r="R22" s="64"/>
      <c r="S22" s="69"/>
      <c r="T22" s="69"/>
      <c r="U22" s="44"/>
      <c r="V22" s="120"/>
      <c r="W22" s="68"/>
      <c r="X22" s="32">
        <v>33</v>
      </c>
    </row>
    <row r="23" s="32" customFormat="1" spans="1:24">
      <c r="A23" s="91"/>
      <c r="B23" s="43"/>
      <c r="C23" s="43"/>
      <c r="D23" s="43"/>
      <c r="E23" s="43"/>
      <c r="F23" s="63"/>
      <c r="G23" s="96"/>
      <c r="H23" s="44"/>
      <c r="I23" s="45"/>
      <c r="J23" s="117"/>
      <c r="K23" s="118"/>
      <c r="L23" s="43"/>
      <c r="M23" s="43"/>
      <c r="N23" s="63">
        <v>45808</v>
      </c>
      <c r="O23" s="52"/>
      <c r="P23" s="62">
        <v>4042.35</v>
      </c>
      <c r="Q23" s="98">
        <v>45814</v>
      </c>
      <c r="R23" s="64"/>
      <c r="S23" s="69"/>
      <c r="T23" s="69"/>
      <c r="U23" s="44"/>
      <c r="V23" s="120"/>
      <c r="W23" s="68"/>
      <c r="X23" s="32">
        <v>33</v>
      </c>
    </row>
    <row r="24" s="32" customFormat="1" spans="1:24">
      <c r="A24" s="91"/>
      <c r="B24" s="43"/>
      <c r="C24" s="43"/>
      <c r="D24" s="43"/>
      <c r="E24" s="43"/>
      <c r="F24" s="63"/>
      <c r="G24" s="96"/>
      <c r="H24" s="44"/>
      <c r="I24" s="45"/>
      <c r="J24" s="117"/>
      <c r="K24" s="118"/>
      <c r="L24" s="43"/>
      <c r="M24" s="43"/>
      <c r="N24" s="63">
        <v>45838</v>
      </c>
      <c r="O24" s="52"/>
      <c r="P24" s="62">
        <v>4042.35</v>
      </c>
      <c r="Q24" s="98">
        <v>45840</v>
      </c>
      <c r="R24" s="64"/>
      <c r="S24" s="69"/>
      <c r="T24" s="69"/>
      <c r="U24" s="44"/>
      <c r="V24" s="120"/>
      <c r="W24" s="68"/>
      <c r="X24" s="32">
        <v>33</v>
      </c>
    </row>
    <row r="25" s="31" customFormat="1" ht="54" customHeight="1" spans="1:24">
      <c r="A25" s="91">
        <v>3</v>
      </c>
      <c r="B25" s="43" t="s">
        <v>70</v>
      </c>
      <c r="C25" s="43" t="s">
        <v>80</v>
      </c>
      <c r="D25" s="43" t="s">
        <v>81</v>
      </c>
      <c r="E25" s="43" t="s">
        <v>246</v>
      </c>
      <c r="F25" s="63">
        <v>45657</v>
      </c>
      <c r="G25" s="96" t="s">
        <v>247</v>
      </c>
      <c r="H25" s="44">
        <v>24000</v>
      </c>
      <c r="I25" s="45">
        <f>IF(X25=34,H25+SUM(S25:S34)-SUM(T25:T34)-SUM(P25:P34)-V25,0)</f>
        <v>4000</v>
      </c>
      <c r="J25" s="117">
        <v>2353002302</v>
      </c>
      <c r="K25" s="118" t="s">
        <v>112</v>
      </c>
      <c r="L25" s="43" t="s">
        <v>80</v>
      </c>
      <c r="M25" s="43" t="s">
        <v>239</v>
      </c>
      <c r="N25" s="52">
        <v>45688</v>
      </c>
      <c r="O25" s="52" t="s">
        <v>248</v>
      </c>
      <c r="P25" s="62">
        <v>2000</v>
      </c>
      <c r="Q25" s="96">
        <v>45695</v>
      </c>
      <c r="R25" s="43"/>
      <c r="S25" s="44"/>
      <c r="T25" s="44"/>
      <c r="U25" s="44"/>
      <c r="V25" s="120"/>
      <c r="W25" s="68"/>
      <c r="X25" s="31">
        <v>34</v>
      </c>
    </row>
    <row r="26" s="32" customFormat="1" spans="1:24">
      <c r="A26" s="91"/>
      <c r="B26" s="43"/>
      <c r="C26" s="43"/>
      <c r="D26" s="43"/>
      <c r="E26" s="43"/>
      <c r="F26" s="63"/>
      <c r="G26" s="96"/>
      <c r="H26" s="44"/>
      <c r="I26" s="45"/>
      <c r="J26" s="117"/>
      <c r="K26" s="118"/>
      <c r="L26" s="43"/>
      <c r="M26" s="43"/>
      <c r="N26" s="63">
        <v>45716</v>
      </c>
      <c r="O26" s="52"/>
      <c r="P26" s="62">
        <v>2000</v>
      </c>
      <c r="Q26" s="98">
        <v>45720</v>
      </c>
      <c r="R26" s="64"/>
      <c r="S26" s="69"/>
      <c r="T26" s="69"/>
      <c r="U26" s="44"/>
      <c r="V26" s="120"/>
      <c r="W26" s="68"/>
      <c r="X26" s="32">
        <v>34</v>
      </c>
    </row>
    <row r="27" s="32" customFormat="1" spans="1:24">
      <c r="A27" s="91"/>
      <c r="B27" s="43"/>
      <c r="C27" s="43"/>
      <c r="D27" s="43"/>
      <c r="E27" s="43"/>
      <c r="F27" s="63"/>
      <c r="G27" s="96"/>
      <c r="H27" s="44"/>
      <c r="I27" s="45"/>
      <c r="J27" s="117"/>
      <c r="K27" s="118"/>
      <c r="L27" s="43"/>
      <c r="M27" s="43"/>
      <c r="N27" s="63">
        <v>45747</v>
      </c>
      <c r="O27" s="52"/>
      <c r="P27" s="62">
        <v>2000</v>
      </c>
      <c r="Q27" s="98">
        <v>45749</v>
      </c>
      <c r="R27" s="64"/>
      <c r="S27" s="69"/>
      <c r="T27" s="69"/>
      <c r="U27" s="44"/>
      <c r="V27" s="120"/>
      <c r="W27" s="68"/>
      <c r="X27" s="32">
        <v>34</v>
      </c>
    </row>
    <row r="28" s="32" customFormat="1" spans="1:24">
      <c r="A28" s="91"/>
      <c r="B28" s="43"/>
      <c r="C28" s="43"/>
      <c r="D28" s="43"/>
      <c r="E28" s="43"/>
      <c r="F28" s="63"/>
      <c r="G28" s="96"/>
      <c r="H28" s="44"/>
      <c r="I28" s="45"/>
      <c r="J28" s="117"/>
      <c r="K28" s="118"/>
      <c r="L28" s="43"/>
      <c r="M28" s="43"/>
      <c r="N28" s="63">
        <v>45777</v>
      </c>
      <c r="O28" s="52"/>
      <c r="P28" s="62">
        <v>2000</v>
      </c>
      <c r="Q28" s="98">
        <v>45777</v>
      </c>
      <c r="R28" s="64"/>
      <c r="S28" s="69"/>
      <c r="T28" s="69"/>
      <c r="U28" s="44"/>
      <c r="V28" s="120"/>
      <c r="W28" s="68"/>
      <c r="X28" s="32">
        <v>34</v>
      </c>
    </row>
    <row r="29" s="32" customFormat="1" spans="1:24">
      <c r="A29" s="91"/>
      <c r="B29" s="43"/>
      <c r="C29" s="43"/>
      <c r="D29" s="43"/>
      <c r="E29" s="43"/>
      <c r="F29" s="63"/>
      <c r="G29" s="96"/>
      <c r="H29" s="44"/>
      <c r="I29" s="45"/>
      <c r="J29" s="117"/>
      <c r="K29" s="118"/>
      <c r="L29" s="43"/>
      <c r="M29" s="43"/>
      <c r="N29" s="63">
        <v>45808</v>
      </c>
      <c r="O29" s="52"/>
      <c r="P29" s="62">
        <v>2000</v>
      </c>
      <c r="Q29" s="98">
        <v>45810</v>
      </c>
      <c r="R29" s="64"/>
      <c r="S29" s="69"/>
      <c r="T29" s="69"/>
      <c r="U29" s="44"/>
      <c r="V29" s="120"/>
      <c r="W29" s="68"/>
      <c r="X29" s="32">
        <v>34</v>
      </c>
    </row>
    <row r="30" s="32" customFormat="1" spans="1:24">
      <c r="A30" s="91"/>
      <c r="B30" s="43"/>
      <c r="C30" s="43"/>
      <c r="D30" s="43"/>
      <c r="E30" s="43"/>
      <c r="F30" s="63"/>
      <c r="G30" s="96"/>
      <c r="H30" s="44"/>
      <c r="I30" s="45"/>
      <c r="J30" s="117"/>
      <c r="K30" s="118"/>
      <c r="L30" s="43"/>
      <c r="M30" s="43"/>
      <c r="N30" s="63">
        <v>45838</v>
      </c>
      <c r="O30" s="52"/>
      <c r="P30" s="62">
        <v>2000</v>
      </c>
      <c r="Q30" s="98">
        <v>45839</v>
      </c>
      <c r="R30" s="64"/>
      <c r="S30" s="69"/>
      <c r="T30" s="69"/>
      <c r="U30" s="44"/>
      <c r="V30" s="120"/>
      <c r="W30" s="68"/>
      <c r="X30" s="32">
        <v>34</v>
      </c>
    </row>
    <row r="31" s="32" customFormat="1" spans="1:24">
      <c r="A31" s="91"/>
      <c r="B31" s="43"/>
      <c r="C31" s="43"/>
      <c r="D31" s="43"/>
      <c r="E31" s="43"/>
      <c r="F31" s="63"/>
      <c r="G31" s="96"/>
      <c r="H31" s="44"/>
      <c r="I31" s="45"/>
      <c r="J31" s="117"/>
      <c r="K31" s="118"/>
      <c r="L31" s="43"/>
      <c r="M31" s="43"/>
      <c r="N31" s="63">
        <v>45869</v>
      </c>
      <c r="O31" s="52"/>
      <c r="P31" s="62">
        <v>2000</v>
      </c>
      <c r="Q31" s="98">
        <v>45873</v>
      </c>
      <c r="R31" s="64"/>
      <c r="S31" s="69"/>
      <c r="T31" s="69"/>
      <c r="U31" s="44"/>
      <c r="V31" s="120"/>
      <c r="W31" s="68"/>
      <c r="X31" s="32">
        <v>34</v>
      </c>
    </row>
    <row r="32" s="32" customFormat="1" spans="1:24">
      <c r="A32" s="91"/>
      <c r="B32" s="43"/>
      <c r="C32" s="43"/>
      <c r="D32" s="43"/>
      <c r="E32" s="43"/>
      <c r="F32" s="63"/>
      <c r="G32" s="96"/>
      <c r="H32" s="44"/>
      <c r="I32" s="45"/>
      <c r="J32" s="117"/>
      <c r="K32" s="118"/>
      <c r="L32" s="43"/>
      <c r="M32" s="43"/>
      <c r="N32" s="63">
        <v>45900</v>
      </c>
      <c r="O32" s="52"/>
      <c r="P32" s="62">
        <v>2000</v>
      </c>
      <c r="Q32" s="98">
        <v>45901</v>
      </c>
      <c r="R32" s="64"/>
      <c r="S32" s="69"/>
      <c r="T32" s="69"/>
      <c r="U32" s="44"/>
      <c r="V32" s="120"/>
      <c r="W32" s="68"/>
      <c r="X32" s="32">
        <v>34</v>
      </c>
    </row>
    <row r="33" s="32" customFormat="1" spans="1:24">
      <c r="A33" s="91"/>
      <c r="B33" s="43"/>
      <c r="C33" s="43"/>
      <c r="D33" s="43"/>
      <c r="E33" s="43"/>
      <c r="F33" s="63"/>
      <c r="G33" s="96"/>
      <c r="H33" s="44"/>
      <c r="I33" s="45"/>
      <c r="J33" s="117"/>
      <c r="K33" s="118"/>
      <c r="L33" s="43"/>
      <c r="M33" s="43"/>
      <c r="N33" s="63">
        <v>45930</v>
      </c>
      <c r="O33" s="52"/>
      <c r="P33" s="62">
        <v>2000</v>
      </c>
      <c r="Q33" s="98">
        <v>45933</v>
      </c>
      <c r="R33" s="64"/>
      <c r="S33" s="69"/>
      <c r="T33" s="69"/>
      <c r="U33" s="44"/>
      <c r="V33" s="120"/>
      <c r="W33" s="68"/>
      <c r="X33" s="32">
        <v>34</v>
      </c>
    </row>
    <row r="34" s="32" customFormat="1" spans="1:24">
      <c r="A34" s="91"/>
      <c r="B34" s="43"/>
      <c r="C34" s="43"/>
      <c r="D34" s="43"/>
      <c r="E34" s="43"/>
      <c r="F34" s="63"/>
      <c r="G34" s="96"/>
      <c r="H34" s="44"/>
      <c r="I34" s="45"/>
      <c r="J34" s="117"/>
      <c r="K34" s="118"/>
      <c r="L34" s="43"/>
      <c r="M34" s="43"/>
      <c r="N34" s="63">
        <v>45961</v>
      </c>
      <c r="O34" s="52"/>
      <c r="P34" s="69">
        <v>2000</v>
      </c>
      <c r="Q34" s="98"/>
      <c r="R34" s="64"/>
      <c r="S34" s="69"/>
      <c r="T34" s="69"/>
      <c r="U34" s="44"/>
      <c r="V34" s="120"/>
      <c r="W34" s="68"/>
      <c r="X34" s="32">
        <v>34</v>
      </c>
    </row>
    <row r="35" s="31" customFormat="1" ht="72" customHeight="1" spans="1:24">
      <c r="A35" s="91">
        <v>4</v>
      </c>
      <c r="B35" s="43" t="s">
        <v>70</v>
      </c>
      <c r="C35" s="43" t="s">
        <v>80</v>
      </c>
      <c r="D35" s="43" t="s">
        <v>81</v>
      </c>
      <c r="E35" s="43" t="s">
        <v>249</v>
      </c>
      <c r="F35" s="63">
        <v>45657</v>
      </c>
      <c r="G35" s="96" t="s">
        <v>250</v>
      </c>
      <c r="H35" s="44">
        <v>36000</v>
      </c>
      <c r="I35" s="45">
        <f>IF(X35=35,H35+SUM(S35:S44)-SUM(T35:T44)-SUM(P35:P44)-V35,0)</f>
        <v>6000</v>
      </c>
      <c r="J35" s="117">
        <v>2353002302</v>
      </c>
      <c r="K35" s="118" t="s">
        <v>112</v>
      </c>
      <c r="L35" s="43" t="s">
        <v>80</v>
      </c>
      <c r="M35" s="43" t="s">
        <v>239</v>
      </c>
      <c r="N35" s="52">
        <v>45688</v>
      </c>
      <c r="O35" s="52" t="s">
        <v>251</v>
      </c>
      <c r="P35" s="62">
        <v>3000</v>
      </c>
      <c r="Q35" s="96">
        <v>45695</v>
      </c>
      <c r="R35" s="43"/>
      <c r="S35" s="44"/>
      <c r="T35" s="44"/>
      <c r="U35" s="44"/>
      <c r="V35" s="120"/>
      <c r="W35" s="68"/>
      <c r="X35" s="31">
        <v>35</v>
      </c>
    </row>
    <row r="36" s="32" customFormat="1" spans="1:24">
      <c r="A36" s="91"/>
      <c r="B36" s="43"/>
      <c r="C36" s="43"/>
      <c r="D36" s="43"/>
      <c r="E36" s="43"/>
      <c r="F36" s="63"/>
      <c r="G36" s="96"/>
      <c r="H36" s="44"/>
      <c r="I36" s="45"/>
      <c r="J36" s="117"/>
      <c r="K36" s="118"/>
      <c r="L36" s="43"/>
      <c r="M36" s="43"/>
      <c r="N36" s="63">
        <v>45716</v>
      </c>
      <c r="O36" s="52"/>
      <c r="P36" s="62">
        <v>3000</v>
      </c>
      <c r="Q36" s="98">
        <v>45720</v>
      </c>
      <c r="R36" s="64"/>
      <c r="S36" s="69"/>
      <c r="T36" s="69"/>
      <c r="U36" s="44"/>
      <c r="V36" s="120"/>
      <c r="W36" s="68"/>
      <c r="X36" s="32">
        <v>35</v>
      </c>
    </row>
    <row r="37" s="32" customFormat="1" spans="1:24">
      <c r="A37" s="91"/>
      <c r="B37" s="43"/>
      <c r="C37" s="43"/>
      <c r="D37" s="43"/>
      <c r="E37" s="43"/>
      <c r="F37" s="63"/>
      <c r="G37" s="96"/>
      <c r="H37" s="44"/>
      <c r="I37" s="45"/>
      <c r="J37" s="117"/>
      <c r="K37" s="118"/>
      <c r="L37" s="43"/>
      <c r="M37" s="43"/>
      <c r="N37" s="63">
        <v>45747</v>
      </c>
      <c r="O37" s="52"/>
      <c r="P37" s="62">
        <v>3000</v>
      </c>
      <c r="Q37" s="98">
        <v>45749</v>
      </c>
      <c r="R37" s="64"/>
      <c r="S37" s="69"/>
      <c r="T37" s="69"/>
      <c r="U37" s="44"/>
      <c r="V37" s="120"/>
      <c r="W37" s="68"/>
      <c r="X37" s="32">
        <v>35</v>
      </c>
    </row>
    <row r="38" s="32" customFormat="1" spans="1:24">
      <c r="A38" s="91"/>
      <c r="B38" s="43"/>
      <c r="C38" s="43"/>
      <c r="D38" s="43"/>
      <c r="E38" s="43"/>
      <c r="F38" s="63"/>
      <c r="G38" s="96"/>
      <c r="H38" s="44"/>
      <c r="I38" s="45"/>
      <c r="J38" s="117"/>
      <c r="K38" s="118"/>
      <c r="L38" s="43"/>
      <c r="M38" s="43"/>
      <c r="N38" s="63">
        <v>45777</v>
      </c>
      <c r="O38" s="52"/>
      <c r="P38" s="62">
        <v>3000</v>
      </c>
      <c r="Q38" s="98">
        <v>45777</v>
      </c>
      <c r="R38" s="64"/>
      <c r="S38" s="69"/>
      <c r="T38" s="69"/>
      <c r="U38" s="44"/>
      <c r="V38" s="120"/>
      <c r="W38" s="68"/>
      <c r="X38" s="32">
        <v>35</v>
      </c>
    </row>
    <row r="39" s="32" customFormat="1" spans="1:24">
      <c r="A39" s="91"/>
      <c r="B39" s="43"/>
      <c r="C39" s="43"/>
      <c r="D39" s="43"/>
      <c r="E39" s="43"/>
      <c r="F39" s="63"/>
      <c r="G39" s="96"/>
      <c r="H39" s="44"/>
      <c r="I39" s="45"/>
      <c r="J39" s="117"/>
      <c r="K39" s="118"/>
      <c r="L39" s="43"/>
      <c r="M39" s="43"/>
      <c r="N39" s="63">
        <v>45808</v>
      </c>
      <c r="O39" s="52"/>
      <c r="P39" s="62">
        <v>3000</v>
      </c>
      <c r="Q39" s="98">
        <v>45810</v>
      </c>
      <c r="R39" s="64"/>
      <c r="S39" s="69"/>
      <c r="T39" s="69"/>
      <c r="U39" s="44"/>
      <c r="V39" s="120"/>
      <c r="W39" s="68"/>
      <c r="X39" s="32">
        <v>35</v>
      </c>
    </row>
    <row r="40" s="32" customFormat="1" spans="1:24">
      <c r="A40" s="91"/>
      <c r="B40" s="43"/>
      <c r="C40" s="43"/>
      <c r="D40" s="43"/>
      <c r="E40" s="43"/>
      <c r="F40" s="63"/>
      <c r="G40" s="96"/>
      <c r="H40" s="44"/>
      <c r="I40" s="45"/>
      <c r="J40" s="117"/>
      <c r="K40" s="118"/>
      <c r="L40" s="43"/>
      <c r="M40" s="43"/>
      <c r="N40" s="63">
        <v>45838</v>
      </c>
      <c r="O40" s="52"/>
      <c r="P40" s="62">
        <v>3000</v>
      </c>
      <c r="Q40" s="98">
        <v>45839</v>
      </c>
      <c r="R40" s="64"/>
      <c r="S40" s="69"/>
      <c r="T40" s="69"/>
      <c r="U40" s="44"/>
      <c r="V40" s="120"/>
      <c r="W40" s="68"/>
      <c r="X40" s="32">
        <v>35</v>
      </c>
    </row>
    <row r="41" s="32" customFormat="1" spans="1:24">
      <c r="A41" s="91"/>
      <c r="B41" s="43"/>
      <c r="C41" s="43"/>
      <c r="D41" s="43"/>
      <c r="E41" s="43"/>
      <c r="F41" s="63"/>
      <c r="G41" s="96"/>
      <c r="H41" s="44"/>
      <c r="I41" s="45"/>
      <c r="J41" s="117"/>
      <c r="K41" s="118"/>
      <c r="L41" s="43"/>
      <c r="M41" s="43"/>
      <c r="N41" s="63">
        <v>45869</v>
      </c>
      <c r="O41" s="52"/>
      <c r="P41" s="62">
        <v>3000</v>
      </c>
      <c r="Q41" s="98">
        <v>45873</v>
      </c>
      <c r="R41" s="64"/>
      <c r="S41" s="69"/>
      <c r="T41" s="69"/>
      <c r="U41" s="44"/>
      <c r="V41" s="120"/>
      <c r="W41" s="68"/>
      <c r="X41" s="32">
        <v>35</v>
      </c>
    </row>
    <row r="42" s="32" customFormat="1" spans="1:24">
      <c r="A42" s="91"/>
      <c r="B42" s="43"/>
      <c r="C42" s="43"/>
      <c r="D42" s="43"/>
      <c r="E42" s="43"/>
      <c r="F42" s="63"/>
      <c r="G42" s="96"/>
      <c r="H42" s="44"/>
      <c r="I42" s="45"/>
      <c r="J42" s="117"/>
      <c r="K42" s="118"/>
      <c r="L42" s="43"/>
      <c r="M42" s="43"/>
      <c r="N42" s="63">
        <v>45900</v>
      </c>
      <c r="O42" s="52"/>
      <c r="P42" s="62">
        <v>3000</v>
      </c>
      <c r="Q42" s="98">
        <v>45901</v>
      </c>
      <c r="R42" s="64"/>
      <c r="S42" s="69"/>
      <c r="T42" s="69"/>
      <c r="U42" s="44"/>
      <c r="V42" s="120"/>
      <c r="W42" s="68"/>
      <c r="X42" s="32">
        <v>35</v>
      </c>
    </row>
    <row r="43" s="32" customFormat="1" spans="1:24">
      <c r="A43" s="91"/>
      <c r="B43" s="43"/>
      <c r="C43" s="43"/>
      <c r="D43" s="43"/>
      <c r="E43" s="43"/>
      <c r="F43" s="63"/>
      <c r="G43" s="96"/>
      <c r="H43" s="44"/>
      <c r="I43" s="45"/>
      <c r="J43" s="117"/>
      <c r="K43" s="118"/>
      <c r="L43" s="43"/>
      <c r="M43" s="43"/>
      <c r="N43" s="63">
        <v>45930</v>
      </c>
      <c r="O43" s="52"/>
      <c r="P43" s="62">
        <v>3000</v>
      </c>
      <c r="Q43" s="98">
        <v>45933</v>
      </c>
      <c r="R43" s="64"/>
      <c r="S43" s="69"/>
      <c r="T43" s="69"/>
      <c r="U43" s="44"/>
      <c r="V43" s="120"/>
      <c r="W43" s="68"/>
      <c r="X43" s="32">
        <v>35</v>
      </c>
    </row>
    <row r="44" s="32" customFormat="1" spans="1:24">
      <c r="A44" s="91"/>
      <c r="B44" s="43"/>
      <c r="C44" s="43"/>
      <c r="D44" s="43"/>
      <c r="E44" s="43"/>
      <c r="F44" s="63"/>
      <c r="G44" s="96"/>
      <c r="H44" s="44"/>
      <c r="I44" s="45"/>
      <c r="J44" s="117"/>
      <c r="K44" s="118"/>
      <c r="L44" s="43"/>
      <c r="M44" s="43"/>
      <c r="N44" s="63">
        <v>45961</v>
      </c>
      <c r="O44" s="52"/>
      <c r="P44" s="69">
        <v>3000</v>
      </c>
      <c r="Q44" s="98"/>
      <c r="R44" s="64"/>
      <c r="S44" s="69"/>
      <c r="T44" s="69"/>
      <c r="U44" s="44"/>
      <c r="V44" s="120"/>
      <c r="W44" s="68"/>
      <c r="X44" s="32">
        <v>35</v>
      </c>
    </row>
    <row r="45" s="31" customFormat="1" ht="90" customHeight="1" spans="1:24">
      <c r="A45" s="91">
        <v>5</v>
      </c>
      <c r="B45" s="43" t="s">
        <v>70</v>
      </c>
      <c r="C45" s="43" t="s">
        <v>80</v>
      </c>
      <c r="D45" s="43" t="s">
        <v>81</v>
      </c>
      <c r="E45" s="43" t="s">
        <v>252</v>
      </c>
      <c r="F45" s="63">
        <v>45653</v>
      </c>
      <c r="G45" s="96" t="s">
        <v>253</v>
      </c>
      <c r="H45" s="44">
        <v>27331.2</v>
      </c>
      <c r="I45" s="45">
        <f>IF(X45=36,H45+SUM(S45:S54)-SUM(T45:T54)-SUM(P45:P54)-V45,0)</f>
        <v>4555.2</v>
      </c>
      <c r="J45" s="117">
        <v>2310163739</v>
      </c>
      <c r="K45" s="118" t="s">
        <v>254</v>
      </c>
      <c r="L45" s="43" t="s">
        <v>80</v>
      </c>
      <c r="M45" s="43" t="s">
        <v>239</v>
      </c>
      <c r="N45" s="52">
        <v>45688</v>
      </c>
      <c r="O45" s="52" t="s">
        <v>255</v>
      </c>
      <c r="P45" s="62">
        <v>2277.6</v>
      </c>
      <c r="Q45" s="96">
        <v>45709</v>
      </c>
      <c r="R45" s="43"/>
      <c r="S45" s="44"/>
      <c r="T45" s="44"/>
      <c r="U45" s="44"/>
      <c r="V45" s="120"/>
      <c r="W45" s="68"/>
      <c r="X45" s="31">
        <v>36</v>
      </c>
    </row>
    <row r="46" s="32" customFormat="1" spans="1:24">
      <c r="A46" s="91"/>
      <c r="B46" s="43"/>
      <c r="C46" s="43"/>
      <c r="D46" s="43"/>
      <c r="E46" s="43"/>
      <c r="F46" s="63"/>
      <c r="G46" s="96"/>
      <c r="H46" s="44"/>
      <c r="I46" s="45"/>
      <c r="J46" s="117"/>
      <c r="K46" s="118"/>
      <c r="L46" s="43"/>
      <c r="M46" s="43"/>
      <c r="N46" s="63">
        <v>45716</v>
      </c>
      <c r="O46" s="52"/>
      <c r="P46" s="62">
        <v>2277.6</v>
      </c>
      <c r="Q46" s="98">
        <v>45716</v>
      </c>
      <c r="R46" s="64"/>
      <c r="S46" s="69"/>
      <c r="T46" s="69"/>
      <c r="U46" s="44"/>
      <c r="V46" s="120"/>
      <c r="W46" s="68"/>
      <c r="X46" s="32">
        <v>36</v>
      </c>
    </row>
    <row r="47" s="32" customFormat="1" spans="1:24">
      <c r="A47" s="91"/>
      <c r="B47" s="43"/>
      <c r="C47" s="43"/>
      <c r="D47" s="43"/>
      <c r="E47" s="43"/>
      <c r="F47" s="63"/>
      <c r="G47" s="96"/>
      <c r="H47" s="44"/>
      <c r="I47" s="45"/>
      <c r="J47" s="117"/>
      <c r="K47" s="118"/>
      <c r="L47" s="43"/>
      <c r="M47" s="43"/>
      <c r="N47" s="63">
        <v>45747</v>
      </c>
      <c r="O47" s="52"/>
      <c r="P47" s="62">
        <v>2277.6</v>
      </c>
      <c r="Q47" s="98">
        <v>45749</v>
      </c>
      <c r="R47" s="64"/>
      <c r="S47" s="69"/>
      <c r="T47" s="69"/>
      <c r="U47" s="44"/>
      <c r="V47" s="120"/>
      <c r="W47" s="68"/>
      <c r="X47" s="32">
        <v>36</v>
      </c>
    </row>
    <row r="48" s="32" customFormat="1" spans="1:24">
      <c r="A48" s="91"/>
      <c r="B48" s="43"/>
      <c r="C48" s="43"/>
      <c r="D48" s="43"/>
      <c r="E48" s="43"/>
      <c r="F48" s="63"/>
      <c r="G48" s="96"/>
      <c r="H48" s="44"/>
      <c r="I48" s="45"/>
      <c r="J48" s="117"/>
      <c r="K48" s="118"/>
      <c r="L48" s="43"/>
      <c r="M48" s="43"/>
      <c r="N48" s="63">
        <v>45777</v>
      </c>
      <c r="O48" s="52"/>
      <c r="P48" s="62">
        <v>2277.6</v>
      </c>
      <c r="Q48" s="98">
        <v>45777</v>
      </c>
      <c r="R48" s="64"/>
      <c r="S48" s="69"/>
      <c r="T48" s="69"/>
      <c r="U48" s="44"/>
      <c r="V48" s="120"/>
      <c r="W48" s="68"/>
      <c r="X48" s="32">
        <v>36</v>
      </c>
    </row>
    <row r="49" s="32" customFormat="1" spans="1:24">
      <c r="A49" s="91"/>
      <c r="B49" s="43"/>
      <c r="C49" s="43"/>
      <c r="D49" s="43"/>
      <c r="E49" s="43"/>
      <c r="F49" s="63"/>
      <c r="G49" s="96"/>
      <c r="H49" s="44"/>
      <c r="I49" s="45"/>
      <c r="J49" s="117"/>
      <c r="K49" s="118"/>
      <c r="L49" s="43"/>
      <c r="M49" s="43"/>
      <c r="N49" s="63">
        <v>45807</v>
      </c>
      <c r="O49" s="52"/>
      <c r="P49" s="62">
        <v>2277.6</v>
      </c>
      <c r="Q49" s="98">
        <v>45814</v>
      </c>
      <c r="R49" s="64"/>
      <c r="S49" s="69"/>
      <c r="T49" s="69"/>
      <c r="U49" s="44"/>
      <c r="V49" s="120"/>
      <c r="W49" s="68"/>
      <c r="X49" s="32">
        <v>36</v>
      </c>
    </row>
    <row r="50" s="32" customFormat="1" spans="1:24">
      <c r="A50" s="91"/>
      <c r="B50" s="43"/>
      <c r="C50" s="43"/>
      <c r="D50" s="43"/>
      <c r="E50" s="43"/>
      <c r="F50" s="63"/>
      <c r="G50" s="96"/>
      <c r="H50" s="44"/>
      <c r="I50" s="45"/>
      <c r="J50" s="117"/>
      <c r="K50" s="118"/>
      <c r="L50" s="43"/>
      <c r="M50" s="43"/>
      <c r="N50" s="63">
        <v>45838</v>
      </c>
      <c r="O50" s="52"/>
      <c r="P50" s="62">
        <v>2277.6</v>
      </c>
      <c r="Q50" s="98">
        <v>45839</v>
      </c>
      <c r="R50" s="64"/>
      <c r="S50" s="69"/>
      <c r="T50" s="69"/>
      <c r="U50" s="44"/>
      <c r="V50" s="120"/>
      <c r="W50" s="68"/>
      <c r="X50" s="32">
        <v>36</v>
      </c>
    </row>
    <row r="51" s="32" customFormat="1" spans="1:24">
      <c r="A51" s="91"/>
      <c r="B51" s="43"/>
      <c r="C51" s="43"/>
      <c r="D51" s="43"/>
      <c r="E51" s="43"/>
      <c r="F51" s="63"/>
      <c r="G51" s="96"/>
      <c r="H51" s="44"/>
      <c r="I51" s="45"/>
      <c r="J51" s="117"/>
      <c r="K51" s="118"/>
      <c r="L51" s="43"/>
      <c r="M51" s="43"/>
      <c r="N51" s="63">
        <v>45869</v>
      </c>
      <c r="O51" s="52"/>
      <c r="P51" s="62">
        <v>2277.6</v>
      </c>
      <c r="Q51" s="98">
        <v>45873</v>
      </c>
      <c r="R51" s="64"/>
      <c r="S51" s="69"/>
      <c r="T51" s="69"/>
      <c r="U51" s="44"/>
      <c r="V51" s="120"/>
      <c r="W51" s="68"/>
      <c r="X51" s="32">
        <v>36</v>
      </c>
    </row>
    <row r="52" s="32" customFormat="1" spans="1:24">
      <c r="A52" s="91"/>
      <c r="B52" s="43"/>
      <c r="C52" s="43"/>
      <c r="D52" s="43"/>
      <c r="E52" s="43"/>
      <c r="F52" s="63"/>
      <c r="G52" s="96"/>
      <c r="H52" s="44"/>
      <c r="I52" s="45"/>
      <c r="J52" s="117"/>
      <c r="K52" s="118"/>
      <c r="L52" s="43"/>
      <c r="M52" s="43"/>
      <c r="N52" s="63">
        <v>45898</v>
      </c>
      <c r="O52" s="52"/>
      <c r="P52" s="62">
        <v>2277.6</v>
      </c>
      <c r="Q52" s="98">
        <v>45902</v>
      </c>
      <c r="R52" s="64"/>
      <c r="S52" s="69"/>
      <c r="T52" s="69"/>
      <c r="U52" s="44"/>
      <c r="V52" s="120"/>
      <c r="W52" s="68"/>
      <c r="X52" s="32">
        <v>36</v>
      </c>
    </row>
    <row r="53" s="32" customFormat="1" spans="1:24">
      <c r="A53" s="91"/>
      <c r="B53" s="43"/>
      <c r="C53" s="43"/>
      <c r="D53" s="43"/>
      <c r="E53" s="43"/>
      <c r="F53" s="63"/>
      <c r="G53" s="96"/>
      <c r="H53" s="44"/>
      <c r="I53" s="45"/>
      <c r="J53" s="117"/>
      <c r="K53" s="118"/>
      <c r="L53" s="43"/>
      <c r="M53" s="43"/>
      <c r="N53" s="63">
        <v>45930</v>
      </c>
      <c r="O53" s="52"/>
      <c r="P53" s="62">
        <v>2277.6</v>
      </c>
      <c r="Q53" s="98">
        <v>45933</v>
      </c>
      <c r="R53" s="64"/>
      <c r="S53" s="69"/>
      <c r="T53" s="69"/>
      <c r="U53" s="44"/>
      <c r="V53" s="120"/>
      <c r="W53" s="68"/>
      <c r="X53" s="32">
        <v>36</v>
      </c>
    </row>
    <row r="54" s="32" customFormat="1" spans="1:24">
      <c r="A54" s="91"/>
      <c r="B54" s="43"/>
      <c r="C54" s="43"/>
      <c r="D54" s="43"/>
      <c r="E54" s="43"/>
      <c r="F54" s="63"/>
      <c r="G54" s="96"/>
      <c r="H54" s="44"/>
      <c r="I54" s="45"/>
      <c r="J54" s="117"/>
      <c r="K54" s="118"/>
      <c r="L54" s="43"/>
      <c r="M54" s="43"/>
      <c r="N54" s="63">
        <v>45961</v>
      </c>
      <c r="O54" s="52"/>
      <c r="P54" s="69">
        <v>2277.6</v>
      </c>
      <c r="Q54" s="98"/>
      <c r="R54" s="64"/>
      <c r="S54" s="69"/>
      <c r="T54" s="69"/>
      <c r="U54" s="44"/>
      <c r="V54" s="120"/>
      <c r="W54" s="68"/>
      <c r="X54" s="32">
        <v>36</v>
      </c>
    </row>
    <row r="55" s="31" customFormat="1" ht="36" customHeight="1" spans="1:24">
      <c r="A55" s="91">
        <v>6</v>
      </c>
      <c r="B55" s="43" t="s">
        <v>70</v>
      </c>
      <c r="C55" s="43" t="s">
        <v>80</v>
      </c>
      <c r="D55" s="43" t="s">
        <v>81</v>
      </c>
      <c r="E55" s="43" t="s">
        <v>190</v>
      </c>
      <c r="F55" s="63">
        <v>45653</v>
      </c>
      <c r="G55" s="96" t="s">
        <v>256</v>
      </c>
      <c r="H55" s="44">
        <v>36000</v>
      </c>
      <c r="I55" s="45">
        <f>IF(X55=39,H55+SUM(S55:S57)-SUM(T55:T57)-SUM(P55:P57)-V55,0)</f>
        <v>9000</v>
      </c>
      <c r="J55" s="117">
        <v>235306577600</v>
      </c>
      <c r="K55" s="118" t="s">
        <v>257</v>
      </c>
      <c r="L55" s="43" t="s">
        <v>80</v>
      </c>
      <c r="M55" s="43" t="s">
        <v>239</v>
      </c>
      <c r="N55" s="52">
        <v>45747</v>
      </c>
      <c r="O55" s="52" t="s">
        <v>258</v>
      </c>
      <c r="P55" s="62">
        <v>9000</v>
      </c>
      <c r="Q55" s="96">
        <v>45749</v>
      </c>
      <c r="R55" s="43"/>
      <c r="S55" s="44"/>
      <c r="T55" s="44"/>
      <c r="U55" s="44"/>
      <c r="V55" s="120"/>
      <c r="W55" s="68"/>
      <c r="X55" s="31">
        <v>39</v>
      </c>
    </row>
    <row r="56" s="32" customFormat="1" spans="1:24">
      <c r="A56" s="91"/>
      <c r="B56" s="43"/>
      <c r="C56" s="43"/>
      <c r="D56" s="43"/>
      <c r="E56" s="43"/>
      <c r="F56" s="63"/>
      <c r="G56" s="96"/>
      <c r="H56" s="44"/>
      <c r="I56" s="45"/>
      <c r="J56" s="117"/>
      <c r="K56" s="118"/>
      <c r="L56" s="43"/>
      <c r="M56" s="43"/>
      <c r="N56" s="63">
        <v>45838</v>
      </c>
      <c r="O56" s="52"/>
      <c r="P56" s="62">
        <v>9000</v>
      </c>
      <c r="Q56" s="98">
        <v>45839</v>
      </c>
      <c r="R56" s="64"/>
      <c r="S56" s="69"/>
      <c r="T56" s="69"/>
      <c r="U56" s="44"/>
      <c r="V56" s="120"/>
      <c r="W56" s="68"/>
      <c r="X56" s="32">
        <v>39</v>
      </c>
    </row>
    <row r="57" s="32" customFormat="1" spans="1:24">
      <c r="A57" s="91"/>
      <c r="B57" s="43"/>
      <c r="C57" s="43"/>
      <c r="D57" s="43"/>
      <c r="E57" s="43"/>
      <c r="F57" s="63"/>
      <c r="G57" s="96"/>
      <c r="H57" s="44"/>
      <c r="I57" s="45"/>
      <c r="J57" s="117"/>
      <c r="K57" s="118"/>
      <c r="L57" s="43"/>
      <c r="M57" s="43"/>
      <c r="N57" s="63">
        <v>45930</v>
      </c>
      <c r="O57" s="52"/>
      <c r="P57" s="62">
        <v>9000</v>
      </c>
      <c r="Q57" s="98">
        <v>45933</v>
      </c>
      <c r="R57" s="64"/>
      <c r="S57" s="69"/>
      <c r="T57" s="69"/>
      <c r="U57" s="44"/>
      <c r="V57" s="120"/>
      <c r="W57" s="68"/>
      <c r="X57" s="32">
        <v>39</v>
      </c>
    </row>
    <row r="58" s="31" customFormat="1" ht="36" customHeight="1" spans="1:24">
      <c r="A58" s="91">
        <v>7</v>
      </c>
      <c r="B58" s="43" t="s">
        <v>70</v>
      </c>
      <c r="C58" s="43" t="s">
        <v>80</v>
      </c>
      <c r="D58" s="43" t="s">
        <v>81</v>
      </c>
      <c r="E58" s="43" t="s">
        <v>56</v>
      </c>
      <c r="F58" s="63">
        <v>45653</v>
      </c>
      <c r="G58" s="96" t="s">
        <v>259</v>
      </c>
      <c r="H58" s="44">
        <v>47175.36</v>
      </c>
      <c r="I58" s="45">
        <f>IF(X58=40,H58+SUM(S58:S67)-SUM(T58:T67)-SUM(P58:P67)-V58,0)</f>
        <v>34159.61</v>
      </c>
      <c r="J58" s="117">
        <v>2353023951</v>
      </c>
      <c r="K58" s="118" t="s">
        <v>260</v>
      </c>
      <c r="L58" s="43" t="s">
        <v>80</v>
      </c>
      <c r="M58" s="43" t="s">
        <v>239</v>
      </c>
      <c r="N58" s="52">
        <v>45685</v>
      </c>
      <c r="O58" s="52" t="s">
        <v>251</v>
      </c>
      <c r="P58" s="62">
        <v>1332</v>
      </c>
      <c r="Q58" s="96">
        <v>45688</v>
      </c>
      <c r="R58" s="43"/>
      <c r="S58" s="44"/>
      <c r="T58" s="44"/>
      <c r="U58" s="44"/>
      <c r="V58" s="120"/>
      <c r="W58" s="68"/>
      <c r="X58" s="31">
        <v>40</v>
      </c>
    </row>
    <row r="59" s="32" customFormat="1" spans="1:24">
      <c r="A59" s="91"/>
      <c r="B59" s="43"/>
      <c r="C59" s="43"/>
      <c r="D59" s="43"/>
      <c r="E59" s="43"/>
      <c r="F59" s="63"/>
      <c r="G59" s="96"/>
      <c r="H59" s="44"/>
      <c r="I59" s="45"/>
      <c r="J59" s="117"/>
      <c r="K59" s="118"/>
      <c r="L59" s="43"/>
      <c r="M59" s="43"/>
      <c r="N59" s="63">
        <v>45714</v>
      </c>
      <c r="O59" s="52"/>
      <c r="P59" s="62">
        <v>1258</v>
      </c>
      <c r="Q59" s="98">
        <v>45716</v>
      </c>
      <c r="R59" s="64"/>
      <c r="S59" s="69"/>
      <c r="T59" s="69"/>
      <c r="U59" s="44"/>
      <c r="V59" s="120"/>
      <c r="W59" s="68"/>
      <c r="X59" s="32">
        <v>40</v>
      </c>
    </row>
    <row r="60" s="32" customFormat="1" spans="1:24">
      <c r="A60" s="91"/>
      <c r="B60" s="43"/>
      <c r="C60" s="43"/>
      <c r="D60" s="43"/>
      <c r="E60" s="43"/>
      <c r="F60" s="63"/>
      <c r="G60" s="96"/>
      <c r="H60" s="44"/>
      <c r="I60" s="45"/>
      <c r="J60" s="117"/>
      <c r="K60" s="118"/>
      <c r="L60" s="43"/>
      <c r="M60" s="43"/>
      <c r="N60" s="63">
        <v>45743</v>
      </c>
      <c r="O60" s="52"/>
      <c r="P60" s="62">
        <v>1036</v>
      </c>
      <c r="Q60" s="98">
        <v>45749</v>
      </c>
      <c r="R60" s="64"/>
      <c r="S60" s="69"/>
      <c r="T60" s="69"/>
      <c r="U60" s="44"/>
      <c r="V60" s="120"/>
      <c r="W60" s="68"/>
      <c r="X60" s="32">
        <v>40</v>
      </c>
    </row>
    <row r="61" s="32" customFormat="1" spans="1:24">
      <c r="A61" s="91"/>
      <c r="B61" s="43"/>
      <c r="C61" s="43"/>
      <c r="D61" s="43"/>
      <c r="E61" s="43"/>
      <c r="F61" s="63"/>
      <c r="G61" s="96"/>
      <c r="H61" s="44"/>
      <c r="I61" s="45"/>
      <c r="J61" s="117"/>
      <c r="K61" s="118"/>
      <c r="L61" s="43"/>
      <c r="M61" s="43"/>
      <c r="N61" s="63">
        <v>45777</v>
      </c>
      <c r="O61" s="52"/>
      <c r="P61" s="62">
        <v>777</v>
      </c>
      <c r="Q61" s="98">
        <v>45789</v>
      </c>
      <c r="R61" s="64"/>
      <c r="S61" s="69"/>
      <c r="T61" s="69"/>
      <c r="U61" s="44"/>
      <c r="V61" s="120"/>
      <c r="W61" s="68"/>
      <c r="X61" s="32">
        <v>40</v>
      </c>
    </row>
    <row r="62" s="32" customFormat="1" spans="1:24">
      <c r="A62" s="91"/>
      <c r="B62" s="43"/>
      <c r="C62" s="43"/>
      <c r="D62" s="43"/>
      <c r="E62" s="43"/>
      <c r="F62" s="63"/>
      <c r="G62" s="96"/>
      <c r="H62" s="44"/>
      <c r="I62" s="45"/>
      <c r="J62" s="117"/>
      <c r="K62" s="118"/>
      <c r="L62" s="43"/>
      <c r="M62" s="43"/>
      <c r="N62" s="63">
        <v>45807</v>
      </c>
      <c r="O62" s="52"/>
      <c r="P62" s="62">
        <v>1295</v>
      </c>
      <c r="Q62" s="98">
        <v>45814</v>
      </c>
      <c r="R62" s="64"/>
      <c r="S62" s="69"/>
      <c r="T62" s="69"/>
      <c r="U62" s="44"/>
      <c r="V62" s="120"/>
      <c r="W62" s="68"/>
      <c r="X62" s="32">
        <v>40</v>
      </c>
    </row>
    <row r="63" s="32" customFormat="1" spans="1:24">
      <c r="A63" s="91"/>
      <c r="B63" s="43"/>
      <c r="C63" s="43"/>
      <c r="D63" s="43"/>
      <c r="E63" s="43"/>
      <c r="F63" s="63"/>
      <c r="G63" s="96"/>
      <c r="H63" s="44"/>
      <c r="I63" s="45"/>
      <c r="J63" s="117"/>
      <c r="K63" s="118"/>
      <c r="L63" s="43"/>
      <c r="M63" s="43"/>
      <c r="N63" s="63">
        <v>45838</v>
      </c>
      <c r="O63" s="52"/>
      <c r="P63" s="62">
        <v>1110</v>
      </c>
      <c r="Q63" s="98">
        <v>45840</v>
      </c>
      <c r="R63" s="64"/>
      <c r="S63" s="69"/>
      <c r="T63" s="69"/>
      <c r="U63" s="44"/>
      <c r="V63" s="120"/>
      <c r="W63" s="68"/>
      <c r="X63" s="32">
        <v>40</v>
      </c>
    </row>
    <row r="64" s="32" customFormat="1" spans="1:24">
      <c r="A64" s="91"/>
      <c r="B64" s="43"/>
      <c r="C64" s="43"/>
      <c r="D64" s="43"/>
      <c r="E64" s="43"/>
      <c r="F64" s="63"/>
      <c r="G64" s="96"/>
      <c r="H64" s="44"/>
      <c r="I64" s="45"/>
      <c r="J64" s="117"/>
      <c r="K64" s="118"/>
      <c r="L64" s="43"/>
      <c r="M64" s="43"/>
      <c r="N64" s="63">
        <v>45866</v>
      </c>
      <c r="O64" s="52"/>
      <c r="P64" s="62">
        <v>1081.35</v>
      </c>
      <c r="Q64" s="98">
        <v>45873</v>
      </c>
      <c r="R64" s="64"/>
      <c r="S64" s="69"/>
      <c r="T64" s="69"/>
      <c r="U64" s="44"/>
      <c r="V64" s="120"/>
      <c r="W64" s="68"/>
      <c r="X64" s="32">
        <v>40</v>
      </c>
    </row>
    <row r="65" s="32" customFormat="1" spans="1:24">
      <c r="A65" s="91"/>
      <c r="B65" s="43"/>
      <c r="C65" s="43"/>
      <c r="D65" s="43"/>
      <c r="E65" s="43"/>
      <c r="F65" s="63"/>
      <c r="G65" s="96"/>
      <c r="H65" s="44"/>
      <c r="I65" s="45"/>
      <c r="J65" s="117"/>
      <c r="K65" s="118"/>
      <c r="L65" s="43"/>
      <c r="M65" s="43"/>
      <c r="N65" s="63">
        <v>45897</v>
      </c>
      <c r="O65" s="52"/>
      <c r="P65" s="62">
        <v>1922.4</v>
      </c>
      <c r="Q65" s="98">
        <v>45903</v>
      </c>
      <c r="R65" s="64"/>
      <c r="S65" s="69"/>
      <c r="T65" s="69"/>
      <c r="U65" s="44"/>
      <c r="V65" s="120"/>
      <c r="W65" s="68"/>
      <c r="X65" s="32">
        <v>40</v>
      </c>
    </row>
    <row r="66" s="32" customFormat="1" spans="1:24">
      <c r="A66" s="91"/>
      <c r="B66" s="43"/>
      <c r="C66" s="43"/>
      <c r="D66" s="43"/>
      <c r="E66" s="43"/>
      <c r="F66" s="63"/>
      <c r="G66" s="96"/>
      <c r="H66" s="44"/>
      <c r="I66" s="45"/>
      <c r="J66" s="117"/>
      <c r="K66" s="118"/>
      <c r="L66" s="43"/>
      <c r="M66" s="43"/>
      <c r="N66" s="63">
        <v>45929</v>
      </c>
      <c r="O66" s="52"/>
      <c r="P66" s="62">
        <v>1882.35</v>
      </c>
      <c r="Q66" s="98">
        <v>45933</v>
      </c>
      <c r="R66" s="64"/>
      <c r="S66" s="69"/>
      <c r="T66" s="69"/>
      <c r="U66" s="44"/>
      <c r="V66" s="120"/>
      <c r="W66" s="68"/>
      <c r="X66" s="32">
        <v>40</v>
      </c>
    </row>
    <row r="67" s="32" customFormat="1" spans="1:24">
      <c r="A67" s="91"/>
      <c r="B67" s="43"/>
      <c r="C67" s="43"/>
      <c r="D67" s="43"/>
      <c r="E67" s="43"/>
      <c r="F67" s="63"/>
      <c r="G67" s="96"/>
      <c r="H67" s="44"/>
      <c r="I67" s="45"/>
      <c r="J67" s="117"/>
      <c r="K67" s="118"/>
      <c r="L67" s="43"/>
      <c r="M67" s="43"/>
      <c r="N67" s="63">
        <v>45957</v>
      </c>
      <c r="O67" s="52"/>
      <c r="P67" s="69">
        <v>1321.65</v>
      </c>
      <c r="Q67" s="98"/>
      <c r="R67" s="64"/>
      <c r="S67" s="69"/>
      <c r="T67" s="69"/>
      <c r="U67" s="44"/>
      <c r="V67" s="120"/>
      <c r="W67" s="68"/>
      <c r="X67" s="32">
        <v>40</v>
      </c>
    </row>
    <row r="68" s="31" customFormat="1" ht="108" customHeight="1" spans="1:24">
      <c r="A68" s="91">
        <v>8</v>
      </c>
      <c r="B68" s="43" t="s">
        <v>70</v>
      </c>
      <c r="C68" s="43" t="s">
        <v>80</v>
      </c>
      <c r="D68" s="43" t="s">
        <v>81</v>
      </c>
      <c r="E68" s="43" t="s">
        <v>261</v>
      </c>
      <c r="F68" s="63">
        <v>45653</v>
      </c>
      <c r="G68" s="96" t="s">
        <v>262</v>
      </c>
      <c r="H68" s="44">
        <v>54000</v>
      </c>
      <c r="I68" s="45">
        <f>IF(X68=41,H68+SUM(S68:S68)-SUM(T68:T68)-SUM(P68:P68)-V68,0)</f>
        <v>0</v>
      </c>
      <c r="J68" s="117">
        <v>2353017179</v>
      </c>
      <c r="K68" s="118" t="s">
        <v>263</v>
      </c>
      <c r="L68" s="43" t="s">
        <v>80</v>
      </c>
      <c r="M68" s="43" t="s">
        <v>239</v>
      </c>
      <c r="N68" s="52">
        <v>45688</v>
      </c>
      <c r="O68" s="52" t="s">
        <v>251</v>
      </c>
      <c r="P68" s="62">
        <v>6600</v>
      </c>
      <c r="Q68" s="96">
        <v>45695</v>
      </c>
      <c r="R68" s="43"/>
      <c r="S68" s="44"/>
      <c r="T68" s="44"/>
      <c r="U68" s="44" t="s">
        <v>264</v>
      </c>
      <c r="V68" s="120">
        <v>47400</v>
      </c>
      <c r="W68" s="68"/>
      <c r="X68" s="31">
        <v>41</v>
      </c>
    </row>
    <row r="69" s="31" customFormat="1" ht="54" customHeight="1" spans="1:24">
      <c r="A69" s="91">
        <v>9</v>
      </c>
      <c r="B69" s="43" t="s">
        <v>70</v>
      </c>
      <c r="C69" s="43" t="s">
        <v>80</v>
      </c>
      <c r="D69" s="43" t="s">
        <v>81</v>
      </c>
      <c r="E69" s="43" t="s">
        <v>265</v>
      </c>
      <c r="F69" s="63">
        <v>45656</v>
      </c>
      <c r="G69" s="96" t="s">
        <v>266</v>
      </c>
      <c r="H69" s="44">
        <v>3600</v>
      </c>
      <c r="I69" s="45">
        <f>IF(X69=42,H69+SUM(S69:S71)-SUM(T69:T71)-SUM(P69:P71)-V69,0)</f>
        <v>0</v>
      </c>
      <c r="J69" s="117">
        <v>2369000660</v>
      </c>
      <c r="K69" s="118" t="s">
        <v>267</v>
      </c>
      <c r="L69" s="43" t="s">
        <v>80</v>
      </c>
      <c r="M69" s="43" t="s">
        <v>239</v>
      </c>
      <c r="N69" s="52">
        <v>45747</v>
      </c>
      <c r="O69" s="52" t="s">
        <v>251</v>
      </c>
      <c r="P69" s="62">
        <v>1200</v>
      </c>
      <c r="Q69" s="96">
        <v>45749</v>
      </c>
      <c r="R69" s="43"/>
      <c r="S69" s="44"/>
      <c r="T69" s="44"/>
      <c r="U69" s="44"/>
      <c r="V69" s="120"/>
      <c r="W69" s="68"/>
      <c r="X69" s="31">
        <v>42</v>
      </c>
    </row>
    <row r="70" s="32" customFormat="1" spans="1:24">
      <c r="A70" s="91"/>
      <c r="B70" s="43"/>
      <c r="C70" s="43"/>
      <c r="D70" s="43"/>
      <c r="E70" s="43"/>
      <c r="F70" s="63"/>
      <c r="G70" s="96"/>
      <c r="H70" s="44"/>
      <c r="I70" s="45"/>
      <c r="J70" s="117"/>
      <c r="K70" s="118"/>
      <c r="L70" s="43"/>
      <c r="M70" s="43"/>
      <c r="N70" s="63">
        <v>45838</v>
      </c>
      <c r="O70" s="52"/>
      <c r="P70" s="62">
        <v>1200</v>
      </c>
      <c r="Q70" s="98">
        <v>45839</v>
      </c>
      <c r="R70" s="64"/>
      <c r="S70" s="69"/>
      <c r="T70" s="69"/>
      <c r="U70" s="44"/>
      <c r="V70" s="120"/>
      <c r="W70" s="68"/>
      <c r="X70" s="32">
        <v>42</v>
      </c>
    </row>
    <row r="71" s="32" customFormat="1" spans="1:24">
      <c r="A71" s="91"/>
      <c r="B71" s="43"/>
      <c r="C71" s="43"/>
      <c r="D71" s="43"/>
      <c r="E71" s="43"/>
      <c r="F71" s="63"/>
      <c r="G71" s="96"/>
      <c r="H71" s="44"/>
      <c r="I71" s="45"/>
      <c r="J71" s="117"/>
      <c r="K71" s="118"/>
      <c r="L71" s="43"/>
      <c r="M71" s="43"/>
      <c r="N71" s="63">
        <v>45930</v>
      </c>
      <c r="O71" s="52"/>
      <c r="P71" s="62">
        <v>1200</v>
      </c>
      <c r="Q71" s="98">
        <v>45943</v>
      </c>
      <c r="R71" s="64"/>
      <c r="S71" s="69"/>
      <c r="T71" s="69"/>
      <c r="U71" s="44"/>
      <c r="V71" s="120"/>
      <c r="W71" s="68"/>
      <c r="X71" s="32">
        <v>42</v>
      </c>
    </row>
    <row r="72" s="31" customFormat="1" ht="36" customHeight="1" spans="1:24">
      <c r="A72" s="91">
        <v>10</v>
      </c>
      <c r="B72" s="43" t="s">
        <v>70</v>
      </c>
      <c r="C72" s="43" t="s">
        <v>80</v>
      </c>
      <c r="D72" s="43" t="s">
        <v>81</v>
      </c>
      <c r="E72" s="43" t="s">
        <v>268</v>
      </c>
      <c r="F72" s="63">
        <v>45653</v>
      </c>
      <c r="G72" s="96" t="s">
        <v>269</v>
      </c>
      <c r="H72" s="44">
        <v>4550</v>
      </c>
      <c r="I72" s="45">
        <f>IF(X72=43,H72+SUM(S72:S81)-SUM(T72:T81)-SUM(P72:P81)-V72,0)</f>
        <v>541.880000000001</v>
      </c>
      <c r="J72" s="117">
        <v>7707049388</v>
      </c>
      <c r="K72" s="118" t="s">
        <v>270</v>
      </c>
      <c r="L72" s="43" t="s">
        <v>271</v>
      </c>
      <c r="M72" s="43" t="s">
        <v>239</v>
      </c>
      <c r="N72" s="52">
        <v>45688</v>
      </c>
      <c r="O72" s="52" t="s">
        <v>251</v>
      </c>
      <c r="P72" s="62">
        <v>396.05</v>
      </c>
      <c r="Q72" s="96">
        <v>45695</v>
      </c>
      <c r="R72" s="43"/>
      <c r="S72" s="44"/>
      <c r="T72" s="44"/>
      <c r="U72" s="44"/>
      <c r="V72" s="120"/>
      <c r="W72" s="68"/>
      <c r="X72" s="31">
        <v>43</v>
      </c>
    </row>
    <row r="73" s="32" customFormat="1" spans="1:24">
      <c r="A73" s="91"/>
      <c r="B73" s="43"/>
      <c r="C73" s="43"/>
      <c r="D73" s="43"/>
      <c r="E73" s="43"/>
      <c r="F73" s="63"/>
      <c r="G73" s="96"/>
      <c r="H73" s="44"/>
      <c r="I73" s="45"/>
      <c r="J73" s="117"/>
      <c r="K73" s="118"/>
      <c r="L73" s="43"/>
      <c r="M73" s="43"/>
      <c r="N73" s="63">
        <v>45716</v>
      </c>
      <c r="O73" s="52"/>
      <c r="P73" s="62">
        <v>390</v>
      </c>
      <c r="Q73" s="98">
        <v>45727</v>
      </c>
      <c r="R73" s="64"/>
      <c r="S73" s="69"/>
      <c r="T73" s="69"/>
      <c r="U73" s="44"/>
      <c r="V73" s="120"/>
      <c r="W73" s="68"/>
      <c r="X73" s="32">
        <v>43</v>
      </c>
    </row>
    <row r="74" s="32" customFormat="1" spans="1:24">
      <c r="A74" s="91"/>
      <c r="B74" s="43"/>
      <c r="C74" s="43"/>
      <c r="D74" s="43"/>
      <c r="E74" s="43"/>
      <c r="F74" s="63"/>
      <c r="G74" s="96"/>
      <c r="H74" s="44"/>
      <c r="I74" s="45"/>
      <c r="J74" s="117"/>
      <c r="K74" s="118"/>
      <c r="L74" s="43"/>
      <c r="M74" s="43"/>
      <c r="N74" s="63">
        <v>45747</v>
      </c>
      <c r="O74" s="52"/>
      <c r="P74" s="62">
        <v>396.48</v>
      </c>
      <c r="Q74" s="98">
        <v>45756</v>
      </c>
      <c r="R74" s="64"/>
      <c r="S74" s="69"/>
      <c r="T74" s="69"/>
      <c r="U74" s="44"/>
      <c r="V74" s="120"/>
      <c r="W74" s="68"/>
      <c r="X74" s="32">
        <v>43</v>
      </c>
    </row>
    <row r="75" s="32" customFormat="1" spans="1:24">
      <c r="A75" s="91"/>
      <c r="B75" s="43"/>
      <c r="C75" s="43"/>
      <c r="D75" s="43"/>
      <c r="E75" s="43"/>
      <c r="F75" s="63"/>
      <c r="G75" s="96"/>
      <c r="H75" s="44"/>
      <c r="I75" s="45"/>
      <c r="J75" s="117"/>
      <c r="K75" s="118"/>
      <c r="L75" s="43"/>
      <c r="M75" s="43"/>
      <c r="N75" s="63">
        <v>45777</v>
      </c>
      <c r="O75" s="52"/>
      <c r="P75" s="62">
        <v>403.2</v>
      </c>
      <c r="Q75" s="98">
        <v>45789</v>
      </c>
      <c r="R75" s="64"/>
      <c r="S75" s="69"/>
      <c r="T75" s="69"/>
      <c r="U75" s="44"/>
      <c r="V75" s="120"/>
      <c r="W75" s="68"/>
      <c r="X75" s="32">
        <v>43</v>
      </c>
    </row>
    <row r="76" s="32" customFormat="1" spans="1:24">
      <c r="A76" s="91"/>
      <c r="B76" s="43"/>
      <c r="C76" s="43"/>
      <c r="D76" s="43"/>
      <c r="E76" s="43"/>
      <c r="F76" s="63"/>
      <c r="G76" s="96"/>
      <c r="H76" s="44"/>
      <c r="I76" s="45"/>
      <c r="J76" s="117"/>
      <c r="K76" s="118"/>
      <c r="L76" s="43"/>
      <c r="M76" s="43"/>
      <c r="N76" s="63">
        <v>45808</v>
      </c>
      <c r="O76" s="52"/>
      <c r="P76" s="62">
        <v>403.2</v>
      </c>
      <c r="Q76" s="98">
        <v>45814</v>
      </c>
      <c r="R76" s="64"/>
      <c r="S76" s="69"/>
      <c r="T76" s="69"/>
      <c r="U76" s="44"/>
      <c r="V76" s="120"/>
      <c r="W76" s="68"/>
      <c r="X76" s="32">
        <v>43</v>
      </c>
    </row>
    <row r="77" s="32" customFormat="1" spans="1:24">
      <c r="A77" s="91"/>
      <c r="B77" s="43"/>
      <c r="C77" s="43"/>
      <c r="D77" s="43"/>
      <c r="E77" s="43"/>
      <c r="F77" s="63"/>
      <c r="G77" s="96"/>
      <c r="H77" s="44"/>
      <c r="I77" s="45"/>
      <c r="J77" s="117"/>
      <c r="K77" s="118"/>
      <c r="L77" s="43"/>
      <c r="M77" s="43"/>
      <c r="N77" s="63">
        <v>45838</v>
      </c>
      <c r="O77" s="52"/>
      <c r="P77" s="62">
        <v>403.2</v>
      </c>
      <c r="Q77" s="98">
        <v>45847</v>
      </c>
      <c r="R77" s="64"/>
      <c r="S77" s="69"/>
      <c r="T77" s="69"/>
      <c r="U77" s="44"/>
      <c r="V77" s="120"/>
      <c r="W77" s="68"/>
      <c r="X77" s="32">
        <v>43</v>
      </c>
    </row>
    <row r="78" s="32" customFormat="1" spans="1:24">
      <c r="A78" s="91"/>
      <c r="B78" s="43"/>
      <c r="C78" s="43"/>
      <c r="D78" s="43"/>
      <c r="E78" s="43"/>
      <c r="F78" s="63"/>
      <c r="G78" s="96"/>
      <c r="H78" s="44"/>
      <c r="I78" s="45"/>
      <c r="J78" s="117"/>
      <c r="K78" s="118"/>
      <c r="L78" s="43"/>
      <c r="M78" s="43"/>
      <c r="N78" s="63">
        <v>45869</v>
      </c>
      <c r="O78" s="52"/>
      <c r="P78" s="62">
        <v>403.2</v>
      </c>
      <c r="Q78" s="98">
        <v>45877</v>
      </c>
      <c r="R78" s="64"/>
      <c r="S78" s="69"/>
      <c r="T78" s="69"/>
      <c r="U78" s="44"/>
      <c r="V78" s="120"/>
      <c r="W78" s="68"/>
      <c r="X78" s="32">
        <v>43</v>
      </c>
    </row>
    <row r="79" s="32" customFormat="1" spans="1:24">
      <c r="A79" s="91"/>
      <c r="B79" s="43"/>
      <c r="C79" s="43"/>
      <c r="D79" s="43"/>
      <c r="E79" s="43"/>
      <c r="F79" s="63"/>
      <c r="G79" s="96"/>
      <c r="H79" s="44"/>
      <c r="I79" s="45"/>
      <c r="J79" s="117"/>
      <c r="K79" s="118"/>
      <c r="L79" s="43"/>
      <c r="M79" s="43"/>
      <c r="N79" s="63">
        <v>45900</v>
      </c>
      <c r="O79" s="52"/>
      <c r="P79" s="62">
        <v>406.39</v>
      </c>
      <c r="Q79" s="98">
        <v>45911</v>
      </c>
      <c r="R79" s="64"/>
      <c r="S79" s="69"/>
      <c r="T79" s="69"/>
      <c r="U79" s="44"/>
      <c r="V79" s="120"/>
      <c r="W79" s="68"/>
      <c r="X79" s="32">
        <v>43</v>
      </c>
    </row>
    <row r="80" s="32" customFormat="1" spans="1:24">
      <c r="A80" s="91"/>
      <c r="B80" s="43"/>
      <c r="C80" s="43"/>
      <c r="D80" s="43"/>
      <c r="E80" s="43"/>
      <c r="F80" s="63"/>
      <c r="G80" s="96"/>
      <c r="H80" s="44"/>
      <c r="I80" s="45"/>
      <c r="J80" s="117"/>
      <c r="K80" s="118"/>
      <c r="L80" s="43"/>
      <c r="M80" s="43"/>
      <c r="N80" s="63">
        <v>45930</v>
      </c>
      <c r="O80" s="52"/>
      <c r="P80" s="62">
        <v>403.2</v>
      </c>
      <c r="Q80" s="98">
        <v>45938</v>
      </c>
      <c r="R80" s="64"/>
      <c r="S80" s="69"/>
      <c r="T80" s="69"/>
      <c r="U80" s="44"/>
      <c r="V80" s="120"/>
      <c r="W80" s="68"/>
      <c r="X80" s="32">
        <v>43</v>
      </c>
    </row>
    <row r="81" s="32" customFormat="1" spans="1:24">
      <c r="A81" s="91"/>
      <c r="B81" s="43"/>
      <c r="C81" s="43"/>
      <c r="D81" s="43"/>
      <c r="E81" s="43"/>
      <c r="F81" s="63"/>
      <c r="G81" s="96"/>
      <c r="H81" s="44"/>
      <c r="I81" s="45"/>
      <c r="J81" s="117"/>
      <c r="K81" s="118"/>
      <c r="L81" s="43"/>
      <c r="M81" s="43"/>
      <c r="N81" s="63">
        <v>45961</v>
      </c>
      <c r="O81" s="52"/>
      <c r="P81" s="69">
        <v>403.2</v>
      </c>
      <c r="Q81" s="98"/>
      <c r="R81" s="64"/>
      <c r="S81" s="69"/>
      <c r="T81" s="69"/>
      <c r="U81" s="44"/>
      <c r="V81" s="120"/>
      <c r="W81" s="68"/>
      <c r="X81" s="32">
        <v>43</v>
      </c>
    </row>
    <row r="82" s="31" customFormat="1" ht="42" customHeight="1" spans="1:24">
      <c r="A82" s="90">
        <v>11</v>
      </c>
      <c r="B82" s="121" t="s">
        <v>70</v>
      </c>
      <c r="C82" s="121" t="s">
        <v>80</v>
      </c>
      <c r="D82" s="121" t="s">
        <v>81</v>
      </c>
      <c r="E82" s="121" t="s">
        <v>272</v>
      </c>
      <c r="F82" s="63">
        <v>45653</v>
      </c>
      <c r="G82" s="122" t="s">
        <v>273</v>
      </c>
      <c r="H82" s="119">
        <v>13372.8</v>
      </c>
      <c r="I82" s="123">
        <f>IF(X82=46,H82+SUM(S82:S84)-SUM(T82:T84)-SUM(P82:P84)-V82,0)</f>
        <v>3343.2</v>
      </c>
      <c r="J82" s="124">
        <v>2353018870</v>
      </c>
      <c r="K82" s="125" t="s">
        <v>129</v>
      </c>
      <c r="L82" s="121" t="s">
        <v>80</v>
      </c>
      <c r="M82" s="121" t="s">
        <v>239</v>
      </c>
      <c r="N82" s="95">
        <v>45743</v>
      </c>
      <c r="O82" s="52" t="s">
        <v>251</v>
      </c>
      <c r="P82" s="62">
        <v>3343.2</v>
      </c>
      <c r="Q82" s="96">
        <v>45749</v>
      </c>
      <c r="R82" s="43"/>
      <c r="S82" s="44"/>
      <c r="T82" s="44"/>
      <c r="U82" s="44"/>
      <c r="V82" s="120"/>
      <c r="W82" s="68"/>
      <c r="X82" s="31">
        <v>46</v>
      </c>
    </row>
    <row r="83" s="32" customFormat="1" spans="1:24">
      <c r="A83" s="90"/>
      <c r="B83" s="121"/>
      <c r="C83" s="121"/>
      <c r="D83" s="121"/>
      <c r="E83" s="121"/>
      <c r="F83" s="63"/>
      <c r="G83" s="122"/>
      <c r="H83" s="119"/>
      <c r="I83" s="123"/>
      <c r="J83" s="124"/>
      <c r="K83" s="125"/>
      <c r="L83" s="121"/>
      <c r="M83" s="121"/>
      <c r="N83" s="63">
        <v>45835</v>
      </c>
      <c r="O83" s="52"/>
      <c r="P83" s="62">
        <v>3343.2</v>
      </c>
      <c r="Q83" s="98">
        <v>45835</v>
      </c>
      <c r="R83" s="64"/>
      <c r="S83" s="69"/>
      <c r="T83" s="69"/>
      <c r="U83" s="44"/>
      <c r="V83" s="120"/>
      <c r="W83" s="68"/>
      <c r="X83" s="32">
        <v>46</v>
      </c>
    </row>
    <row r="84" s="32" customFormat="1" spans="1:24">
      <c r="A84" s="90"/>
      <c r="B84" s="121"/>
      <c r="C84" s="121"/>
      <c r="D84" s="121"/>
      <c r="E84" s="121"/>
      <c r="F84" s="63"/>
      <c r="G84" s="122"/>
      <c r="H84" s="119"/>
      <c r="I84" s="123"/>
      <c r="J84" s="124"/>
      <c r="K84" s="125"/>
      <c r="L84" s="121"/>
      <c r="M84" s="121"/>
      <c r="N84" s="63">
        <v>45929</v>
      </c>
      <c r="O84" s="52"/>
      <c r="P84" s="62">
        <v>3343.2</v>
      </c>
      <c r="Q84" s="98">
        <v>45940</v>
      </c>
      <c r="R84" s="64"/>
      <c r="S84" s="69"/>
      <c r="T84" s="69"/>
      <c r="U84" s="44"/>
      <c r="V84" s="120"/>
      <c r="W84" s="68"/>
      <c r="X84" s="32">
        <v>46</v>
      </c>
    </row>
    <row r="85" s="31" customFormat="1" ht="56.25" spans="1:24">
      <c r="A85" s="91">
        <v>12</v>
      </c>
      <c r="B85" s="43" t="s">
        <v>70</v>
      </c>
      <c r="C85" s="43" t="s">
        <v>80</v>
      </c>
      <c r="D85" s="43" t="s">
        <v>81</v>
      </c>
      <c r="E85" s="43" t="s">
        <v>47</v>
      </c>
      <c r="F85" s="63">
        <v>45656</v>
      </c>
      <c r="G85" s="96" t="s">
        <v>274</v>
      </c>
      <c r="H85" s="44">
        <v>15000</v>
      </c>
      <c r="I85" s="45">
        <f>IF(X85=47,H85+SUM(S85:S85)-SUM(T85:T85)-SUM(P85:P85)-V85,0)</f>
        <v>12200</v>
      </c>
      <c r="J85" s="117">
        <v>2369007754</v>
      </c>
      <c r="K85" s="118" t="s">
        <v>275</v>
      </c>
      <c r="L85" s="43" t="s">
        <v>80</v>
      </c>
      <c r="M85" s="43" t="s">
        <v>239</v>
      </c>
      <c r="N85" s="52">
        <v>45833</v>
      </c>
      <c r="O85" s="52" t="s">
        <v>251</v>
      </c>
      <c r="P85" s="62">
        <v>2800</v>
      </c>
      <c r="Q85" s="96">
        <v>45839</v>
      </c>
      <c r="R85" s="43"/>
      <c r="S85" s="44"/>
      <c r="T85" s="44"/>
      <c r="U85" s="44"/>
      <c r="V85" s="120"/>
      <c r="W85" s="68"/>
      <c r="X85" s="31">
        <v>47</v>
      </c>
    </row>
    <row r="86" s="31" customFormat="1" ht="54" customHeight="1" spans="1:24">
      <c r="A86" s="91">
        <v>13</v>
      </c>
      <c r="B86" s="43" t="s">
        <v>70</v>
      </c>
      <c r="C86" s="43" t="s">
        <v>80</v>
      </c>
      <c r="D86" s="43" t="s">
        <v>81</v>
      </c>
      <c r="E86" s="43" t="s">
        <v>276</v>
      </c>
      <c r="F86" s="63">
        <v>45656</v>
      </c>
      <c r="G86" s="96" t="s">
        <v>146</v>
      </c>
      <c r="H86" s="44">
        <v>190094.52</v>
      </c>
      <c r="I86" s="45">
        <f>IF(X86=80,H86+SUM(S86:S88)-SUM(T86:T88)-SUM(P86:P88)-V86,0)</f>
        <v>-1.45519152283669e-11</v>
      </c>
      <c r="J86" s="117">
        <v>7743529527</v>
      </c>
      <c r="K86" s="118" t="s">
        <v>148</v>
      </c>
      <c r="L86" s="43" t="s">
        <v>80</v>
      </c>
      <c r="M86" s="43" t="s">
        <v>277</v>
      </c>
      <c r="N86" s="52">
        <v>45688</v>
      </c>
      <c r="O86" s="52" t="s">
        <v>278</v>
      </c>
      <c r="P86" s="62">
        <v>32205</v>
      </c>
      <c r="Q86" s="96">
        <v>45701</v>
      </c>
      <c r="R86" s="43"/>
      <c r="S86" s="44"/>
      <c r="T86" s="44"/>
      <c r="U86" s="119" t="s">
        <v>279</v>
      </c>
      <c r="V86" s="120">
        <v>76839.52</v>
      </c>
      <c r="W86" s="68"/>
      <c r="X86" s="31">
        <v>80</v>
      </c>
    </row>
    <row r="87" s="32" customFormat="1" spans="1:24">
      <c r="A87" s="91"/>
      <c r="B87" s="43"/>
      <c r="C87" s="43"/>
      <c r="D87" s="43"/>
      <c r="E87" s="43"/>
      <c r="F87" s="63"/>
      <c r="G87" s="96"/>
      <c r="H87" s="44"/>
      <c r="I87" s="45"/>
      <c r="J87" s="117"/>
      <c r="K87" s="118"/>
      <c r="L87" s="43"/>
      <c r="M87" s="43"/>
      <c r="N87" s="63">
        <v>45716</v>
      </c>
      <c r="O87" s="52"/>
      <c r="P87" s="62">
        <v>47216</v>
      </c>
      <c r="Q87" s="98">
        <v>45723</v>
      </c>
      <c r="R87" s="64"/>
      <c r="S87" s="69"/>
      <c r="T87" s="69"/>
      <c r="U87" s="119"/>
      <c r="V87" s="120"/>
      <c r="W87" s="68"/>
      <c r="X87" s="32">
        <v>80</v>
      </c>
    </row>
    <row r="88" s="32" customFormat="1" spans="1:24">
      <c r="A88" s="91"/>
      <c r="B88" s="43"/>
      <c r="C88" s="43"/>
      <c r="D88" s="43"/>
      <c r="E88" s="43"/>
      <c r="F88" s="63"/>
      <c r="G88" s="96"/>
      <c r="H88" s="44"/>
      <c r="I88" s="45"/>
      <c r="J88" s="117"/>
      <c r="K88" s="118"/>
      <c r="L88" s="43"/>
      <c r="M88" s="43"/>
      <c r="N88" s="63">
        <v>45747</v>
      </c>
      <c r="O88" s="52"/>
      <c r="P88" s="62">
        <v>33834</v>
      </c>
      <c r="Q88" s="98">
        <v>45756</v>
      </c>
      <c r="R88" s="64"/>
      <c r="S88" s="69"/>
      <c r="T88" s="69"/>
      <c r="U88" s="119"/>
      <c r="V88" s="120"/>
      <c r="W88" s="68"/>
      <c r="X88" s="32">
        <v>80</v>
      </c>
    </row>
    <row r="89" s="31" customFormat="1" ht="54" customHeight="1" spans="1:24">
      <c r="A89" s="91">
        <v>14</v>
      </c>
      <c r="B89" s="43" t="s">
        <v>70</v>
      </c>
      <c r="C89" s="43" t="s">
        <v>80</v>
      </c>
      <c r="D89" s="43" t="s">
        <v>81</v>
      </c>
      <c r="E89" s="43" t="s">
        <v>67</v>
      </c>
      <c r="F89" s="63">
        <v>45672</v>
      </c>
      <c r="G89" s="96" t="s">
        <v>280</v>
      </c>
      <c r="H89" s="44">
        <v>18000</v>
      </c>
      <c r="I89" s="45">
        <f>IF(X89=81,H89+SUM(S89:S98)-SUM(T89:T98)-SUM(P89:P98)-V89,0)</f>
        <v>3000</v>
      </c>
      <c r="J89" s="117">
        <v>231107998282</v>
      </c>
      <c r="K89" s="118" t="s">
        <v>281</v>
      </c>
      <c r="L89" s="43" t="s">
        <v>80</v>
      </c>
      <c r="M89" s="43" t="s">
        <v>239</v>
      </c>
      <c r="N89" s="52">
        <v>45688</v>
      </c>
      <c r="O89" s="52" t="s">
        <v>251</v>
      </c>
      <c r="P89" s="62">
        <v>1500</v>
      </c>
      <c r="Q89" s="96">
        <v>45695</v>
      </c>
      <c r="R89" s="43"/>
      <c r="S89" s="44"/>
      <c r="T89" s="44"/>
      <c r="U89" s="44"/>
      <c r="V89" s="120"/>
      <c r="W89" s="68"/>
      <c r="X89" s="31">
        <v>81</v>
      </c>
    </row>
    <row r="90" s="32" customFormat="1" spans="1:24">
      <c r="A90" s="91"/>
      <c r="B90" s="43"/>
      <c r="C90" s="43"/>
      <c r="D90" s="43"/>
      <c r="E90" s="43"/>
      <c r="F90" s="63"/>
      <c r="G90" s="96"/>
      <c r="H90" s="44"/>
      <c r="I90" s="45"/>
      <c r="J90" s="117"/>
      <c r="K90" s="118"/>
      <c r="L90" s="43"/>
      <c r="M90" s="43"/>
      <c r="N90" s="63">
        <v>45733</v>
      </c>
      <c r="O90" s="52"/>
      <c r="P90" s="62">
        <v>1500</v>
      </c>
      <c r="Q90" s="98">
        <v>45741</v>
      </c>
      <c r="R90" s="64"/>
      <c r="S90" s="69"/>
      <c r="T90" s="69"/>
      <c r="U90" s="44"/>
      <c r="V90" s="120"/>
      <c r="W90" s="68"/>
      <c r="X90" s="32">
        <v>81</v>
      </c>
    </row>
    <row r="91" s="32" customFormat="1" spans="1:24">
      <c r="A91" s="91"/>
      <c r="B91" s="43"/>
      <c r="C91" s="43"/>
      <c r="D91" s="43"/>
      <c r="E91" s="43"/>
      <c r="F91" s="63"/>
      <c r="G91" s="96"/>
      <c r="H91" s="44"/>
      <c r="I91" s="45"/>
      <c r="J91" s="117"/>
      <c r="K91" s="118"/>
      <c r="L91" s="43"/>
      <c r="M91" s="43"/>
      <c r="N91" s="63">
        <v>45747</v>
      </c>
      <c r="O91" s="52"/>
      <c r="P91" s="62">
        <v>1500</v>
      </c>
      <c r="Q91" s="98">
        <v>45749</v>
      </c>
      <c r="R91" s="64"/>
      <c r="S91" s="69"/>
      <c r="T91" s="69"/>
      <c r="U91" s="44"/>
      <c r="V91" s="120"/>
      <c r="W91" s="68"/>
      <c r="X91" s="32">
        <v>81</v>
      </c>
    </row>
    <row r="92" s="32" customFormat="1" spans="1:24">
      <c r="A92" s="91"/>
      <c r="B92" s="43"/>
      <c r="C92" s="43"/>
      <c r="D92" s="43"/>
      <c r="E92" s="43"/>
      <c r="F92" s="63"/>
      <c r="G92" s="96"/>
      <c r="H92" s="44"/>
      <c r="I92" s="45"/>
      <c r="J92" s="117"/>
      <c r="K92" s="118"/>
      <c r="L92" s="43"/>
      <c r="M92" s="43"/>
      <c r="N92" s="63">
        <v>45777</v>
      </c>
      <c r="O92" s="52"/>
      <c r="P92" s="126">
        <v>1500</v>
      </c>
      <c r="Q92" s="98">
        <v>45777</v>
      </c>
      <c r="R92" s="64"/>
      <c r="S92" s="69"/>
      <c r="T92" s="69"/>
      <c r="U92" s="44"/>
      <c r="V92" s="120"/>
      <c r="W92" s="68"/>
      <c r="X92" s="32">
        <v>81</v>
      </c>
    </row>
    <row r="93" s="32" customFormat="1" spans="1:24">
      <c r="A93" s="91"/>
      <c r="B93" s="43"/>
      <c r="C93" s="43"/>
      <c r="D93" s="43"/>
      <c r="E93" s="43"/>
      <c r="F93" s="63"/>
      <c r="G93" s="96"/>
      <c r="H93" s="44"/>
      <c r="I93" s="45"/>
      <c r="J93" s="117"/>
      <c r="K93" s="118"/>
      <c r="L93" s="43"/>
      <c r="M93" s="43"/>
      <c r="N93" s="63">
        <v>45806</v>
      </c>
      <c r="O93" s="52"/>
      <c r="P93" s="62">
        <v>1500</v>
      </c>
      <c r="Q93" s="98">
        <v>45807</v>
      </c>
      <c r="R93" s="64"/>
      <c r="S93" s="69"/>
      <c r="T93" s="69"/>
      <c r="U93" s="44"/>
      <c r="V93" s="120"/>
      <c r="W93" s="68"/>
      <c r="X93" s="32">
        <v>81</v>
      </c>
    </row>
    <row r="94" s="32" customFormat="1" spans="1:24">
      <c r="A94" s="91"/>
      <c r="B94" s="43"/>
      <c r="C94" s="43"/>
      <c r="D94" s="43"/>
      <c r="E94" s="43"/>
      <c r="F94" s="63"/>
      <c r="G94" s="96"/>
      <c r="H94" s="44"/>
      <c r="I94" s="45"/>
      <c r="J94" s="117"/>
      <c r="K94" s="118"/>
      <c r="L94" s="43"/>
      <c r="M94" s="43"/>
      <c r="N94" s="63">
        <v>45838</v>
      </c>
      <c r="O94" s="52"/>
      <c r="P94" s="62">
        <v>1500</v>
      </c>
      <c r="Q94" s="98">
        <v>45839</v>
      </c>
      <c r="R94" s="64"/>
      <c r="S94" s="69"/>
      <c r="T94" s="69"/>
      <c r="U94" s="44"/>
      <c r="V94" s="120"/>
      <c r="W94" s="68"/>
      <c r="X94" s="32">
        <v>81</v>
      </c>
    </row>
    <row r="95" s="32" customFormat="1" spans="1:24">
      <c r="A95" s="91"/>
      <c r="B95" s="43"/>
      <c r="C95" s="43"/>
      <c r="D95" s="43"/>
      <c r="E95" s="43"/>
      <c r="F95" s="63"/>
      <c r="G95" s="96"/>
      <c r="H95" s="44"/>
      <c r="I95" s="45"/>
      <c r="J95" s="117"/>
      <c r="K95" s="118"/>
      <c r="L95" s="43"/>
      <c r="M95" s="43"/>
      <c r="N95" s="63">
        <v>45869</v>
      </c>
      <c r="O95" s="52"/>
      <c r="P95" s="62">
        <v>1500</v>
      </c>
      <c r="Q95" s="98">
        <v>45873</v>
      </c>
      <c r="R95" s="64"/>
      <c r="S95" s="69"/>
      <c r="T95" s="69"/>
      <c r="U95" s="44"/>
      <c r="V95" s="120"/>
      <c r="W95" s="68"/>
      <c r="X95" s="32">
        <v>81</v>
      </c>
    </row>
    <row r="96" s="32" customFormat="1" spans="1:24">
      <c r="A96" s="91"/>
      <c r="B96" s="43"/>
      <c r="C96" s="43"/>
      <c r="D96" s="43"/>
      <c r="E96" s="43"/>
      <c r="F96" s="63"/>
      <c r="G96" s="96"/>
      <c r="H96" s="44"/>
      <c r="I96" s="45"/>
      <c r="J96" s="117"/>
      <c r="K96" s="118"/>
      <c r="L96" s="43"/>
      <c r="M96" s="43"/>
      <c r="N96" s="63">
        <v>45900</v>
      </c>
      <c r="O96" s="52"/>
      <c r="P96" s="62">
        <v>1500</v>
      </c>
      <c r="Q96" s="98">
        <v>45903</v>
      </c>
      <c r="R96" s="64"/>
      <c r="S96" s="69"/>
      <c r="T96" s="69"/>
      <c r="U96" s="44"/>
      <c r="V96" s="120"/>
      <c r="W96" s="68"/>
      <c r="X96" s="32">
        <v>81</v>
      </c>
    </row>
    <row r="97" s="32" customFormat="1" spans="1:24">
      <c r="A97" s="91"/>
      <c r="B97" s="43"/>
      <c r="C97" s="43"/>
      <c r="D97" s="43"/>
      <c r="E97" s="43"/>
      <c r="F97" s="63"/>
      <c r="G97" s="96"/>
      <c r="H97" s="44"/>
      <c r="I97" s="45"/>
      <c r="J97" s="117"/>
      <c r="K97" s="118"/>
      <c r="L97" s="43"/>
      <c r="M97" s="43"/>
      <c r="N97" s="63">
        <v>45930</v>
      </c>
      <c r="O97" s="52"/>
      <c r="P97" s="62">
        <v>1500</v>
      </c>
      <c r="Q97" s="98">
        <v>45933</v>
      </c>
      <c r="R97" s="64"/>
      <c r="S97" s="69"/>
      <c r="T97" s="69"/>
      <c r="U97" s="44"/>
      <c r="V97" s="120"/>
      <c r="W97" s="68"/>
      <c r="X97" s="32">
        <v>81</v>
      </c>
    </row>
    <row r="98" s="32" customFormat="1" spans="1:24">
      <c r="A98" s="91"/>
      <c r="B98" s="43"/>
      <c r="C98" s="43"/>
      <c r="D98" s="43"/>
      <c r="E98" s="43"/>
      <c r="F98" s="63"/>
      <c r="G98" s="96"/>
      <c r="H98" s="44"/>
      <c r="I98" s="45"/>
      <c r="J98" s="117"/>
      <c r="K98" s="118"/>
      <c r="L98" s="43"/>
      <c r="M98" s="43"/>
      <c r="N98" s="63">
        <v>45961</v>
      </c>
      <c r="O98" s="52"/>
      <c r="P98" s="69">
        <v>1500</v>
      </c>
      <c r="Q98" s="98"/>
      <c r="R98" s="64"/>
      <c r="S98" s="69"/>
      <c r="T98" s="69"/>
      <c r="U98" s="44"/>
      <c r="V98" s="120"/>
      <c r="W98" s="68"/>
      <c r="X98" s="32">
        <v>81</v>
      </c>
    </row>
    <row r="99" s="31" customFormat="1" ht="36" customHeight="1" spans="1:24">
      <c r="A99" s="91">
        <v>15</v>
      </c>
      <c r="B99" s="43" t="s">
        <v>70</v>
      </c>
      <c r="C99" s="43" t="s">
        <v>80</v>
      </c>
      <c r="D99" s="43" t="s">
        <v>81</v>
      </c>
      <c r="E99" s="43" t="s">
        <v>282</v>
      </c>
      <c r="F99" s="63">
        <v>45672</v>
      </c>
      <c r="G99" s="96" t="s">
        <v>283</v>
      </c>
      <c r="H99" s="44">
        <v>2340</v>
      </c>
      <c r="I99" s="45">
        <f>IF(X99=82,H99+SUM(S99:S106)-SUM(T99:T106)-SUM(P99:P106)-V99,0)</f>
        <v>66</v>
      </c>
      <c r="J99" s="117">
        <v>7703383783</v>
      </c>
      <c r="K99" s="118" t="s">
        <v>284</v>
      </c>
      <c r="L99" s="43" t="s">
        <v>80</v>
      </c>
      <c r="M99" s="43" t="s">
        <v>239</v>
      </c>
      <c r="N99" s="52">
        <v>45688</v>
      </c>
      <c r="O99" s="52" t="s">
        <v>285</v>
      </c>
      <c r="P99" s="62">
        <v>69</v>
      </c>
      <c r="Q99" s="96">
        <v>45706</v>
      </c>
      <c r="R99" s="43"/>
      <c r="S99" s="44"/>
      <c r="T99" s="44"/>
      <c r="U99" s="44"/>
      <c r="V99" s="120"/>
      <c r="W99" s="68"/>
      <c r="X99" s="31">
        <v>82</v>
      </c>
    </row>
    <row r="100" s="32" customFormat="1" spans="1:24">
      <c r="A100" s="91"/>
      <c r="B100" s="43"/>
      <c r="C100" s="43"/>
      <c r="D100" s="43"/>
      <c r="E100" s="43"/>
      <c r="F100" s="63"/>
      <c r="G100" s="96"/>
      <c r="H100" s="44"/>
      <c r="I100" s="45"/>
      <c r="J100" s="117"/>
      <c r="K100" s="118"/>
      <c r="L100" s="43"/>
      <c r="M100" s="43"/>
      <c r="N100" s="63">
        <v>45716</v>
      </c>
      <c r="O100" s="52"/>
      <c r="P100" s="62">
        <v>69</v>
      </c>
      <c r="Q100" s="98">
        <v>45733</v>
      </c>
      <c r="R100" s="64"/>
      <c r="S100" s="69"/>
      <c r="T100" s="69"/>
      <c r="U100" s="44"/>
      <c r="V100" s="120"/>
      <c r="W100" s="68"/>
      <c r="X100" s="32">
        <v>82</v>
      </c>
    </row>
    <row r="101" s="32" customFormat="1" spans="1:24">
      <c r="A101" s="91"/>
      <c r="B101" s="43"/>
      <c r="C101" s="43"/>
      <c r="D101" s="43"/>
      <c r="E101" s="43"/>
      <c r="F101" s="63"/>
      <c r="G101" s="96"/>
      <c r="H101" s="44"/>
      <c r="I101" s="45"/>
      <c r="J101" s="117"/>
      <c r="K101" s="118"/>
      <c r="L101" s="43"/>
      <c r="M101" s="43"/>
      <c r="N101" s="63">
        <v>45747</v>
      </c>
      <c r="O101" s="52"/>
      <c r="P101" s="62">
        <v>69</v>
      </c>
      <c r="Q101" s="98">
        <v>45763</v>
      </c>
      <c r="R101" s="64"/>
      <c r="S101" s="69"/>
      <c r="T101" s="69"/>
      <c r="U101" s="44"/>
      <c r="V101" s="120"/>
      <c r="W101" s="68"/>
      <c r="X101" s="32">
        <v>82</v>
      </c>
    </row>
    <row r="102" s="32" customFormat="1" spans="1:24">
      <c r="A102" s="91"/>
      <c r="B102" s="43"/>
      <c r="C102" s="43"/>
      <c r="D102" s="43"/>
      <c r="E102" s="43"/>
      <c r="F102" s="63"/>
      <c r="G102" s="96"/>
      <c r="H102" s="44"/>
      <c r="I102" s="45"/>
      <c r="J102" s="117"/>
      <c r="K102" s="118"/>
      <c r="L102" s="43"/>
      <c r="M102" s="43"/>
      <c r="N102" s="63">
        <v>45777</v>
      </c>
      <c r="O102" s="52"/>
      <c r="P102" s="62">
        <v>69</v>
      </c>
      <c r="Q102" s="98">
        <v>45798</v>
      </c>
      <c r="R102" s="64"/>
      <c r="S102" s="69"/>
      <c r="T102" s="69"/>
      <c r="U102" s="44"/>
      <c r="V102" s="120"/>
      <c r="W102" s="68"/>
      <c r="X102" s="32">
        <v>82</v>
      </c>
    </row>
    <row r="103" s="32" customFormat="1" spans="1:24">
      <c r="A103" s="91"/>
      <c r="B103" s="43"/>
      <c r="C103" s="43"/>
      <c r="D103" s="43"/>
      <c r="E103" s="43"/>
      <c r="F103" s="63"/>
      <c r="G103" s="96"/>
      <c r="H103" s="44"/>
      <c r="I103" s="45"/>
      <c r="J103" s="117"/>
      <c r="K103" s="118"/>
      <c r="L103" s="43"/>
      <c r="M103" s="43"/>
      <c r="N103" s="63">
        <v>45808</v>
      </c>
      <c r="O103" s="52"/>
      <c r="P103" s="62">
        <v>69</v>
      </c>
      <c r="Q103" s="98">
        <v>45824</v>
      </c>
      <c r="R103" s="64"/>
      <c r="S103" s="69"/>
      <c r="T103" s="69"/>
      <c r="U103" s="44"/>
      <c r="V103" s="120"/>
      <c r="W103" s="68"/>
      <c r="X103" s="32">
        <v>82</v>
      </c>
    </row>
    <row r="104" s="32" customFormat="1" spans="1:24">
      <c r="A104" s="91"/>
      <c r="B104" s="43"/>
      <c r="C104" s="43"/>
      <c r="D104" s="43"/>
      <c r="E104" s="43"/>
      <c r="F104" s="63"/>
      <c r="G104" s="96"/>
      <c r="H104" s="44"/>
      <c r="I104" s="45"/>
      <c r="J104" s="117"/>
      <c r="K104" s="118"/>
      <c r="L104" s="43"/>
      <c r="M104" s="43"/>
      <c r="N104" s="63">
        <v>45838</v>
      </c>
      <c r="O104" s="52"/>
      <c r="P104" s="62">
        <v>69</v>
      </c>
      <c r="Q104" s="98">
        <v>45853</v>
      </c>
      <c r="R104" s="64"/>
      <c r="S104" s="69"/>
      <c r="T104" s="69"/>
      <c r="U104" s="44"/>
      <c r="V104" s="120"/>
      <c r="W104" s="68"/>
      <c r="X104" s="32">
        <v>82</v>
      </c>
    </row>
    <row r="105" s="32" customFormat="1" spans="1:24">
      <c r="A105" s="91"/>
      <c r="B105" s="43"/>
      <c r="C105" s="43"/>
      <c r="D105" s="43"/>
      <c r="E105" s="43"/>
      <c r="F105" s="63"/>
      <c r="G105" s="96"/>
      <c r="H105" s="44"/>
      <c r="I105" s="45"/>
      <c r="J105" s="117"/>
      <c r="K105" s="118"/>
      <c r="L105" s="43"/>
      <c r="M105" s="43"/>
      <c r="N105" s="63">
        <v>45869</v>
      </c>
      <c r="O105" s="52"/>
      <c r="P105" s="62">
        <v>69</v>
      </c>
      <c r="Q105" s="98">
        <v>45889</v>
      </c>
      <c r="R105" s="64"/>
      <c r="S105" s="69"/>
      <c r="T105" s="69"/>
      <c r="U105" s="44"/>
      <c r="V105" s="120"/>
      <c r="W105" s="68"/>
      <c r="X105" s="32">
        <v>82</v>
      </c>
    </row>
    <row r="106" s="32" customFormat="1" spans="1:24">
      <c r="A106" s="91"/>
      <c r="B106" s="43"/>
      <c r="C106" s="43"/>
      <c r="D106" s="43"/>
      <c r="E106" s="43"/>
      <c r="F106" s="63"/>
      <c r="G106" s="96"/>
      <c r="H106" s="44"/>
      <c r="I106" s="45"/>
      <c r="J106" s="117"/>
      <c r="K106" s="118"/>
      <c r="L106" s="43"/>
      <c r="M106" s="43"/>
      <c r="N106" s="63">
        <v>45900</v>
      </c>
      <c r="O106" s="52"/>
      <c r="P106" s="62">
        <v>1791</v>
      </c>
      <c r="Q106" s="98">
        <v>45917</v>
      </c>
      <c r="R106" s="64"/>
      <c r="S106" s="69"/>
      <c r="T106" s="69"/>
      <c r="U106" s="44"/>
      <c r="V106" s="120"/>
      <c r="W106" s="68"/>
      <c r="X106" s="32">
        <v>82</v>
      </c>
    </row>
    <row r="107" s="31" customFormat="1" ht="36" customHeight="1" spans="1:24">
      <c r="A107" s="91">
        <v>16</v>
      </c>
      <c r="B107" s="43" t="s">
        <v>70</v>
      </c>
      <c r="C107" s="43" t="s">
        <v>80</v>
      </c>
      <c r="D107" s="43" t="s">
        <v>81</v>
      </c>
      <c r="E107" s="43" t="s">
        <v>286</v>
      </c>
      <c r="F107" s="63">
        <v>45653</v>
      </c>
      <c r="G107" s="96" t="s">
        <v>287</v>
      </c>
      <c r="H107" s="44">
        <v>31680</v>
      </c>
      <c r="I107" s="45">
        <f>IF(X107=85,H107+SUM(S107:S109)-SUM(T107:T109)-SUM(P107:P109)-V107,0)</f>
        <v>0</v>
      </c>
      <c r="J107" s="117">
        <v>235300582900</v>
      </c>
      <c r="K107" s="118" t="s">
        <v>155</v>
      </c>
      <c r="L107" s="43" t="s">
        <v>80</v>
      </c>
      <c r="M107" s="43" t="s">
        <v>288</v>
      </c>
      <c r="N107" s="52">
        <v>45688</v>
      </c>
      <c r="O107" s="52" t="s">
        <v>251</v>
      </c>
      <c r="P107" s="62">
        <v>5112</v>
      </c>
      <c r="Q107" s="96">
        <v>45702</v>
      </c>
      <c r="R107" s="43"/>
      <c r="S107" s="44"/>
      <c r="T107" s="44"/>
      <c r="U107" s="44" t="s">
        <v>279</v>
      </c>
      <c r="V107" s="120">
        <v>16434</v>
      </c>
      <c r="W107" s="68"/>
      <c r="X107" s="31">
        <v>85</v>
      </c>
    </row>
    <row r="108" s="32" customFormat="1" spans="1:24">
      <c r="A108" s="91"/>
      <c r="B108" s="43"/>
      <c r="C108" s="43"/>
      <c r="D108" s="43"/>
      <c r="E108" s="43"/>
      <c r="F108" s="63"/>
      <c r="G108" s="96"/>
      <c r="H108" s="44"/>
      <c r="I108" s="45"/>
      <c r="J108" s="117"/>
      <c r="K108" s="118"/>
      <c r="L108" s="43"/>
      <c r="M108" s="43"/>
      <c r="N108" s="127">
        <v>45728</v>
      </c>
      <c r="O108" s="52"/>
      <c r="P108" s="62">
        <v>5256</v>
      </c>
      <c r="Q108" s="98">
        <v>45733</v>
      </c>
      <c r="R108" s="64"/>
      <c r="S108" s="69"/>
      <c r="T108" s="69"/>
      <c r="U108" s="44"/>
      <c r="V108" s="120"/>
      <c r="W108" s="68"/>
      <c r="X108" s="32">
        <v>85</v>
      </c>
    </row>
    <row r="109" s="32" customFormat="1" spans="1:24">
      <c r="A109" s="91"/>
      <c r="B109" s="43"/>
      <c r="C109" s="43"/>
      <c r="D109" s="43"/>
      <c r="E109" s="43"/>
      <c r="F109" s="63"/>
      <c r="G109" s="96"/>
      <c r="H109" s="44"/>
      <c r="I109" s="45"/>
      <c r="J109" s="117"/>
      <c r="K109" s="118"/>
      <c r="L109" s="43"/>
      <c r="M109" s="43"/>
      <c r="N109" s="63">
        <v>45756</v>
      </c>
      <c r="O109" s="52"/>
      <c r="P109" s="62">
        <v>4878</v>
      </c>
      <c r="Q109" s="98">
        <v>45763</v>
      </c>
      <c r="R109" s="64"/>
      <c r="S109" s="69"/>
      <c r="T109" s="69"/>
      <c r="U109" s="44"/>
      <c r="V109" s="120"/>
      <c r="W109" s="68"/>
      <c r="X109" s="32">
        <v>85</v>
      </c>
    </row>
    <row r="110" s="31" customFormat="1" ht="36" customHeight="1" spans="1:24">
      <c r="A110" s="91">
        <v>17</v>
      </c>
      <c r="B110" s="43" t="s">
        <v>70</v>
      </c>
      <c r="C110" s="43" t="s">
        <v>80</v>
      </c>
      <c r="D110" s="43" t="s">
        <v>81</v>
      </c>
      <c r="E110" s="43" t="s">
        <v>289</v>
      </c>
      <c r="F110" s="63">
        <v>45653</v>
      </c>
      <c r="G110" s="96" t="s">
        <v>287</v>
      </c>
      <c r="H110" s="44">
        <v>109854</v>
      </c>
      <c r="I110" s="45">
        <f>IF(X110=86,H110+SUM(S110:S112)-SUM(T110:T112)-SUM(P110:P112)-V110,0)</f>
        <v>3.63797880709171e-12</v>
      </c>
      <c r="J110" s="117">
        <v>235300582900</v>
      </c>
      <c r="K110" s="118" t="s">
        <v>155</v>
      </c>
      <c r="L110" s="43" t="s">
        <v>80</v>
      </c>
      <c r="M110" s="43" t="s">
        <v>290</v>
      </c>
      <c r="N110" s="52">
        <v>45688</v>
      </c>
      <c r="O110" s="52" t="s">
        <v>251</v>
      </c>
      <c r="P110" s="62">
        <v>87010</v>
      </c>
      <c r="Q110" s="96">
        <v>45702</v>
      </c>
      <c r="R110" s="43"/>
      <c r="S110" s="44"/>
      <c r="T110" s="44"/>
      <c r="U110" s="44" t="s">
        <v>291</v>
      </c>
      <c r="V110" s="120">
        <v>14085.8</v>
      </c>
      <c r="W110" s="68"/>
      <c r="X110" s="31">
        <v>86</v>
      </c>
    </row>
    <row r="111" s="32" customFormat="1" spans="1:24">
      <c r="A111" s="91"/>
      <c r="B111" s="43"/>
      <c r="C111" s="43"/>
      <c r="D111" s="43"/>
      <c r="E111" s="43"/>
      <c r="F111" s="63"/>
      <c r="G111" s="96"/>
      <c r="H111" s="44"/>
      <c r="I111" s="45"/>
      <c r="J111" s="117"/>
      <c r="K111" s="118"/>
      <c r="L111" s="43"/>
      <c r="M111" s="43"/>
      <c r="N111" s="63">
        <v>45688</v>
      </c>
      <c r="O111" s="52"/>
      <c r="P111" s="62">
        <v>3608.8</v>
      </c>
      <c r="Q111" s="98">
        <v>45695</v>
      </c>
      <c r="R111" s="64"/>
      <c r="S111" s="69"/>
      <c r="T111" s="69"/>
      <c r="U111" s="44"/>
      <c r="V111" s="120"/>
      <c r="W111" s="68"/>
      <c r="X111" s="32">
        <v>86</v>
      </c>
    </row>
    <row r="112" s="32" customFormat="1" spans="1:24">
      <c r="A112" s="91"/>
      <c r="B112" s="43"/>
      <c r="C112" s="43"/>
      <c r="D112" s="43"/>
      <c r="E112" s="43"/>
      <c r="F112" s="63"/>
      <c r="G112" s="96"/>
      <c r="H112" s="44"/>
      <c r="I112" s="45"/>
      <c r="J112" s="117"/>
      <c r="K112" s="118"/>
      <c r="L112" s="43"/>
      <c r="M112" s="43"/>
      <c r="N112" s="63">
        <v>45688</v>
      </c>
      <c r="O112" s="52"/>
      <c r="P112" s="62">
        <v>5149.4</v>
      </c>
      <c r="Q112" s="98">
        <v>45706</v>
      </c>
      <c r="R112" s="64"/>
      <c r="S112" s="69"/>
      <c r="T112" s="69"/>
      <c r="U112" s="44"/>
      <c r="V112" s="120"/>
      <c r="W112" s="68"/>
      <c r="X112" s="32">
        <v>86</v>
      </c>
    </row>
    <row r="113" s="31" customFormat="1" ht="56.25" spans="1:24">
      <c r="A113" s="91">
        <v>18</v>
      </c>
      <c r="B113" s="43" t="s">
        <v>70</v>
      </c>
      <c r="C113" s="43" t="s">
        <v>80</v>
      </c>
      <c r="D113" s="43" t="s">
        <v>81</v>
      </c>
      <c r="E113" s="43" t="s">
        <v>292</v>
      </c>
      <c r="F113" s="63">
        <v>45672</v>
      </c>
      <c r="G113" s="96" t="s">
        <v>287</v>
      </c>
      <c r="H113" s="44">
        <v>10472</v>
      </c>
      <c r="I113" s="45">
        <f>IF(X113=87,H113+SUM(S113:S113)-SUM(T113:T113)-SUM(P113:P113)-V113,0)</f>
        <v>0</v>
      </c>
      <c r="J113" s="117">
        <v>235300582900</v>
      </c>
      <c r="K113" s="118" t="s">
        <v>155</v>
      </c>
      <c r="L113" s="43" t="s">
        <v>80</v>
      </c>
      <c r="M113" s="43" t="s">
        <v>290</v>
      </c>
      <c r="N113" s="52">
        <v>45688</v>
      </c>
      <c r="O113" s="52" t="s">
        <v>251</v>
      </c>
      <c r="P113" s="62">
        <v>9394</v>
      </c>
      <c r="Q113" s="96">
        <v>45706</v>
      </c>
      <c r="R113" s="43"/>
      <c r="S113" s="44"/>
      <c r="T113" s="44"/>
      <c r="U113" s="44" t="s">
        <v>291</v>
      </c>
      <c r="V113" s="120">
        <v>1078</v>
      </c>
      <c r="W113" s="68"/>
      <c r="X113" s="31">
        <v>87</v>
      </c>
    </row>
    <row r="114" s="31" customFormat="1" ht="108" customHeight="1" spans="1:24">
      <c r="A114" s="91">
        <v>19</v>
      </c>
      <c r="B114" s="43" t="s">
        <v>70</v>
      </c>
      <c r="C114" s="43" t="s">
        <v>80</v>
      </c>
      <c r="D114" s="43" t="s">
        <v>81</v>
      </c>
      <c r="E114" s="43" t="s">
        <v>293</v>
      </c>
      <c r="F114" s="63">
        <v>45688</v>
      </c>
      <c r="G114" s="96" t="s">
        <v>262</v>
      </c>
      <c r="H114" s="44">
        <v>62208</v>
      </c>
      <c r="I114" s="45">
        <f>IF(X114=88,H114+SUM(S114:S121)-SUM(T114:T121)-SUM(P114:P121)-V114,0)</f>
        <v>18468</v>
      </c>
      <c r="J114" s="117">
        <v>2353017179</v>
      </c>
      <c r="K114" s="118" t="s">
        <v>263</v>
      </c>
      <c r="L114" s="43" t="s">
        <v>80</v>
      </c>
      <c r="M114" s="43" t="s">
        <v>294</v>
      </c>
      <c r="N114" s="52">
        <v>45716</v>
      </c>
      <c r="O114" s="52" t="s">
        <v>251</v>
      </c>
      <c r="P114" s="62">
        <v>7776</v>
      </c>
      <c r="Q114" s="96">
        <v>45721</v>
      </c>
      <c r="R114" s="43"/>
      <c r="S114" s="44"/>
      <c r="T114" s="44"/>
      <c r="U114" s="44"/>
      <c r="V114" s="120"/>
      <c r="W114" s="68"/>
      <c r="X114" s="31">
        <v>88</v>
      </c>
    </row>
    <row r="115" s="32" customFormat="1" spans="1:24">
      <c r="A115" s="91"/>
      <c r="B115" s="43"/>
      <c r="C115" s="43"/>
      <c r="D115" s="43"/>
      <c r="E115" s="43"/>
      <c r="F115" s="63"/>
      <c r="G115" s="96"/>
      <c r="H115" s="44"/>
      <c r="I115" s="45"/>
      <c r="J115" s="117"/>
      <c r="K115" s="118"/>
      <c r="L115" s="43"/>
      <c r="M115" s="43"/>
      <c r="N115" s="63">
        <v>45747</v>
      </c>
      <c r="O115" s="52"/>
      <c r="P115" s="62">
        <v>7128</v>
      </c>
      <c r="Q115" s="98">
        <v>45756</v>
      </c>
      <c r="R115" s="64"/>
      <c r="S115" s="69"/>
      <c r="T115" s="69"/>
      <c r="U115" s="44"/>
      <c r="V115" s="120"/>
      <c r="W115" s="68"/>
      <c r="X115" s="32">
        <v>88</v>
      </c>
    </row>
    <row r="116" s="32" customFormat="1" spans="1:24">
      <c r="A116" s="91"/>
      <c r="B116" s="43"/>
      <c r="C116" s="43"/>
      <c r="D116" s="43"/>
      <c r="E116" s="43"/>
      <c r="F116" s="63"/>
      <c r="G116" s="96"/>
      <c r="H116" s="44"/>
      <c r="I116" s="45"/>
      <c r="J116" s="117"/>
      <c r="K116" s="118"/>
      <c r="L116" s="43"/>
      <c r="M116" s="43"/>
      <c r="N116" s="63">
        <v>45777</v>
      </c>
      <c r="O116" s="52"/>
      <c r="P116" s="62">
        <v>7776</v>
      </c>
      <c r="Q116" s="98">
        <v>45797</v>
      </c>
      <c r="R116" s="64"/>
      <c r="S116" s="69"/>
      <c r="T116" s="69"/>
      <c r="U116" s="44"/>
      <c r="V116" s="120"/>
      <c r="W116" s="68"/>
      <c r="X116" s="32">
        <v>88</v>
      </c>
    </row>
    <row r="117" s="32" customFormat="1" spans="1:24">
      <c r="A117" s="91"/>
      <c r="B117" s="43"/>
      <c r="C117" s="43"/>
      <c r="D117" s="43"/>
      <c r="E117" s="43"/>
      <c r="F117" s="63"/>
      <c r="G117" s="96"/>
      <c r="H117" s="44"/>
      <c r="I117" s="45"/>
      <c r="J117" s="117"/>
      <c r="K117" s="118"/>
      <c r="L117" s="43"/>
      <c r="M117" s="43"/>
      <c r="N117" s="63">
        <v>45808</v>
      </c>
      <c r="O117" s="52"/>
      <c r="P117" s="62">
        <v>6156</v>
      </c>
      <c r="Q117" s="98">
        <v>45814</v>
      </c>
      <c r="R117" s="64"/>
      <c r="S117" s="69"/>
      <c r="T117" s="69"/>
      <c r="U117" s="44"/>
      <c r="V117" s="120"/>
      <c r="W117" s="68"/>
      <c r="X117" s="32">
        <v>88</v>
      </c>
    </row>
    <row r="118" s="32" customFormat="1" spans="1:24">
      <c r="A118" s="91"/>
      <c r="B118" s="43"/>
      <c r="C118" s="43"/>
      <c r="D118" s="43"/>
      <c r="E118" s="43"/>
      <c r="F118" s="63"/>
      <c r="G118" s="96"/>
      <c r="H118" s="44"/>
      <c r="I118" s="45"/>
      <c r="J118" s="117"/>
      <c r="K118" s="118"/>
      <c r="L118" s="43"/>
      <c r="M118" s="43"/>
      <c r="N118" s="63">
        <v>45838</v>
      </c>
      <c r="O118" s="52"/>
      <c r="P118" s="62">
        <v>5184</v>
      </c>
      <c r="Q118" s="98">
        <v>45846</v>
      </c>
      <c r="R118" s="64"/>
      <c r="S118" s="69"/>
      <c r="T118" s="69"/>
      <c r="U118" s="44"/>
      <c r="V118" s="120"/>
      <c r="W118" s="68"/>
      <c r="X118" s="32">
        <v>88</v>
      </c>
    </row>
    <row r="119" s="32" customFormat="1" spans="1:24">
      <c r="A119" s="91"/>
      <c r="B119" s="43"/>
      <c r="C119" s="43"/>
      <c r="D119" s="43"/>
      <c r="E119" s="43"/>
      <c r="F119" s="63"/>
      <c r="G119" s="96"/>
      <c r="H119" s="44"/>
      <c r="I119" s="45"/>
      <c r="J119" s="117"/>
      <c r="K119" s="118"/>
      <c r="L119" s="43"/>
      <c r="M119" s="43"/>
      <c r="N119" s="63">
        <v>45869</v>
      </c>
      <c r="O119" s="52"/>
      <c r="P119" s="62">
        <v>1296</v>
      </c>
      <c r="Q119" s="98">
        <v>45880</v>
      </c>
      <c r="R119" s="64"/>
      <c r="S119" s="69"/>
      <c r="T119" s="69"/>
      <c r="U119" s="44"/>
      <c r="V119" s="120"/>
      <c r="W119" s="68"/>
      <c r="X119" s="32">
        <v>88</v>
      </c>
    </row>
    <row r="120" s="32" customFormat="1" spans="1:24">
      <c r="A120" s="91"/>
      <c r="B120" s="43"/>
      <c r="C120" s="43"/>
      <c r="D120" s="43"/>
      <c r="E120" s="43"/>
      <c r="F120" s="63"/>
      <c r="G120" s="96"/>
      <c r="H120" s="44"/>
      <c r="I120" s="45"/>
      <c r="J120" s="117"/>
      <c r="K120" s="118"/>
      <c r="L120" s="43"/>
      <c r="M120" s="43"/>
      <c r="N120" s="63">
        <v>45900</v>
      </c>
      <c r="O120" s="52"/>
      <c r="P120" s="62">
        <v>1296</v>
      </c>
      <c r="Q120" s="98">
        <v>45911</v>
      </c>
      <c r="R120" s="64"/>
      <c r="S120" s="69"/>
      <c r="T120" s="69"/>
      <c r="U120" s="44"/>
      <c r="V120" s="120"/>
      <c r="W120" s="68"/>
      <c r="X120" s="32">
        <v>88</v>
      </c>
    </row>
    <row r="121" s="32" customFormat="1" spans="1:24">
      <c r="A121" s="91"/>
      <c r="B121" s="43"/>
      <c r="C121" s="43"/>
      <c r="D121" s="43"/>
      <c r="E121" s="43"/>
      <c r="F121" s="63"/>
      <c r="G121" s="96"/>
      <c r="H121" s="44"/>
      <c r="I121" s="45"/>
      <c r="J121" s="117"/>
      <c r="K121" s="118"/>
      <c r="L121" s="43"/>
      <c r="M121" s="43"/>
      <c r="N121" s="63">
        <v>45930</v>
      </c>
      <c r="O121" s="52"/>
      <c r="P121" s="62">
        <v>7128</v>
      </c>
      <c r="Q121" s="98">
        <v>45937</v>
      </c>
      <c r="R121" s="64"/>
      <c r="S121" s="69"/>
      <c r="T121" s="69"/>
      <c r="U121" s="44"/>
      <c r="V121" s="120"/>
      <c r="W121" s="68"/>
      <c r="X121" s="32">
        <v>88</v>
      </c>
    </row>
    <row r="122" s="31" customFormat="1" ht="75" spans="1:24">
      <c r="A122" s="91">
        <v>20</v>
      </c>
      <c r="B122" s="43" t="s">
        <v>70</v>
      </c>
      <c r="C122" s="43" t="s">
        <v>80</v>
      </c>
      <c r="D122" s="43" t="s">
        <v>81</v>
      </c>
      <c r="E122" s="43" t="s">
        <v>295</v>
      </c>
      <c r="F122" s="63">
        <v>45713</v>
      </c>
      <c r="G122" s="96" t="s">
        <v>296</v>
      </c>
      <c r="H122" s="44">
        <v>31000</v>
      </c>
      <c r="I122" s="45">
        <f>IF(X122=89,H122+SUM(S122:S122)-SUM(T122:T122)-SUM(P122:P122)-V122,0)</f>
        <v>0</v>
      </c>
      <c r="J122" s="117">
        <v>2311204586</v>
      </c>
      <c r="K122" s="118" t="s">
        <v>297</v>
      </c>
      <c r="L122" s="43" t="s">
        <v>80</v>
      </c>
      <c r="M122" s="43" t="s">
        <v>298</v>
      </c>
      <c r="N122" s="52">
        <v>45713</v>
      </c>
      <c r="O122" s="52" t="s">
        <v>299</v>
      </c>
      <c r="P122" s="62">
        <v>31000</v>
      </c>
      <c r="Q122" s="96">
        <v>45716</v>
      </c>
      <c r="R122" s="43"/>
      <c r="S122" s="44"/>
      <c r="T122" s="44"/>
      <c r="U122" s="44"/>
      <c r="V122" s="120"/>
      <c r="W122" s="68"/>
      <c r="X122" s="31">
        <v>89</v>
      </c>
    </row>
    <row r="123" s="31" customFormat="1" ht="36" customHeight="1" spans="1:24">
      <c r="A123" s="91">
        <v>21</v>
      </c>
      <c r="B123" s="43" t="s">
        <v>70</v>
      </c>
      <c r="C123" s="43" t="s">
        <v>80</v>
      </c>
      <c r="D123" s="43" t="s">
        <v>81</v>
      </c>
      <c r="E123" s="43" t="s">
        <v>300</v>
      </c>
      <c r="F123" s="63">
        <v>45688</v>
      </c>
      <c r="G123" s="96" t="s">
        <v>287</v>
      </c>
      <c r="H123" s="44">
        <v>488382</v>
      </c>
      <c r="I123" s="45">
        <f>IF(X123=90,H123+SUM(S123:S138)-SUM(T123:T138)-SUM(P123:P138)-V123,0)</f>
        <v>0</v>
      </c>
      <c r="J123" s="117">
        <v>235300582900</v>
      </c>
      <c r="K123" s="118" t="s">
        <v>155</v>
      </c>
      <c r="L123" s="43" t="s">
        <v>80</v>
      </c>
      <c r="M123" s="43" t="s">
        <v>301</v>
      </c>
      <c r="N123" s="52">
        <v>45728</v>
      </c>
      <c r="O123" s="52" t="s">
        <v>251</v>
      </c>
      <c r="P123" s="62">
        <v>9702</v>
      </c>
      <c r="Q123" s="96">
        <v>45733</v>
      </c>
      <c r="R123" s="43"/>
      <c r="S123" s="44"/>
      <c r="T123" s="44"/>
      <c r="U123" s="44" t="s">
        <v>302</v>
      </c>
      <c r="V123" s="120">
        <v>102743</v>
      </c>
      <c r="W123" s="68"/>
      <c r="X123" s="31">
        <v>90</v>
      </c>
    </row>
    <row r="124" s="32" customFormat="1" spans="1:24">
      <c r="A124" s="91"/>
      <c r="B124" s="43"/>
      <c r="C124" s="43"/>
      <c r="D124" s="43"/>
      <c r="E124" s="43"/>
      <c r="F124" s="63"/>
      <c r="G124" s="96"/>
      <c r="H124" s="44"/>
      <c r="I124" s="45"/>
      <c r="J124" s="117"/>
      <c r="K124" s="118"/>
      <c r="L124" s="43"/>
      <c r="M124" s="43"/>
      <c r="N124" s="63">
        <v>45728</v>
      </c>
      <c r="O124" s="52"/>
      <c r="P124" s="62">
        <v>79464</v>
      </c>
      <c r="Q124" s="98">
        <v>45733</v>
      </c>
      <c r="R124" s="64"/>
      <c r="S124" s="69"/>
      <c r="T124" s="69"/>
      <c r="U124" s="44"/>
      <c r="V124" s="120"/>
      <c r="W124" s="68"/>
      <c r="X124" s="32">
        <v>90</v>
      </c>
    </row>
    <row r="125" s="32" customFormat="1" spans="1:24">
      <c r="A125" s="91"/>
      <c r="B125" s="43"/>
      <c r="C125" s="43"/>
      <c r="D125" s="43"/>
      <c r="E125" s="43"/>
      <c r="F125" s="63"/>
      <c r="G125" s="96"/>
      <c r="H125" s="44"/>
      <c r="I125" s="45"/>
      <c r="J125" s="117"/>
      <c r="K125" s="118"/>
      <c r="L125" s="43"/>
      <c r="M125" s="43"/>
      <c r="N125" s="63">
        <v>45728</v>
      </c>
      <c r="O125" s="52"/>
      <c r="P125" s="62">
        <v>4869.4</v>
      </c>
      <c r="Q125" s="98">
        <v>45733</v>
      </c>
      <c r="R125" s="64"/>
      <c r="S125" s="69"/>
      <c r="T125" s="69"/>
      <c r="U125" s="44"/>
      <c r="V125" s="120"/>
      <c r="W125" s="68"/>
      <c r="X125" s="32">
        <v>90</v>
      </c>
    </row>
    <row r="126" s="32" customFormat="1" spans="1:24">
      <c r="A126" s="91"/>
      <c r="B126" s="43"/>
      <c r="C126" s="43"/>
      <c r="D126" s="43"/>
      <c r="E126" s="43"/>
      <c r="F126" s="63"/>
      <c r="G126" s="96"/>
      <c r="H126" s="44"/>
      <c r="I126" s="45"/>
      <c r="J126" s="117"/>
      <c r="K126" s="118"/>
      <c r="L126" s="43"/>
      <c r="M126" s="43"/>
      <c r="N126" s="63">
        <v>45728</v>
      </c>
      <c r="O126" s="52"/>
      <c r="P126" s="62">
        <v>1943.2</v>
      </c>
      <c r="Q126" s="98">
        <v>45733</v>
      </c>
      <c r="R126" s="64"/>
      <c r="S126" s="69"/>
      <c r="T126" s="69"/>
      <c r="U126" s="44"/>
      <c r="V126" s="120"/>
      <c r="W126" s="68"/>
      <c r="X126" s="32">
        <v>90</v>
      </c>
    </row>
    <row r="127" s="32" customFormat="1" spans="1:24">
      <c r="A127" s="91"/>
      <c r="B127" s="43"/>
      <c r="C127" s="43"/>
      <c r="D127" s="43"/>
      <c r="E127" s="43"/>
      <c r="F127" s="63"/>
      <c r="G127" s="96"/>
      <c r="H127" s="44"/>
      <c r="I127" s="45"/>
      <c r="J127" s="117"/>
      <c r="K127" s="118"/>
      <c r="L127" s="43"/>
      <c r="M127" s="43"/>
      <c r="N127" s="63">
        <v>45756</v>
      </c>
      <c r="O127" s="52"/>
      <c r="P127" s="62">
        <v>8162</v>
      </c>
      <c r="Q127" s="98">
        <v>45763</v>
      </c>
      <c r="R127" s="64"/>
      <c r="S127" s="69"/>
      <c r="T127" s="69"/>
      <c r="U127" s="44"/>
      <c r="V127" s="120"/>
      <c r="W127" s="68"/>
      <c r="X127" s="32">
        <v>90</v>
      </c>
    </row>
    <row r="128" s="32" customFormat="1" spans="1:24">
      <c r="A128" s="91"/>
      <c r="B128" s="43"/>
      <c r="C128" s="43"/>
      <c r="D128" s="43"/>
      <c r="E128" s="43"/>
      <c r="F128" s="63"/>
      <c r="G128" s="96"/>
      <c r="H128" s="44"/>
      <c r="I128" s="45"/>
      <c r="J128" s="117"/>
      <c r="K128" s="118"/>
      <c r="L128" s="43"/>
      <c r="M128" s="43"/>
      <c r="N128" s="63">
        <v>45756</v>
      </c>
      <c r="O128" s="52"/>
      <c r="P128" s="62">
        <v>76538</v>
      </c>
      <c r="Q128" s="98">
        <v>45763</v>
      </c>
      <c r="R128" s="64"/>
      <c r="S128" s="69"/>
      <c r="T128" s="69"/>
      <c r="U128" s="44"/>
      <c r="V128" s="120"/>
      <c r="W128" s="68"/>
      <c r="X128" s="32">
        <v>90</v>
      </c>
    </row>
    <row r="129" s="32" customFormat="1" spans="1:24">
      <c r="A129" s="91"/>
      <c r="B129" s="43"/>
      <c r="C129" s="43"/>
      <c r="D129" s="43"/>
      <c r="E129" s="43"/>
      <c r="F129" s="63"/>
      <c r="G129" s="96"/>
      <c r="H129" s="44"/>
      <c r="I129" s="45"/>
      <c r="J129" s="117"/>
      <c r="K129" s="118"/>
      <c r="L129" s="43"/>
      <c r="M129" s="43"/>
      <c r="N129" s="63">
        <v>45756</v>
      </c>
      <c r="O129" s="52"/>
      <c r="P129" s="62">
        <v>1943.2</v>
      </c>
      <c r="Q129" s="98">
        <v>45763</v>
      </c>
      <c r="R129" s="64"/>
      <c r="S129" s="69"/>
      <c r="T129" s="69"/>
      <c r="U129" s="44"/>
      <c r="V129" s="120"/>
      <c r="W129" s="68"/>
      <c r="X129" s="32">
        <v>90</v>
      </c>
    </row>
    <row r="130" s="32" customFormat="1" spans="1:24">
      <c r="A130" s="91"/>
      <c r="B130" s="43"/>
      <c r="C130" s="43"/>
      <c r="D130" s="43"/>
      <c r="E130" s="43"/>
      <c r="F130" s="63"/>
      <c r="G130" s="96"/>
      <c r="H130" s="44"/>
      <c r="I130" s="45"/>
      <c r="J130" s="117"/>
      <c r="K130" s="118"/>
      <c r="L130" s="43"/>
      <c r="M130" s="43"/>
      <c r="N130" s="63">
        <v>45756</v>
      </c>
      <c r="O130" s="52"/>
      <c r="P130" s="62">
        <v>3903.2</v>
      </c>
      <c r="Q130" s="98">
        <v>45763</v>
      </c>
      <c r="R130" s="64"/>
      <c r="S130" s="69"/>
      <c r="T130" s="69"/>
      <c r="U130" s="44"/>
      <c r="V130" s="120"/>
      <c r="W130" s="68"/>
      <c r="X130" s="32">
        <v>90</v>
      </c>
    </row>
    <row r="131" s="32" customFormat="1" spans="1:24">
      <c r="A131" s="91"/>
      <c r="B131" s="43"/>
      <c r="C131" s="43"/>
      <c r="D131" s="43"/>
      <c r="E131" s="43"/>
      <c r="F131" s="63"/>
      <c r="G131" s="96"/>
      <c r="H131" s="44"/>
      <c r="I131" s="45"/>
      <c r="J131" s="117"/>
      <c r="K131" s="118"/>
      <c r="L131" s="43"/>
      <c r="M131" s="43"/>
      <c r="N131" s="63">
        <v>45790</v>
      </c>
      <c r="O131" s="52"/>
      <c r="P131" s="62">
        <v>4879</v>
      </c>
      <c r="Q131" s="98">
        <v>45798</v>
      </c>
      <c r="R131" s="64"/>
      <c r="S131" s="69"/>
      <c r="T131" s="69"/>
      <c r="U131" s="44"/>
      <c r="V131" s="120"/>
      <c r="W131" s="68"/>
      <c r="X131" s="32">
        <v>90</v>
      </c>
    </row>
    <row r="132" s="32" customFormat="1" spans="1:24">
      <c r="A132" s="91"/>
      <c r="B132" s="43"/>
      <c r="C132" s="43"/>
      <c r="D132" s="43"/>
      <c r="E132" s="43"/>
      <c r="F132" s="63"/>
      <c r="G132" s="96"/>
      <c r="H132" s="44"/>
      <c r="I132" s="45"/>
      <c r="J132" s="117"/>
      <c r="K132" s="118"/>
      <c r="L132" s="43"/>
      <c r="M132" s="43"/>
      <c r="N132" s="63">
        <v>45790</v>
      </c>
      <c r="O132" s="52"/>
      <c r="P132" s="62">
        <v>3053.6</v>
      </c>
      <c r="Q132" s="98">
        <v>45799</v>
      </c>
      <c r="R132" s="64"/>
      <c r="S132" s="69"/>
      <c r="T132" s="69"/>
      <c r="U132" s="44"/>
      <c r="V132" s="120"/>
      <c r="W132" s="68"/>
      <c r="X132" s="32">
        <v>90</v>
      </c>
    </row>
    <row r="133" s="32" customFormat="1" spans="1:24">
      <c r="A133" s="91"/>
      <c r="B133" s="43"/>
      <c r="C133" s="43"/>
      <c r="D133" s="43"/>
      <c r="E133" s="43"/>
      <c r="F133" s="63"/>
      <c r="G133" s="96"/>
      <c r="H133" s="44"/>
      <c r="I133" s="45"/>
      <c r="J133" s="117"/>
      <c r="K133" s="118"/>
      <c r="L133" s="43"/>
      <c r="M133" s="43"/>
      <c r="N133" s="63">
        <v>45790</v>
      </c>
      <c r="O133" s="52"/>
      <c r="P133" s="62">
        <v>104104</v>
      </c>
      <c r="Q133" s="98">
        <v>45798</v>
      </c>
      <c r="R133" s="64"/>
      <c r="S133" s="69"/>
      <c r="T133" s="69"/>
      <c r="U133" s="44"/>
      <c r="V133" s="120"/>
      <c r="W133" s="68"/>
      <c r="X133" s="32">
        <v>90</v>
      </c>
    </row>
    <row r="134" s="32" customFormat="1" spans="1:24">
      <c r="A134" s="91"/>
      <c r="B134" s="43"/>
      <c r="C134" s="43"/>
      <c r="D134" s="43"/>
      <c r="E134" s="43"/>
      <c r="F134" s="63"/>
      <c r="G134" s="96"/>
      <c r="H134" s="44"/>
      <c r="I134" s="45"/>
      <c r="J134" s="117"/>
      <c r="K134" s="118"/>
      <c r="L134" s="43"/>
      <c r="M134" s="43"/>
      <c r="N134" s="63">
        <v>45790</v>
      </c>
      <c r="O134" s="52"/>
      <c r="P134" s="62">
        <v>10626</v>
      </c>
      <c r="Q134" s="98">
        <v>45798</v>
      </c>
      <c r="R134" s="64"/>
      <c r="S134" s="69"/>
      <c r="T134" s="69"/>
      <c r="U134" s="44"/>
      <c r="V134" s="120"/>
      <c r="W134" s="68"/>
      <c r="X134" s="32">
        <v>90</v>
      </c>
    </row>
    <row r="135" s="32" customFormat="1" spans="1:24">
      <c r="A135" s="91"/>
      <c r="B135" s="43"/>
      <c r="C135" s="43"/>
      <c r="D135" s="43"/>
      <c r="E135" s="43"/>
      <c r="F135" s="63"/>
      <c r="G135" s="96"/>
      <c r="H135" s="44"/>
      <c r="I135" s="45"/>
      <c r="J135" s="117"/>
      <c r="K135" s="118"/>
      <c r="L135" s="43"/>
      <c r="M135" s="43"/>
      <c r="N135" s="63">
        <v>45807</v>
      </c>
      <c r="O135" s="52"/>
      <c r="P135" s="62">
        <v>3206.2</v>
      </c>
      <c r="Q135" s="98">
        <v>45818</v>
      </c>
      <c r="R135" s="64"/>
      <c r="S135" s="69"/>
      <c r="T135" s="69"/>
      <c r="U135" s="44"/>
      <c r="V135" s="120"/>
      <c r="W135" s="68"/>
      <c r="X135" s="32">
        <v>90</v>
      </c>
    </row>
    <row r="136" s="32" customFormat="1" spans="1:24">
      <c r="A136" s="91"/>
      <c r="B136" s="43"/>
      <c r="C136" s="43"/>
      <c r="D136" s="43"/>
      <c r="E136" s="43"/>
      <c r="F136" s="63"/>
      <c r="G136" s="96"/>
      <c r="H136" s="44"/>
      <c r="I136" s="45"/>
      <c r="J136" s="117"/>
      <c r="K136" s="118"/>
      <c r="L136" s="43"/>
      <c r="M136" s="43"/>
      <c r="N136" s="63">
        <v>45807</v>
      </c>
      <c r="O136" s="52"/>
      <c r="P136" s="62">
        <v>1943.2</v>
      </c>
      <c r="Q136" s="98">
        <v>45814</v>
      </c>
      <c r="R136" s="64"/>
      <c r="S136" s="69"/>
      <c r="T136" s="69"/>
      <c r="U136" s="44"/>
      <c r="V136" s="120"/>
      <c r="W136" s="68"/>
      <c r="X136" s="32">
        <v>90</v>
      </c>
    </row>
    <row r="137" s="32" customFormat="1" spans="1:24">
      <c r="A137" s="91"/>
      <c r="B137" s="43"/>
      <c r="C137" s="43"/>
      <c r="D137" s="43"/>
      <c r="E137" s="43"/>
      <c r="F137" s="63"/>
      <c r="G137" s="96"/>
      <c r="H137" s="44"/>
      <c r="I137" s="45"/>
      <c r="J137" s="117"/>
      <c r="K137" s="118"/>
      <c r="L137" s="43"/>
      <c r="M137" s="43"/>
      <c r="N137" s="63">
        <v>45807</v>
      </c>
      <c r="O137" s="52"/>
      <c r="P137" s="62">
        <v>63294</v>
      </c>
      <c r="Q137" s="98">
        <v>45814</v>
      </c>
      <c r="R137" s="64"/>
      <c r="S137" s="69"/>
      <c r="T137" s="69"/>
      <c r="U137" s="44"/>
      <c r="V137" s="120"/>
      <c r="W137" s="68"/>
      <c r="X137" s="32">
        <v>90</v>
      </c>
    </row>
    <row r="138" s="32" customFormat="1" spans="1:24">
      <c r="A138" s="91"/>
      <c r="B138" s="43"/>
      <c r="C138" s="43"/>
      <c r="D138" s="43"/>
      <c r="E138" s="43"/>
      <c r="F138" s="63"/>
      <c r="G138" s="96"/>
      <c r="H138" s="44"/>
      <c r="I138" s="45"/>
      <c r="J138" s="117"/>
      <c r="K138" s="118"/>
      <c r="L138" s="43"/>
      <c r="M138" s="43"/>
      <c r="N138" s="63">
        <v>45807</v>
      </c>
      <c r="O138" s="52"/>
      <c r="P138" s="62">
        <v>8008</v>
      </c>
      <c r="Q138" s="98">
        <v>45814</v>
      </c>
      <c r="R138" s="64"/>
      <c r="S138" s="69"/>
      <c r="T138" s="69"/>
      <c r="U138" s="44"/>
      <c r="V138" s="120"/>
      <c r="W138" s="68"/>
      <c r="X138" s="32">
        <v>90</v>
      </c>
    </row>
    <row r="139" s="31" customFormat="1" ht="54" customHeight="1" spans="1:24">
      <c r="A139" s="91">
        <v>22</v>
      </c>
      <c r="B139" s="43" t="s">
        <v>70</v>
      </c>
      <c r="C139" s="43" t="s">
        <v>80</v>
      </c>
      <c r="D139" s="43" t="s">
        <v>81</v>
      </c>
      <c r="E139" s="43" t="s">
        <v>303</v>
      </c>
      <c r="F139" s="63">
        <v>45748</v>
      </c>
      <c r="G139" s="96" t="s">
        <v>146</v>
      </c>
      <c r="H139" s="44">
        <v>145276.8</v>
      </c>
      <c r="I139" s="45">
        <f>IF(X139=91,H139+SUM(S139:S141)-SUM(T139:T141)-SUM(P139:P141)-V139,0)</f>
        <v>-1.45519152283669e-11</v>
      </c>
      <c r="J139" s="117">
        <v>7743529527</v>
      </c>
      <c r="K139" s="118" t="s">
        <v>148</v>
      </c>
      <c r="L139" s="43" t="s">
        <v>80</v>
      </c>
      <c r="M139" s="43" t="s">
        <v>304</v>
      </c>
      <c r="N139" s="52">
        <v>45777</v>
      </c>
      <c r="O139" s="52" t="s">
        <v>278</v>
      </c>
      <c r="P139" s="62">
        <v>36944</v>
      </c>
      <c r="Q139" s="96">
        <v>45789</v>
      </c>
      <c r="R139" s="43"/>
      <c r="S139" s="44"/>
      <c r="T139" s="44"/>
      <c r="U139" s="44" t="s">
        <v>305</v>
      </c>
      <c r="V139" s="120">
        <v>64814.8</v>
      </c>
      <c r="W139" s="68"/>
      <c r="X139" s="31">
        <v>91</v>
      </c>
    </row>
    <row r="140" s="32" customFormat="1" spans="1:24">
      <c r="A140" s="91"/>
      <c r="B140" s="43"/>
      <c r="C140" s="43"/>
      <c r="D140" s="43"/>
      <c r="E140" s="43"/>
      <c r="F140" s="63"/>
      <c r="G140" s="96"/>
      <c r="H140" s="44"/>
      <c r="I140" s="45"/>
      <c r="J140" s="117"/>
      <c r="K140" s="118"/>
      <c r="L140" s="43"/>
      <c r="M140" s="43"/>
      <c r="N140" s="63">
        <v>45808</v>
      </c>
      <c r="O140" s="52"/>
      <c r="P140" s="62">
        <v>31884</v>
      </c>
      <c r="Q140" s="98">
        <v>45814</v>
      </c>
      <c r="R140" s="64"/>
      <c r="S140" s="69"/>
      <c r="T140" s="69"/>
      <c r="U140" s="44"/>
      <c r="V140" s="120"/>
      <c r="W140" s="68"/>
      <c r="X140" s="32">
        <v>91</v>
      </c>
    </row>
    <row r="141" s="32" customFormat="1" spans="1:24">
      <c r="A141" s="91"/>
      <c r="B141" s="43"/>
      <c r="C141" s="43"/>
      <c r="D141" s="43"/>
      <c r="E141" s="43"/>
      <c r="F141" s="63"/>
      <c r="G141" s="96"/>
      <c r="H141" s="44"/>
      <c r="I141" s="45"/>
      <c r="J141" s="117"/>
      <c r="K141" s="118"/>
      <c r="L141" s="43"/>
      <c r="M141" s="43"/>
      <c r="N141" s="63">
        <v>45838</v>
      </c>
      <c r="O141" s="52"/>
      <c r="P141" s="62">
        <v>11634</v>
      </c>
      <c r="Q141" s="98">
        <v>45846</v>
      </c>
      <c r="R141" s="64"/>
      <c r="S141" s="69"/>
      <c r="T141" s="69"/>
      <c r="U141" s="44"/>
      <c r="V141" s="120"/>
      <c r="W141" s="68"/>
      <c r="X141" s="32">
        <v>91</v>
      </c>
    </row>
    <row r="142" s="31" customFormat="1" ht="72" customHeight="1" spans="1:24">
      <c r="A142" s="91">
        <v>23</v>
      </c>
      <c r="B142" s="43" t="s">
        <v>70</v>
      </c>
      <c r="C142" s="43" t="s">
        <v>80</v>
      </c>
      <c r="D142" s="43" t="s">
        <v>81</v>
      </c>
      <c r="E142" s="43" t="s">
        <v>306</v>
      </c>
      <c r="F142" s="63">
        <v>45714</v>
      </c>
      <c r="G142" s="96" t="s">
        <v>307</v>
      </c>
      <c r="H142" s="44">
        <v>6698.9</v>
      </c>
      <c r="I142" s="45">
        <f>IF(X142=92,H142+SUM(S142:S142)-SUM(T142:T142)-SUM(P142:P142)-V142,0)</f>
        <v>0</v>
      </c>
      <c r="J142" s="117">
        <v>7706526550</v>
      </c>
      <c r="K142" s="118" t="s">
        <v>308</v>
      </c>
      <c r="L142" s="43" t="s">
        <v>80</v>
      </c>
      <c r="M142" s="43" t="s">
        <v>309</v>
      </c>
      <c r="N142" s="52">
        <v>45730</v>
      </c>
      <c r="O142" s="52" t="s">
        <v>251</v>
      </c>
      <c r="P142" s="62">
        <v>6698.9</v>
      </c>
      <c r="Q142" s="96">
        <v>45741</v>
      </c>
      <c r="R142" s="43"/>
      <c r="S142" s="44"/>
      <c r="T142" s="44"/>
      <c r="U142" s="44"/>
      <c r="V142" s="120"/>
      <c r="W142" s="68"/>
      <c r="X142" s="31">
        <v>92</v>
      </c>
    </row>
    <row r="143" s="31" customFormat="1" ht="75" spans="1:24">
      <c r="A143" s="91">
        <v>24</v>
      </c>
      <c r="B143" s="43" t="s">
        <v>70</v>
      </c>
      <c r="C143" s="43" t="s">
        <v>310</v>
      </c>
      <c r="D143" s="43" t="s">
        <v>81</v>
      </c>
      <c r="E143" s="43" t="s">
        <v>47</v>
      </c>
      <c r="F143" s="63">
        <v>45756</v>
      </c>
      <c r="G143" s="96" t="s">
        <v>311</v>
      </c>
      <c r="H143" s="44">
        <v>5100</v>
      </c>
      <c r="I143" s="45">
        <f>IF(X143=93,H143+SUM(S143:S143)-SUM(T143:T143)-SUM(P143:P143)-V143,0)</f>
        <v>0</v>
      </c>
      <c r="J143" s="117">
        <v>2309084120</v>
      </c>
      <c r="K143" s="118" t="s">
        <v>312</v>
      </c>
      <c r="L143" s="43" t="s">
        <v>80</v>
      </c>
      <c r="M143" s="43" t="s">
        <v>313</v>
      </c>
      <c r="N143" s="52">
        <v>45758</v>
      </c>
      <c r="O143" s="52" t="s">
        <v>314</v>
      </c>
      <c r="P143" s="62">
        <v>5100</v>
      </c>
      <c r="Q143" s="96">
        <v>45763</v>
      </c>
      <c r="R143" s="43"/>
      <c r="S143" s="44"/>
      <c r="T143" s="44"/>
      <c r="U143" s="44"/>
      <c r="V143" s="120"/>
      <c r="W143" s="68"/>
      <c r="X143" s="31">
        <v>93</v>
      </c>
    </row>
    <row r="144" s="31" customFormat="1" ht="75" spans="1:24">
      <c r="A144" s="91">
        <v>25</v>
      </c>
      <c r="B144" s="43" t="s">
        <v>70</v>
      </c>
      <c r="C144" s="43" t="s">
        <v>80</v>
      </c>
      <c r="D144" s="43" t="s">
        <v>81</v>
      </c>
      <c r="E144" s="43" t="s">
        <v>315</v>
      </c>
      <c r="F144" s="63">
        <v>45758</v>
      </c>
      <c r="G144" s="96" t="s">
        <v>316</v>
      </c>
      <c r="H144" s="44">
        <v>89783</v>
      </c>
      <c r="I144" s="45">
        <f>IF(X144=94,H144+SUM(S144:S144)-SUM(T144:T144)-SUM(P144:P144)-V144,0)</f>
        <v>0</v>
      </c>
      <c r="J144" s="117">
        <v>7329022201</v>
      </c>
      <c r="K144" s="118" t="s">
        <v>317</v>
      </c>
      <c r="L144" s="43" t="s">
        <v>80</v>
      </c>
      <c r="M144" s="43" t="s">
        <v>318</v>
      </c>
      <c r="N144" s="52">
        <v>45762</v>
      </c>
      <c r="O144" s="52" t="s">
        <v>314</v>
      </c>
      <c r="P144" s="62">
        <v>89783</v>
      </c>
      <c r="Q144" s="96">
        <v>45772</v>
      </c>
      <c r="R144" s="43"/>
      <c r="S144" s="44"/>
      <c r="T144" s="44"/>
      <c r="U144" s="44"/>
      <c r="V144" s="120"/>
      <c r="W144" s="68"/>
      <c r="X144" s="31">
        <v>94</v>
      </c>
    </row>
    <row r="145" s="31" customFormat="1" ht="54" customHeight="1" spans="1:24">
      <c r="A145" s="91">
        <v>26</v>
      </c>
      <c r="B145" s="43" t="s">
        <v>70</v>
      </c>
      <c r="C145" s="43" t="s">
        <v>80</v>
      </c>
      <c r="D145" s="43" t="s">
        <v>81</v>
      </c>
      <c r="E145" s="43" t="s">
        <v>319</v>
      </c>
      <c r="F145" s="52">
        <v>45747</v>
      </c>
      <c r="G145" s="96" t="s">
        <v>320</v>
      </c>
      <c r="H145" s="44">
        <v>19040</v>
      </c>
      <c r="I145" s="45">
        <f>IF(X145=96,H145+SUM(S145:S146)-SUM(T145:T146)-SUM(P145:P146)-V145,0)</f>
        <v>0</v>
      </c>
      <c r="J145" s="117">
        <v>235300582900</v>
      </c>
      <c r="K145" s="118" t="s">
        <v>155</v>
      </c>
      <c r="L145" s="43" t="s">
        <v>80</v>
      </c>
      <c r="M145" s="43" t="s">
        <v>321</v>
      </c>
      <c r="N145" s="52">
        <v>45790</v>
      </c>
      <c r="O145" s="52" t="s">
        <v>314</v>
      </c>
      <c r="P145" s="62">
        <v>9016</v>
      </c>
      <c r="Q145" s="96">
        <v>45798</v>
      </c>
      <c r="R145" s="43"/>
      <c r="S145" s="44"/>
      <c r="T145" s="44"/>
      <c r="U145" s="44" t="s">
        <v>322</v>
      </c>
      <c r="V145" s="120">
        <v>4564</v>
      </c>
      <c r="W145" s="68"/>
      <c r="X145" s="31">
        <v>96</v>
      </c>
    </row>
    <row r="146" s="32" customFormat="1" spans="1:24">
      <c r="A146" s="91"/>
      <c r="B146" s="43"/>
      <c r="C146" s="43"/>
      <c r="D146" s="43"/>
      <c r="E146" s="43"/>
      <c r="F146" s="52"/>
      <c r="G146" s="96"/>
      <c r="H146" s="44"/>
      <c r="I146" s="45"/>
      <c r="J146" s="117"/>
      <c r="K146" s="118"/>
      <c r="L146" s="43"/>
      <c r="M146" s="43"/>
      <c r="N146" s="63">
        <v>45807</v>
      </c>
      <c r="O146" s="52"/>
      <c r="P146" s="62">
        <v>5460</v>
      </c>
      <c r="Q146" s="98">
        <v>45814</v>
      </c>
      <c r="R146" s="64"/>
      <c r="S146" s="69"/>
      <c r="T146" s="69"/>
      <c r="U146" s="44"/>
      <c r="V146" s="120"/>
      <c r="W146" s="68"/>
      <c r="X146" s="32">
        <v>96</v>
      </c>
    </row>
    <row r="147" s="31" customFormat="1" ht="54" customHeight="1" spans="1:24">
      <c r="A147" s="91">
        <v>27</v>
      </c>
      <c r="B147" s="43" t="s">
        <v>70</v>
      </c>
      <c r="C147" s="43" t="s">
        <v>80</v>
      </c>
      <c r="D147" s="43" t="s">
        <v>81</v>
      </c>
      <c r="E147" s="43" t="s">
        <v>241</v>
      </c>
      <c r="F147" s="52">
        <v>45839</v>
      </c>
      <c r="G147" s="96" t="s">
        <v>323</v>
      </c>
      <c r="H147" s="44">
        <v>26311.74</v>
      </c>
      <c r="I147" s="45">
        <f>IF(X147=97,H147+SUM(S147:S150)-SUM(T147:T150)-SUM(P147:P150)-V147,0)</f>
        <v>8770.58</v>
      </c>
      <c r="J147" s="117">
        <v>2308131994</v>
      </c>
      <c r="K147" s="118" t="s">
        <v>243</v>
      </c>
      <c r="L147" s="43" t="s">
        <v>80</v>
      </c>
      <c r="M147" s="43" t="s">
        <v>324</v>
      </c>
      <c r="N147" s="52">
        <v>45869</v>
      </c>
      <c r="O147" s="52" t="s">
        <v>251</v>
      </c>
      <c r="P147" s="62">
        <v>4385.29</v>
      </c>
      <c r="Q147" s="96">
        <v>45877</v>
      </c>
      <c r="R147" s="43"/>
      <c r="S147" s="44"/>
      <c r="T147" s="44"/>
      <c r="U147" s="44"/>
      <c r="V147" s="120"/>
      <c r="W147" s="68"/>
      <c r="X147" s="31">
        <v>97</v>
      </c>
    </row>
    <row r="148" s="32" customFormat="1" spans="1:24">
      <c r="A148" s="91"/>
      <c r="B148" s="43"/>
      <c r="C148" s="43"/>
      <c r="D148" s="43"/>
      <c r="E148" s="43"/>
      <c r="F148" s="52"/>
      <c r="G148" s="96"/>
      <c r="H148" s="44"/>
      <c r="I148" s="45"/>
      <c r="J148" s="117"/>
      <c r="K148" s="118"/>
      <c r="L148" s="43"/>
      <c r="M148" s="43"/>
      <c r="N148" s="63">
        <v>45900</v>
      </c>
      <c r="O148" s="52"/>
      <c r="P148" s="62">
        <v>4385.29</v>
      </c>
      <c r="Q148" s="98">
        <v>45903</v>
      </c>
      <c r="R148" s="64"/>
      <c r="S148" s="69"/>
      <c r="T148" s="69"/>
      <c r="U148" s="44"/>
      <c r="V148" s="120"/>
      <c r="W148" s="68"/>
      <c r="X148" s="32">
        <v>97</v>
      </c>
    </row>
    <row r="149" s="32" customFormat="1" spans="1:24">
      <c r="A149" s="91"/>
      <c r="B149" s="43"/>
      <c r="C149" s="43"/>
      <c r="D149" s="43"/>
      <c r="E149" s="43"/>
      <c r="F149" s="52"/>
      <c r="G149" s="96"/>
      <c r="H149" s="44"/>
      <c r="I149" s="45"/>
      <c r="J149" s="117"/>
      <c r="K149" s="118"/>
      <c r="L149" s="43"/>
      <c r="M149" s="43"/>
      <c r="N149" s="63">
        <v>45930</v>
      </c>
      <c r="O149" s="52"/>
      <c r="P149" s="62">
        <v>4385.29</v>
      </c>
      <c r="Q149" s="98">
        <v>45933</v>
      </c>
      <c r="R149" s="64"/>
      <c r="S149" s="69"/>
      <c r="T149" s="69"/>
      <c r="U149" s="44"/>
      <c r="V149" s="120"/>
      <c r="W149" s="68"/>
      <c r="X149" s="32">
        <v>97</v>
      </c>
    </row>
    <row r="150" s="32" customFormat="1" spans="1:24">
      <c r="A150" s="91"/>
      <c r="B150" s="43"/>
      <c r="C150" s="43"/>
      <c r="D150" s="43"/>
      <c r="E150" s="43"/>
      <c r="F150" s="52"/>
      <c r="G150" s="96"/>
      <c r="H150" s="44"/>
      <c r="I150" s="45"/>
      <c r="J150" s="117"/>
      <c r="K150" s="118"/>
      <c r="L150" s="43"/>
      <c r="M150" s="43"/>
      <c r="N150" s="63">
        <v>45961</v>
      </c>
      <c r="O150" s="52"/>
      <c r="P150" s="69">
        <v>4385.29</v>
      </c>
      <c r="Q150" s="98"/>
      <c r="R150" s="64"/>
      <c r="S150" s="69"/>
      <c r="T150" s="69"/>
      <c r="U150" s="44"/>
      <c r="V150" s="120"/>
      <c r="W150" s="68"/>
      <c r="X150" s="32">
        <v>97</v>
      </c>
    </row>
    <row r="151" s="31" customFormat="1" ht="36" customHeight="1" spans="1:24">
      <c r="A151" s="91">
        <v>28</v>
      </c>
      <c r="B151" s="43" t="s">
        <v>70</v>
      </c>
      <c r="C151" s="43" t="s">
        <v>80</v>
      </c>
      <c r="D151" s="43" t="s">
        <v>81</v>
      </c>
      <c r="E151" s="43" t="s">
        <v>325</v>
      </c>
      <c r="F151" s="52">
        <v>45898</v>
      </c>
      <c r="G151" s="96" t="s">
        <v>287</v>
      </c>
      <c r="H151" s="44">
        <v>162043.2</v>
      </c>
      <c r="I151" s="45">
        <f>IF(X151=98,H151+SUM(S151:S155)-SUM(T151:T155)-SUM(P151:P155)-V151,0)</f>
        <v>2.18278728425503e-11</v>
      </c>
      <c r="J151" s="117">
        <v>235300585900</v>
      </c>
      <c r="K151" s="118" t="s">
        <v>155</v>
      </c>
      <c r="L151" s="43" t="s">
        <v>80</v>
      </c>
      <c r="M151" s="43" t="s">
        <v>326</v>
      </c>
      <c r="N151" s="52">
        <v>45937</v>
      </c>
      <c r="O151" s="52" t="s">
        <v>251</v>
      </c>
      <c r="P151" s="62">
        <v>7084.2</v>
      </c>
      <c r="Q151" s="96">
        <v>45940</v>
      </c>
      <c r="R151" s="43"/>
      <c r="S151" s="44"/>
      <c r="T151" s="44"/>
      <c r="U151" s="44" t="s">
        <v>327</v>
      </c>
      <c r="V151" s="120">
        <v>26101.4</v>
      </c>
      <c r="W151" s="68"/>
      <c r="X151" s="31">
        <v>98</v>
      </c>
    </row>
    <row r="152" s="32" customFormat="1" spans="1:24">
      <c r="A152" s="91"/>
      <c r="B152" s="43"/>
      <c r="C152" s="43"/>
      <c r="D152" s="43"/>
      <c r="E152" s="43"/>
      <c r="F152" s="52"/>
      <c r="G152" s="96"/>
      <c r="H152" s="44"/>
      <c r="I152" s="45"/>
      <c r="J152" s="117"/>
      <c r="K152" s="118"/>
      <c r="L152" s="43"/>
      <c r="M152" s="43"/>
      <c r="N152" s="63">
        <v>45937</v>
      </c>
      <c r="O152" s="52"/>
      <c r="P152" s="62">
        <v>3053.6</v>
      </c>
      <c r="Q152" s="98">
        <v>45940</v>
      </c>
      <c r="R152" s="64"/>
      <c r="S152" s="69"/>
      <c r="T152" s="69"/>
      <c r="U152" s="44"/>
      <c r="V152" s="120"/>
      <c r="W152" s="68"/>
      <c r="X152" s="32">
        <v>98</v>
      </c>
    </row>
    <row r="153" s="32" customFormat="1" spans="1:24">
      <c r="A153" s="91"/>
      <c r="B153" s="43"/>
      <c r="C153" s="43"/>
      <c r="D153" s="43"/>
      <c r="E153" s="43"/>
      <c r="F153" s="52"/>
      <c r="G153" s="96"/>
      <c r="H153" s="44"/>
      <c r="I153" s="45"/>
      <c r="J153" s="117"/>
      <c r="K153" s="118"/>
      <c r="L153" s="43"/>
      <c r="M153" s="43"/>
      <c r="N153" s="63">
        <v>45937</v>
      </c>
      <c r="O153" s="52"/>
      <c r="P153" s="62">
        <v>103026</v>
      </c>
      <c r="Q153" s="98">
        <v>45940</v>
      </c>
      <c r="R153" s="64"/>
      <c r="S153" s="69"/>
      <c r="T153" s="69"/>
      <c r="U153" s="44"/>
      <c r="V153" s="120"/>
      <c r="W153" s="68"/>
      <c r="X153" s="32">
        <v>98</v>
      </c>
    </row>
    <row r="154" s="32" customFormat="1" spans="1:24">
      <c r="A154" s="91"/>
      <c r="B154" s="43"/>
      <c r="C154" s="43"/>
      <c r="D154" s="43"/>
      <c r="E154" s="43"/>
      <c r="F154" s="52"/>
      <c r="G154" s="96"/>
      <c r="H154" s="44"/>
      <c r="I154" s="45"/>
      <c r="J154" s="117"/>
      <c r="K154" s="118"/>
      <c r="L154" s="43"/>
      <c r="M154" s="43"/>
      <c r="N154" s="63">
        <v>45938</v>
      </c>
      <c r="O154" s="52"/>
      <c r="P154" s="62">
        <v>14168</v>
      </c>
      <c r="Q154" s="98">
        <v>45940</v>
      </c>
      <c r="R154" s="64"/>
      <c r="S154" s="69"/>
      <c r="T154" s="69"/>
      <c r="U154" s="44"/>
      <c r="V154" s="120"/>
      <c r="W154" s="68"/>
      <c r="X154" s="32">
        <v>98</v>
      </c>
    </row>
    <row r="155" s="32" customFormat="1" spans="1:24">
      <c r="A155" s="91"/>
      <c r="B155" s="43"/>
      <c r="C155" s="43"/>
      <c r="D155" s="43"/>
      <c r="E155" s="43"/>
      <c r="F155" s="52"/>
      <c r="G155" s="96"/>
      <c r="H155" s="44"/>
      <c r="I155" s="45"/>
      <c r="J155" s="117"/>
      <c r="K155" s="118"/>
      <c r="L155" s="43"/>
      <c r="M155" s="43"/>
      <c r="N155" s="63">
        <v>45939</v>
      </c>
      <c r="O155" s="52"/>
      <c r="P155" s="62">
        <v>8610</v>
      </c>
      <c r="Q155" s="98">
        <v>45940</v>
      </c>
      <c r="R155" s="64"/>
      <c r="S155" s="69"/>
      <c r="T155" s="69"/>
      <c r="U155" s="44"/>
      <c r="V155" s="120"/>
      <c r="W155" s="68"/>
      <c r="X155" s="32">
        <v>98</v>
      </c>
    </row>
    <row r="156" s="31" customFormat="1" ht="56.25" spans="1:24">
      <c r="A156" s="91">
        <v>29</v>
      </c>
      <c r="B156" s="43" t="s">
        <v>70</v>
      </c>
      <c r="C156" s="43" t="s">
        <v>80</v>
      </c>
      <c r="D156" s="43" t="s">
        <v>81</v>
      </c>
      <c r="E156" s="43" t="s">
        <v>328</v>
      </c>
      <c r="F156" s="52">
        <v>45931</v>
      </c>
      <c r="G156" s="96" t="s">
        <v>329</v>
      </c>
      <c r="H156" s="44">
        <v>1200</v>
      </c>
      <c r="I156" s="45">
        <f>IF(X156=99,H156+SUM(S156:S156)-SUM(T156:T156)-SUM(P156:P156)-V156,0)</f>
        <v>1200</v>
      </c>
      <c r="J156" s="117">
        <v>236900660</v>
      </c>
      <c r="K156" s="118" t="s">
        <v>267</v>
      </c>
      <c r="L156" s="43" t="s">
        <v>80</v>
      </c>
      <c r="M156" s="43" t="s">
        <v>225</v>
      </c>
      <c r="N156" s="52"/>
      <c r="O156" s="52" t="s">
        <v>251</v>
      </c>
      <c r="P156" s="44"/>
      <c r="Q156" s="96"/>
      <c r="R156" s="43"/>
      <c r="S156" s="44"/>
      <c r="T156" s="44"/>
      <c r="U156" s="44"/>
      <c r="V156" s="120"/>
      <c r="W156" s="68"/>
      <c r="X156" s="31">
        <v>99</v>
      </c>
    </row>
    <row r="157" s="31" customFormat="1" ht="36" customHeight="1" spans="1:24">
      <c r="A157" s="91">
        <v>30</v>
      </c>
      <c r="B157" s="43" t="s">
        <v>70</v>
      </c>
      <c r="C157" s="43" t="s">
        <v>80</v>
      </c>
      <c r="D157" s="43" t="s">
        <v>81</v>
      </c>
      <c r="E157" s="43" t="s">
        <v>330</v>
      </c>
      <c r="F157" s="52">
        <v>45930</v>
      </c>
      <c r="G157" s="96" t="s">
        <v>287</v>
      </c>
      <c r="H157" s="44">
        <v>125747.64</v>
      </c>
      <c r="I157" s="45">
        <f>IF(X157=101,H157+SUM(S157:S161)-SUM(T157:T161)-SUM(P157:P161)-V157,0)</f>
        <v>8143.24000000001</v>
      </c>
      <c r="J157" s="117">
        <v>235300585900</v>
      </c>
      <c r="K157" s="118" t="s">
        <v>155</v>
      </c>
      <c r="L157" s="43" t="s">
        <v>80</v>
      </c>
      <c r="M157" s="43" t="s">
        <v>331</v>
      </c>
      <c r="N157" s="52">
        <v>45957</v>
      </c>
      <c r="O157" s="52" t="s">
        <v>251</v>
      </c>
      <c r="P157" s="44">
        <v>7502.4</v>
      </c>
      <c r="Q157" s="96"/>
      <c r="R157" s="43"/>
      <c r="S157" s="44"/>
      <c r="T157" s="44"/>
      <c r="U157" s="44"/>
      <c r="V157" s="120"/>
      <c r="W157" s="68"/>
      <c r="X157" s="31">
        <v>101</v>
      </c>
    </row>
    <row r="158" s="32" customFormat="1" spans="1:24">
      <c r="A158" s="91"/>
      <c r="B158" s="43"/>
      <c r="C158" s="43"/>
      <c r="D158" s="43"/>
      <c r="E158" s="43"/>
      <c r="F158" s="52"/>
      <c r="G158" s="96"/>
      <c r="H158" s="44"/>
      <c r="I158" s="45"/>
      <c r="J158" s="117"/>
      <c r="K158" s="118"/>
      <c r="L158" s="43"/>
      <c r="M158" s="43"/>
      <c r="N158" s="63">
        <v>45957</v>
      </c>
      <c r="O158" s="52"/>
      <c r="P158" s="69">
        <v>4164</v>
      </c>
      <c r="Q158" s="98"/>
      <c r="R158" s="64"/>
      <c r="S158" s="69"/>
      <c r="T158" s="69"/>
      <c r="U158" s="44"/>
      <c r="V158" s="120"/>
      <c r="W158" s="68"/>
      <c r="X158" s="32">
        <v>101</v>
      </c>
    </row>
    <row r="159" s="32" customFormat="1" spans="1:24">
      <c r="A159" s="91"/>
      <c r="B159" s="43"/>
      <c r="C159" s="43"/>
      <c r="D159" s="43"/>
      <c r="E159" s="43"/>
      <c r="F159" s="52"/>
      <c r="G159" s="96"/>
      <c r="H159" s="44"/>
      <c r="I159" s="45"/>
      <c r="J159" s="117"/>
      <c r="K159" s="118"/>
      <c r="L159" s="43"/>
      <c r="M159" s="43"/>
      <c r="N159" s="63">
        <v>45957</v>
      </c>
      <c r="O159" s="52"/>
      <c r="P159" s="69">
        <v>83930</v>
      </c>
      <c r="Q159" s="98"/>
      <c r="R159" s="64"/>
      <c r="S159" s="69"/>
      <c r="T159" s="69"/>
      <c r="U159" s="44"/>
      <c r="V159" s="120"/>
      <c r="W159" s="68"/>
      <c r="X159" s="32">
        <v>101</v>
      </c>
    </row>
    <row r="160" s="32" customFormat="1" spans="1:24">
      <c r="A160" s="91"/>
      <c r="B160" s="43"/>
      <c r="C160" s="43"/>
      <c r="D160" s="43"/>
      <c r="E160" s="43"/>
      <c r="F160" s="52"/>
      <c r="G160" s="96"/>
      <c r="H160" s="44"/>
      <c r="I160" s="45"/>
      <c r="J160" s="117"/>
      <c r="K160" s="118"/>
      <c r="L160" s="43"/>
      <c r="M160" s="43"/>
      <c r="N160" s="63">
        <v>45957</v>
      </c>
      <c r="O160" s="52"/>
      <c r="P160" s="69">
        <v>14938</v>
      </c>
      <c r="Q160" s="98"/>
      <c r="R160" s="64"/>
      <c r="S160" s="69"/>
      <c r="T160" s="69"/>
      <c r="U160" s="44"/>
      <c r="V160" s="120"/>
      <c r="W160" s="68"/>
      <c r="X160" s="32">
        <v>101</v>
      </c>
    </row>
    <row r="161" s="32" customFormat="1" spans="1:24">
      <c r="A161" s="91"/>
      <c r="B161" s="43"/>
      <c r="C161" s="43"/>
      <c r="D161" s="43"/>
      <c r="E161" s="43"/>
      <c r="F161" s="52"/>
      <c r="G161" s="96"/>
      <c r="H161" s="44"/>
      <c r="I161" s="45"/>
      <c r="J161" s="117"/>
      <c r="K161" s="118"/>
      <c r="L161" s="43"/>
      <c r="M161" s="43"/>
      <c r="N161" s="63">
        <v>45957</v>
      </c>
      <c r="O161" s="52"/>
      <c r="P161" s="69">
        <v>7070</v>
      </c>
      <c r="Q161" s="98"/>
      <c r="R161" s="64"/>
      <c r="S161" s="69"/>
      <c r="T161" s="69"/>
      <c r="U161" s="44"/>
      <c r="V161" s="120"/>
      <c r="W161" s="68"/>
      <c r="X161" s="32">
        <v>101</v>
      </c>
    </row>
    <row r="162" spans="24:24">
      <c r="X162" s="33">
        <v>102</v>
      </c>
    </row>
  </sheetData>
  <sheetProtection algorithmName="SHA-512" hashValue="0/TLpt93FgBs4DEgMYiIjGtFckQuzbRAnAQfIoSy/ZcjHZvuD7wPSf6X2ocGX+eEMLQ65iDnSw1XB4N4oc4uwQ==" saltValue="aJemx+gweiLx+bEz6qoiiQ==" spinCount="100000" sheet="1" formatCells="0" formatColumns="0" formatRows="0" objects="1" scenarios="1"/>
  <mergeCells count="377">
    <mergeCell ref="F2:G2"/>
    <mergeCell ref="N2:O2"/>
    <mergeCell ref="S2:U2"/>
    <mergeCell ref="A9:A18"/>
    <mergeCell ref="A19:A24"/>
    <mergeCell ref="A25:A34"/>
    <mergeCell ref="A35:A44"/>
    <mergeCell ref="A45:A54"/>
    <mergeCell ref="A55:A57"/>
    <mergeCell ref="A58:A67"/>
    <mergeCell ref="A69:A71"/>
    <mergeCell ref="A72:A81"/>
    <mergeCell ref="A82:A84"/>
    <mergeCell ref="A86:A88"/>
    <mergeCell ref="A89:A98"/>
    <mergeCell ref="A99:A106"/>
    <mergeCell ref="A107:A109"/>
    <mergeCell ref="A110:A112"/>
    <mergeCell ref="A114:A121"/>
    <mergeCell ref="A123:A138"/>
    <mergeCell ref="A139:A141"/>
    <mergeCell ref="A145:A146"/>
    <mergeCell ref="A147:A150"/>
    <mergeCell ref="A151:A155"/>
    <mergeCell ref="A157:A161"/>
    <mergeCell ref="B9:B18"/>
    <mergeCell ref="B19:B24"/>
    <mergeCell ref="B25:B34"/>
    <mergeCell ref="B35:B44"/>
    <mergeCell ref="B45:B54"/>
    <mergeCell ref="B55:B57"/>
    <mergeCell ref="B58:B67"/>
    <mergeCell ref="B69:B71"/>
    <mergeCell ref="B72:B81"/>
    <mergeCell ref="B82:B84"/>
    <mergeCell ref="B86:B88"/>
    <mergeCell ref="B89:B98"/>
    <mergeCell ref="B99:B106"/>
    <mergeCell ref="B107:B109"/>
    <mergeCell ref="B110:B112"/>
    <mergeCell ref="B114:B121"/>
    <mergeCell ref="B123:B138"/>
    <mergeCell ref="B139:B141"/>
    <mergeCell ref="B145:B146"/>
    <mergeCell ref="B147:B150"/>
    <mergeCell ref="B151:B155"/>
    <mergeCell ref="B157:B161"/>
    <mergeCell ref="C9:C18"/>
    <mergeCell ref="C19:C24"/>
    <mergeCell ref="C25:C34"/>
    <mergeCell ref="C35:C44"/>
    <mergeCell ref="C45:C54"/>
    <mergeCell ref="C55:C57"/>
    <mergeCell ref="C58:C67"/>
    <mergeCell ref="C69:C71"/>
    <mergeCell ref="C72:C81"/>
    <mergeCell ref="C82:C84"/>
    <mergeCell ref="C86:C88"/>
    <mergeCell ref="C89:C98"/>
    <mergeCell ref="C99:C106"/>
    <mergeCell ref="C107:C109"/>
    <mergeCell ref="C110:C112"/>
    <mergeCell ref="C114:C121"/>
    <mergeCell ref="C123:C138"/>
    <mergeCell ref="C139:C141"/>
    <mergeCell ref="C145:C146"/>
    <mergeCell ref="C147:C150"/>
    <mergeCell ref="C151:C155"/>
    <mergeCell ref="C157:C161"/>
    <mergeCell ref="D9:D18"/>
    <mergeCell ref="D19:D24"/>
    <mergeCell ref="D25:D34"/>
    <mergeCell ref="D35:D44"/>
    <mergeCell ref="D45:D54"/>
    <mergeCell ref="D55:D57"/>
    <mergeCell ref="D58:D67"/>
    <mergeCell ref="D69:D71"/>
    <mergeCell ref="D72:D81"/>
    <mergeCell ref="D82:D84"/>
    <mergeCell ref="D86:D88"/>
    <mergeCell ref="D89:D98"/>
    <mergeCell ref="D99:D106"/>
    <mergeCell ref="D107:D109"/>
    <mergeCell ref="D110:D112"/>
    <mergeCell ref="D114:D121"/>
    <mergeCell ref="D123:D138"/>
    <mergeCell ref="D139:D141"/>
    <mergeCell ref="D145:D146"/>
    <mergeCell ref="D147:D150"/>
    <mergeCell ref="D151:D155"/>
    <mergeCell ref="D157:D161"/>
    <mergeCell ref="E9:E18"/>
    <mergeCell ref="E19:E24"/>
    <mergeCell ref="E25:E34"/>
    <mergeCell ref="E35:E44"/>
    <mergeCell ref="E45:E54"/>
    <mergeCell ref="E55:E57"/>
    <mergeCell ref="E58:E67"/>
    <mergeCell ref="E69:E71"/>
    <mergeCell ref="E72:E81"/>
    <mergeCell ref="E82:E84"/>
    <mergeCell ref="E86:E88"/>
    <mergeCell ref="E89:E98"/>
    <mergeCell ref="E99:E106"/>
    <mergeCell ref="E107:E109"/>
    <mergeCell ref="E110:E112"/>
    <mergeCell ref="E114:E121"/>
    <mergeCell ref="E123:E138"/>
    <mergeCell ref="E139:E141"/>
    <mergeCell ref="E145:E146"/>
    <mergeCell ref="E147:E150"/>
    <mergeCell ref="E151:E155"/>
    <mergeCell ref="E157:E161"/>
    <mergeCell ref="F9:F18"/>
    <mergeCell ref="F19:F24"/>
    <mergeCell ref="F25:F34"/>
    <mergeCell ref="F35:F44"/>
    <mergeCell ref="F45:F54"/>
    <mergeCell ref="F55:F57"/>
    <mergeCell ref="F58:F67"/>
    <mergeCell ref="F69:F71"/>
    <mergeCell ref="F72:F81"/>
    <mergeCell ref="F82:F84"/>
    <mergeCell ref="F86:F88"/>
    <mergeCell ref="F89:F98"/>
    <mergeCell ref="F99:F106"/>
    <mergeCell ref="F107:F109"/>
    <mergeCell ref="F110:F112"/>
    <mergeCell ref="F114:F121"/>
    <mergeCell ref="F123:F138"/>
    <mergeCell ref="F139:F141"/>
    <mergeCell ref="F145:F146"/>
    <mergeCell ref="F147:F150"/>
    <mergeCell ref="F151:F155"/>
    <mergeCell ref="F157:F161"/>
    <mergeCell ref="G9:G18"/>
    <mergeCell ref="G19:G24"/>
    <mergeCell ref="G25:G34"/>
    <mergeCell ref="G35:G44"/>
    <mergeCell ref="G45:G54"/>
    <mergeCell ref="G55:G57"/>
    <mergeCell ref="G58:G67"/>
    <mergeCell ref="G69:G71"/>
    <mergeCell ref="G72:G81"/>
    <mergeCell ref="G82:G84"/>
    <mergeCell ref="G86:G88"/>
    <mergeCell ref="G89:G98"/>
    <mergeCell ref="G99:G106"/>
    <mergeCell ref="G107:G109"/>
    <mergeCell ref="G110:G112"/>
    <mergeCell ref="G114:G121"/>
    <mergeCell ref="G123:G138"/>
    <mergeCell ref="G139:G141"/>
    <mergeCell ref="G145:G146"/>
    <mergeCell ref="G147:G150"/>
    <mergeCell ref="G151:G155"/>
    <mergeCell ref="G157:G161"/>
    <mergeCell ref="H9:H18"/>
    <mergeCell ref="H19:H24"/>
    <mergeCell ref="H25:H34"/>
    <mergeCell ref="H35:H44"/>
    <mergeCell ref="H45:H54"/>
    <mergeCell ref="H55:H57"/>
    <mergeCell ref="H58:H67"/>
    <mergeCell ref="H69:H71"/>
    <mergeCell ref="H72:H81"/>
    <mergeCell ref="H82:H84"/>
    <mergeCell ref="H86:H88"/>
    <mergeCell ref="H89:H98"/>
    <mergeCell ref="H99:H106"/>
    <mergeCell ref="H107:H109"/>
    <mergeCell ref="H110:H112"/>
    <mergeCell ref="H114:H121"/>
    <mergeCell ref="H123:H138"/>
    <mergeCell ref="H139:H141"/>
    <mergeCell ref="H145:H146"/>
    <mergeCell ref="H147:H150"/>
    <mergeCell ref="H151:H155"/>
    <mergeCell ref="H157:H161"/>
    <mergeCell ref="I9:I18"/>
    <mergeCell ref="I19:I24"/>
    <mergeCell ref="I25:I34"/>
    <mergeCell ref="I35:I44"/>
    <mergeCell ref="I45:I54"/>
    <mergeCell ref="I55:I57"/>
    <mergeCell ref="I58:I67"/>
    <mergeCell ref="I69:I71"/>
    <mergeCell ref="I72:I81"/>
    <mergeCell ref="I82:I84"/>
    <mergeCell ref="I86:I88"/>
    <mergeCell ref="I89:I98"/>
    <mergeCell ref="I99:I106"/>
    <mergeCell ref="I107:I109"/>
    <mergeCell ref="I110:I112"/>
    <mergeCell ref="I114:I121"/>
    <mergeCell ref="I123:I138"/>
    <mergeCell ref="I139:I141"/>
    <mergeCell ref="I145:I146"/>
    <mergeCell ref="I147:I150"/>
    <mergeCell ref="I151:I155"/>
    <mergeCell ref="I157:I161"/>
    <mergeCell ref="J9:J18"/>
    <mergeCell ref="J19:J24"/>
    <mergeCell ref="J25:J34"/>
    <mergeCell ref="J35:J44"/>
    <mergeCell ref="J45:J54"/>
    <mergeCell ref="J55:J57"/>
    <mergeCell ref="J58:J67"/>
    <mergeCell ref="J69:J71"/>
    <mergeCell ref="J72:J81"/>
    <mergeCell ref="J82:J84"/>
    <mergeCell ref="J86:J88"/>
    <mergeCell ref="J89:J98"/>
    <mergeCell ref="J99:J106"/>
    <mergeCell ref="J107:J109"/>
    <mergeCell ref="J110:J112"/>
    <mergeCell ref="J114:J121"/>
    <mergeCell ref="J123:J138"/>
    <mergeCell ref="J139:J141"/>
    <mergeCell ref="J145:J146"/>
    <mergeCell ref="J147:J150"/>
    <mergeCell ref="J151:J155"/>
    <mergeCell ref="J157:J161"/>
    <mergeCell ref="K9:K18"/>
    <mergeCell ref="K19:K24"/>
    <mergeCell ref="K25:K34"/>
    <mergeCell ref="K35:K44"/>
    <mergeCell ref="K45:K54"/>
    <mergeCell ref="K55:K57"/>
    <mergeCell ref="K58:K67"/>
    <mergeCell ref="K69:K71"/>
    <mergeCell ref="K72:K81"/>
    <mergeCell ref="K82:K84"/>
    <mergeCell ref="K86:K88"/>
    <mergeCell ref="K89:K98"/>
    <mergeCell ref="K99:K106"/>
    <mergeCell ref="K107:K109"/>
    <mergeCell ref="K110:K112"/>
    <mergeCell ref="K114:K121"/>
    <mergeCell ref="K123:K138"/>
    <mergeCell ref="K139:K141"/>
    <mergeCell ref="K145:K146"/>
    <mergeCell ref="K147:K150"/>
    <mergeCell ref="K151:K155"/>
    <mergeCell ref="K157:K161"/>
    <mergeCell ref="L9:L18"/>
    <mergeCell ref="L19:L24"/>
    <mergeCell ref="L25:L34"/>
    <mergeCell ref="L35:L44"/>
    <mergeCell ref="L45:L54"/>
    <mergeCell ref="L55:L57"/>
    <mergeCell ref="L58:L67"/>
    <mergeCell ref="L69:L71"/>
    <mergeCell ref="L72:L81"/>
    <mergeCell ref="L82:L84"/>
    <mergeCell ref="L86:L88"/>
    <mergeCell ref="L89:L98"/>
    <mergeCell ref="L99:L106"/>
    <mergeCell ref="L107:L109"/>
    <mergeCell ref="L110:L112"/>
    <mergeCell ref="L114:L121"/>
    <mergeCell ref="L123:L138"/>
    <mergeCell ref="L139:L141"/>
    <mergeCell ref="L145:L146"/>
    <mergeCell ref="L147:L150"/>
    <mergeCell ref="L151:L155"/>
    <mergeCell ref="L157:L161"/>
    <mergeCell ref="M9:M18"/>
    <mergeCell ref="M19:M24"/>
    <mergeCell ref="M25:M34"/>
    <mergeCell ref="M35:M44"/>
    <mergeCell ref="M45:M54"/>
    <mergeCell ref="M55:M57"/>
    <mergeCell ref="M58:M67"/>
    <mergeCell ref="M69:M71"/>
    <mergeCell ref="M72:M81"/>
    <mergeCell ref="M82:M84"/>
    <mergeCell ref="M86:M88"/>
    <mergeCell ref="M89:M98"/>
    <mergeCell ref="M99:M106"/>
    <mergeCell ref="M107:M109"/>
    <mergeCell ref="M110:M112"/>
    <mergeCell ref="M114:M121"/>
    <mergeCell ref="M123:M138"/>
    <mergeCell ref="M139:M141"/>
    <mergeCell ref="M145:M146"/>
    <mergeCell ref="M147:M150"/>
    <mergeCell ref="M151:M155"/>
    <mergeCell ref="M157:M161"/>
    <mergeCell ref="O9:O18"/>
    <mergeCell ref="O19:O24"/>
    <mergeCell ref="O25:O34"/>
    <mergeCell ref="O35:O44"/>
    <mergeCell ref="O45:O54"/>
    <mergeCell ref="O55:O57"/>
    <mergeCell ref="O58:O67"/>
    <mergeCell ref="O69:O71"/>
    <mergeCell ref="O72:O81"/>
    <mergeCell ref="O82:O84"/>
    <mergeCell ref="O86:O88"/>
    <mergeCell ref="O89:O98"/>
    <mergeCell ref="O99:O106"/>
    <mergeCell ref="O107:O109"/>
    <mergeCell ref="O110:O112"/>
    <mergeCell ref="O114:O121"/>
    <mergeCell ref="O123:O138"/>
    <mergeCell ref="O139:O141"/>
    <mergeCell ref="O145:O146"/>
    <mergeCell ref="O147:O150"/>
    <mergeCell ref="O151:O155"/>
    <mergeCell ref="O157:O161"/>
    <mergeCell ref="U9:U18"/>
    <mergeCell ref="U19:U24"/>
    <mergeCell ref="U25:U34"/>
    <mergeCell ref="U35:U44"/>
    <mergeCell ref="U45:U54"/>
    <mergeCell ref="U55:U57"/>
    <mergeCell ref="U58:U67"/>
    <mergeCell ref="U69:U71"/>
    <mergeCell ref="U72:U81"/>
    <mergeCell ref="U82:U84"/>
    <mergeCell ref="U86:U88"/>
    <mergeCell ref="U89:U98"/>
    <mergeCell ref="U99:U106"/>
    <mergeCell ref="U107:U109"/>
    <mergeCell ref="U110:U112"/>
    <mergeCell ref="U114:U121"/>
    <mergeCell ref="U123:U138"/>
    <mergeCell ref="U139:U141"/>
    <mergeCell ref="U145:U146"/>
    <mergeCell ref="U147:U150"/>
    <mergeCell ref="U151:U155"/>
    <mergeCell ref="U157:U161"/>
    <mergeCell ref="V9:V18"/>
    <mergeCell ref="V19:V24"/>
    <mergeCell ref="V25:V34"/>
    <mergeCell ref="V35:V44"/>
    <mergeCell ref="V45:V54"/>
    <mergeCell ref="V55:V57"/>
    <mergeCell ref="V58:V67"/>
    <mergeCell ref="V69:V71"/>
    <mergeCell ref="V72:V81"/>
    <mergeCell ref="V82:V84"/>
    <mergeCell ref="V86:V88"/>
    <mergeCell ref="V89:V98"/>
    <mergeCell ref="V99:V106"/>
    <mergeCell ref="V107:V109"/>
    <mergeCell ref="V110:V112"/>
    <mergeCell ref="V114:V121"/>
    <mergeCell ref="V123:V138"/>
    <mergeCell ref="V139:V141"/>
    <mergeCell ref="V145:V146"/>
    <mergeCell ref="V147:V150"/>
    <mergeCell ref="V151:V155"/>
    <mergeCell ref="V157:V161"/>
    <mergeCell ref="W9:W18"/>
    <mergeCell ref="W19:W24"/>
    <mergeCell ref="W25:W34"/>
    <mergeCell ref="W35:W44"/>
    <mergeCell ref="W45:W54"/>
    <mergeCell ref="W55:W57"/>
    <mergeCell ref="W58:W67"/>
    <mergeCell ref="W69:W71"/>
    <mergeCell ref="W72:W81"/>
    <mergeCell ref="W82:W84"/>
    <mergeCell ref="W86:W88"/>
    <mergeCell ref="W89:W98"/>
    <mergeCell ref="W99:W106"/>
    <mergeCell ref="W107:W109"/>
    <mergeCell ref="W110:W112"/>
    <mergeCell ref="W114:W121"/>
    <mergeCell ref="W123:W138"/>
    <mergeCell ref="W139:W141"/>
    <mergeCell ref="W145:W146"/>
    <mergeCell ref="W147:W150"/>
    <mergeCell ref="W151:W155"/>
    <mergeCell ref="W157:W161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8">
    <tabColor rgb="FF00B050"/>
  </sheetPr>
  <dimension ref="A2:V35"/>
  <sheetViews>
    <sheetView showGridLines="0" zoomScale="50" zoomScaleNormal="50" topLeftCell="J1" workbookViewId="0">
      <pane ySplit="8" topLeftCell="A24" activePane="bottomLeft" state="frozen"/>
      <selection/>
      <selection pane="bottomLeft" activeCell="Q21" sqref="Q21"/>
    </sheetView>
  </sheetViews>
  <sheetFormatPr defaultColWidth="0" defaultRowHeight="18.75"/>
  <cols>
    <col min="1" max="1" width="8.36190476190476" style="55" customWidth="1"/>
    <col min="2" max="2" width="28.5428571428571" style="55" customWidth="1"/>
    <col min="3" max="3" width="39.5428571428571" style="55" customWidth="1"/>
    <col min="4" max="4" width="23.9047619047619" style="55" customWidth="1"/>
    <col min="5" max="5" width="32.4571428571429" style="55" customWidth="1"/>
    <col min="6" max="6" width="27.4571428571429" style="71" customWidth="1"/>
    <col min="7" max="7" width="27.4571428571429" style="55" customWidth="1"/>
    <col min="8" max="8" width="33" style="55" customWidth="1"/>
    <col min="9" max="10" width="27.3619047619048" style="37" customWidth="1"/>
    <col min="11" max="11" width="26.5428571428571" style="55" customWidth="1"/>
    <col min="12" max="12" width="38.4571428571429" style="71" customWidth="1"/>
    <col min="13" max="13" width="37.5428571428571" style="55" customWidth="1"/>
    <col min="14" max="14" width="24.6285714285714" style="37" customWidth="1"/>
    <col min="15" max="15" width="24.4571428571429" style="71" customWidth="1"/>
    <col min="16" max="16" width="24.3619047619048" style="71" customWidth="1"/>
    <col min="17" max="17" width="27.4571428571429" style="71" customWidth="1"/>
    <col min="18" max="18" width="27.0857142857143" style="71" customWidth="1"/>
    <col min="19" max="19" width="23.4571428571429" style="71" customWidth="1"/>
    <col min="20" max="20" width="22.9047619047619" style="37" customWidth="1"/>
    <col min="21" max="21" width="21.9047619047619" style="33" customWidth="1"/>
    <col min="22" max="16384" width="9.08571428571429" style="33" hidden="1"/>
  </cols>
  <sheetData>
    <row r="2" ht="39.9" customHeight="1" spans="2:20">
      <c r="B2" s="60"/>
      <c r="C2" s="60"/>
      <c r="D2" s="60"/>
      <c r="E2" s="34" t="s">
        <v>21</v>
      </c>
      <c r="F2" s="35"/>
      <c r="G2" s="56">
        <f>SUM(G9:G9999)</f>
        <v>1357561.54</v>
      </c>
      <c r="L2" s="106" t="s">
        <v>22</v>
      </c>
      <c r="M2" s="107"/>
      <c r="N2" s="59">
        <f>SUM(N9:N9999)</f>
        <v>1307774.65</v>
      </c>
      <c r="P2" s="60"/>
      <c r="Q2" s="57" t="s">
        <v>23</v>
      </c>
      <c r="R2" s="65"/>
      <c r="S2" s="58"/>
      <c r="T2" s="66">
        <f>SUM(T9:T9999)</f>
        <v>0</v>
      </c>
    </row>
    <row r="3" spans="5:19">
      <c r="E3" s="33"/>
      <c r="F3" s="33"/>
      <c r="G3" s="33"/>
      <c r="H3" s="33"/>
      <c r="L3" s="33"/>
      <c r="M3" s="33"/>
      <c r="P3" s="33"/>
      <c r="Q3" s="33"/>
      <c r="R3" s="33"/>
      <c r="S3" s="33"/>
    </row>
    <row r="4" ht="39.9" customHeight="1" spans="5:19">
      <c r="E4" s="33"/>
      <c r="F4" s="33"/>
      <c r="G4" s="33"/>
      <c r="H4" s="33"/>
      <c r="L4" s="33"/>
      <c r="M4" s="33"/>
      <c r="P4" s="33"/>
      <c r="Q4" s="33"/>
      <c r="R4" s="33"/>
      <c r="S4" s="33"/>
    </row>
    <row r="6" ht="150" spans="1:21">
      <c r="A6" s="100" t="s">
        <v>24</v>
      </c>
      <c r="B6" s="100" t="s">
        <v>332</v>
      </c>
      <c r="C6" s="100" t="s">
        <v>27</v>
      </c>
      <c r="D6" s="100" t="s">
        <v>333</v>
      </c>
      <c r="E6" s="100" t="s">
        <v>334</v>
      </c>
      <c r="F6" s="101" t="s">
        <v>30</v>
      </c>
      <c r="G6" s="100" t="s">
        <v>335</v>
      </c>
      <c r="H6" s="100" t="s">
        <v>32</v>
      </c>
      <c r="I6" s="108" t="s">
        <v>33</v>
      </c>
      <c r="J6" s="108" t="s">
        <v>34</v>
      </c>
      <c r="K6" s="100" t="s">
        <v>231</v>
      </c>
      <c r="L6" s="101" t="s">
        <v>232</v>
      </c>
      <c r="M6" s="100" t="s">
        <v>38</v>
      </c>
      <c r="N6" s="108" t="s">
        <v>39</v>
      </c>
      <c r="O6" s="101" t="s">
        <v>40</v>
      </c>
      <c r="P6" s="101" t="s">
        <v>41</v>
      </c>
      <c r="Q6" s="101" t="s">
        <v>42</v>
      </c>
      <c r="R6" s="101" t="s">
        <v>43</v>
      </c>
      <c r="S6" s="101" t="s">
        <v>44</v>
      </c>
      <c r="T6" s="108" t="s">
        <v>233</v>
      </c>
      <c r="U6" s="83" t="s">
        <v>46</v>
      </c>
    </row>
    <row r="7" s="30" customFormat="1" spans="1:21">
      <c r="A7" s="88" t="s">
        <v>47</v>
      </c>
      <c r="B7" s="88" t="s">
        <v>48</v>
      </c>
      <c r="C7" s="88" t="s">
        <v>49</v>
      </c>
      <c r="D7" s="88" t="s">
        <v>50</v>
      </c>
      <c r="E7" s="88" t="s">
        <v>51</v>
      </c>
      <c r="F7" s="88" t="s">
        <v>52</v>
      </c>
      <c r="G7" s="88" t="s">
        <v>53</v>
      </c>
      <c r="H7" s="88" t="s">
        <v>54</v>
      </c>
      <c r="I7" s="88" t="s">
        <v>55</v>
      </c>
      <c r="J7" s="88" t="s">
        <v>56</v>
      </c>
      <c r="K7" s="88" t="s">
        <v>57</v>
      </c>
      <c r="L7" s="88" t="s">
        <v>58</v>
      </c>
      <c r="M7" s="88" t="s">
        <v>59</v>
      </c>
      <c r="N7" s="88" t="s">
        <v>60</v>
      </c>
      <c r="O7" s="88" t="s">
        <v>61</v>
      </c>
      <c r="P7" s="88" t="s">
        <v>62</v>
      </c>
      <c r="Q7" s="88" t="s">
        <v>63</v>
      </c>
      <c r="R7" s="88" t="s">
        <v>64</v>
      </c>
      <c r="S7" s="88" t="s">
        <v>65</v>
      </c>
      <c r="T7" s="88" t="s">
        <v>66</v>
      </c>
      <c r="U7" s="88" t="s">
        <v>67</v>
      </c>
    </row>
    <row r="8" s="99" customFormat="1" ht="131.25" hidden="1" spans="1:21">
      <c r="A8" s="102" t="s">
        <v>47</v>
      </c>
      <c r="B8" s="102" t="s">
        <v>336</v>
      </c>
      <c r="C8" s="102" t="s">
        <v>337</v>
      </c>
      <c r="D8" s="102" t="s">
        <v>338</v>
      </c>
      <c r="E8" s="103">
        <v>43823</v>
      </c>
      <c r="F8" s="104" t="s">
        <v>339</v>
      </c>
      <c r="G8" s="105">
        <v>100000</v>
      </c>
      <c r="H8" s="105">
        <v>90000</v>
      </c>
      <c r="I8" s="109">
        <v>2308091759</v>
      </c>
      <c r="J8" s="102" t="s">
        <v>340</v>
      </c>
      <c r="K8" s="102" t="s">
        <v>341</v>
      </c>
      <c r="L8" s="104">
        <v>43801</v>
      </c>
      <c r="M8" s="102" t="s">
        <v>342</v>
      </c>
      <c r="N8" s="105">
        <v>10000</v>
      </c>
      <c r="O8" s="104">
        <v>43489</v>
      </c>
      <c r="P8" s="104"/>
      <c r="Q8" s="104"/>
      <c r="R8" s="104"/>
      <c r="S8" s="104"/>
      <c r="T8" s="105"/>
      <c r="U8" s="111" t="s">
        <v>79</v>
      </c>
    </row>
    <row r="9" s="31" customFormat="1" ht="54" customHeight="1" spans="1:22">
      <c r="A9" s="42">
        <v>1</v>
      </c>
      <c r="B9" s="43" t="s">
        <v>343</v>
      </c>
      <c r="C9" s="43" t="s">
        <v>81</v>
      </c>
      <c r="D9" s="43" t="s">
        <v>344</v>
      </c>
      <c r="E9" s="52">
        <v>45649</v>
      </c>
      <c r="F9" s="96" t="s">
        <v>345</v>
      </c>
      <c r="G9" s="44">
        <v>774185.67</v>
      </c>
      <c r="H9" s="45">
        <f>IF(V9=2,G9+SUM(Q9:Q30)-SUM(R9:R30)-SUM(N9:N30)-T9,0)</f>
        <v>475601.22</v>
      </c>
      <c r="I9" s="110">
        <v>2308119595</v>
      </c>
      <c r="J9" s="43" t="s">
        <v>346</v>
      </c>
      <c r="K9" s="43" t="s">
        <v>239</v>
      </c>
      <c r="L9" s="52">
        <v>45688</v>
      </c>
      <c r="M9" s="43" t="s">
        <v>347</v>
      </c>
      <c r="N9" s="62">
        <v>131391.36</v>
      </c>
      <c r="O9" s="52">
        <v>45702</v>
      </c>
      <c r="P9" s="96"/>
      <c r="Q9" s="44"/>
      <c r="R9" s="44"/>
      <c r="S9" s="96"/>
      <c r="T9" s="44"/>
      <c r="U9" s="68"/>
      <c r="V9" s="31">
        <v>2</v>
      </c>
    </row>
    <row r="10" s="32" customFormat="1" spans="1:22">
      <c r="A10" s="42"/>
      <c r="B10" s="43"/>
      <c r="C10" s="43"/>
      <c r="D10" s="43"/>
      <c r="E10" s="52"/>
      <c r="F10" s="96"/>
      <c r="G10" s="44"/>
      <c r="H10" s="45"/>
      <c r="I10" s="110"/>
      <c r="J10" s="43"/>
      <c r="K10" s="43"/>
      <c r="L10" s="63">
        <v>45689</v>
      </c>
      <c r="M10" s="43"/>
      <c r="N10" s="62">
        <v>47789.14</v>
      </c>
      <c r="O10" s="63">
        <v>45701</v>
      </c>
      <c r="P10" s="98"/>
      <c r="Q10" s="69"/>
      <c r="R10" s="69"/>
      <c r="S10" s="96"/>
      <c r="T10" s="44"/>
      <c r="U10" s="68"/>
      <c r="V10" s="32">
        <v>2</v>
      </c>
    </row>
    <row r="11" s="32" customFormat="1" spans="1:22">
      <c r="A11" s="42"/>
      <c r="B11" s="43"/>
      <c r="C11" s="43"/>
      <c r="D11" s="43"/>
      <c r="E11" s="52"/>
      <c r="F11" s="96"/>
      <c r="G11" s="44"/>
      <c r="H11" s="45"/>
      <c r="I11" s="110"/>
      <c r="J11" s="43"/>
      <c r="K11" s="43"/>
      <c r="L11" s="63">
        <v>45689</v>
      </c>
      <c r="M11" s="43"/>
      <c r="N11" s="62">
        <v>57392.96</v>
      </c>
      <c r="O11" s="63">
        <v>45702</v>
      </c>
      <c r="P11" s="98" t="s">
        <v>348</v>
      </c>
      <c r="Q11" s="69">
        <v>425814.33</v>
      </c>
      <c r="R11" s="69"/>
      <c r="S11" s="96"/>
      <c r="T11" s="44"/>
      <c r="U11" s="68"/>
      <c r="V11" s="32">
        <v>2</v>
      </c>
    </row>
    <row r="12" s="32" customFormat="1" spans="1:22">
      <c r="A12" s="42"/>
      <c r="B12" s="43"/>
      <c r="C12" s="43"/>
      <c r="D12" s="43"/>
      <c r="E12" s="52"/>
      <c r="F12" s="96"/>
      <c r="G12" s="44"/>
      <c r="H12" s="45"/>
      <c r="I12" s="110"/>
      <c r="J12" s="43"/>
      <c r="K12" s="43"/>
      <c r="L12" s="63">
        <v>45716</v>
      </c>
      <c r="M12" s="43"/>
      <c r="N12" s="62">
        <v>58771.25</v>
      </c>
      <c r="O12" s="63">
        <v>45734</v>
      </c>
      <c r="P12" s="98"/>
      <c r="Q12" s="69"/>
      <c r="R12" s="69"/>
      <c r="S12" s="96"/>
      <c r="T12" s="44"/>
      <c r="U12" s="68"/>
      <c r="V12" s="32">
        <v>2</v>
      </c>
    </row>
    <row r="13" s="32" customFormat="1" spans="1:22">
      <c r="A13" s="42"/>
      <c r="B13" s="43"/>
      <c r="C13" s="43"/>
      <c r="D13" s="43"/>
      <c r="E13" s="52"/>
      <c r="F13" s="96"/>
      <c r="G13" s="44"/>
      <c r="H13" s="45"/>
      <c r="I13" s="110"/>
      <c r="J13" s="43"/>
      <c r="K13" s="43"/>
      <c r="L13" s="63">
        <v>45717</v>
      </c>
      <c r="M13" s="43"/>
      <c r="N13" s="62">
        <v>43037.59</v>
      </c>
      <c r="O13" s="63">
        <v>45719</v>
      </c>
      <c r="P13" s="98"/>
      <c r="Q13" s="69"/>
      <c r="R13" s="69"/>
      <c r="S13" s="96"/>
      <c r="T13" s="44"/>
      <c r="U13" s="68"/>
      <c r="V13" s="32">
        <v>2</v>
      </c>
    </row>
    <row r="14" s="32" customFormat="1" spans="1:22">
      <c r="A14" s="42"/>
      <c r="B14" s="43"/>
      <c r="C14" s="43"/>
      <c r="D14" s="43"/>
      <c r="E14" s="52"/>
      <c r="F14" s="96"/>
      <c r="G14" s="44"/>
      <c r="H14" s="45"/>
      <c r="I14" s="110"/>
      <c r="J14" s="43"/>
      <c r="K14" s="43"/>
      <c r="L14" s="63">
        <v>45717</v>
      </c>
      <c r="M14" s="43"/>
      <c r="N14" s="62">
        <v>71393.53</v>
      </c>
      <c r="O14" s="63">
        <v>45734</v>
      </c>
      <c r="P14" s="98"/>
      <c r="Q14" s="69"/>
      <c r="R14" s="69"/>
      <c r="S14" s="96"/>
      <c r="T14" s="44"/>
      <c r="U14" s="68"/>
      <c r="V14" s="32">
        <v>2</v>
      </c>
    </row>
    <row r="15" s="32" customFormat="1" spans="1:22">
      <c r="A15" s="42"/>
      <c r="B15" s="43"/>
      <c r="C15" s="43"/>
      <c r="D15" s="43"/>
      <c r="E15" s="52"/>
      <c r="F15" s="96"/>
      <c r="G15" s="44"/>
      <c r="H15" s="45"/>
      <c r="I15" s="110"/>
      <c r="J15" s="43"/>
      <c r="K15" s="43"/>
      <c r="L15" s="63">
        <v>45747</v>
      </c>
      <c r="M15" s="43"/>
      <c r="N15" s="62">
        <v>3534.4</v>
      </c>
      <c r="O15" s="63">
        <v>45763</v>
      </c>
      <c r="P15" s="98"/>
      <c r="Q15" s="69"/>
      <c r="R15" s="69"/>
      <c r="S15" s="96"/>
      <c r="T15" s="44"/>
      <c r="U15" s="68"/>
      <c r="V15" s="32">
        <v>2</v>
      </c>
    </row>
    <row r="16" s="32" customFormat="1" spans="1:22">
      <c r="A16" s="42"/>
      <c r="B16" s="43"/>
      <c r="C16" s="43"/>
      <c r="D16" s="43"/>
      <c r="E16" s="52"/>
      <c r="F16" s="96"/>
      <c r="G16" s="44"/>
      <c r="H16" s="45"/>
      <c r="I16" s="110"/>
      <c r="J16" s="43"/>
      <c r="K16" s="43"/>
      <c r="L16" s="63">
        <v>45748</v>
      </c>
      <c r="M16" s="43"/>
      <c r="N16" s="62">
        <v>53545.15</v>
      </c>
      <c r="O16" s="63">
        <v>45748</v>
      </c>
      <c r="P16" s="98"/>
      <c r="Q16" s="69"/>
      <c r="R16" s="69"/>
      <c r="S16" s="96"/>
      <c r="T16" s="44"/>
      <c r="U16" s="68"/>
      <c r="V16" s="32">
        <v>2</v>
      </c>
    </row>
    <row r="17" s="32" customFormat="1" spans="1:22">
      <c r="A17" s="42"/>
      <c r="B17" s="43"/>
      <c r="C17" s="43"/>
      <c r="D17" s="43"/>
      <c r="E17" s="52"/>
      <c r="F17" s="96"/>
      <c r="G17" s="44"/>
      <c r="H17" s="45"/>
      <c r="I17" s="110"/>
      <c r="J17" s="43"/>
      <c r="K17" s="43"/>
      <c r="L17" s="63">
        <v>45748</v>
      </c>
      <c r="M17" s="43"/>
      <c r="N17" s="62">
        <v>47181</v>
      </c>
      <c r="O17" s="63">
        <v>45763</v>
      </c>
      <c r="P17" s="98"/>
      <c r="Q17" s="69"/>
      <c r="R17" s="69"/>
      <c r="S17" s="96"/>
      <c r="T17" s="44"/>
      <c r="U17" s="68"/>
      <c r="V17" s="32">
        <v>2</v>
      </c>
    </row>
    <row r="18" s="32" customFormat="1" spans="1:22">
      <c r="A18" s="42"/>
      <c r="B18" s="43"/>
      <c r="C18" s="43"/>
      <c r="D18" s="43"/>
      <c r="E18" s="52"/>
      <c r="F18" s="96"/>
      <c r="G18" s="44"/>
      <c r="H18" s="45"/>
      <c r="I18" s="110"/>
      <c r="J18" s="43"/>
      <c r="K18" s="43"/>
      <c r="L18" s="63">
        <v>45778</v>
      </c>
      <c r="M18" s="43"/>
      <c r="N18" s="62">
        <v>35385.76</v>
      </c>
      <c r="O18" s="63">
        <v>45782</v>
      </c>
      <c r="P18" s="98"/>
      <c r="Q18" s="69"/>
      <c r="R18" s="69"/>
      <c r="S18" s="96"/>
      <c r="T18" s="44"/>
      <c r="U18" s="68"/>
      <c r="V18" s="32">
        <v>2</v>
      </c>
    </row>
    <row r="19" s="32" customFormat="1" spans="1:22">
      <c r="A19" s="42"/>
      <c r="B19" s="43"/>
      <c r="C19" s="43"/>
      <c r="D19" s="43"/>
      <c r="E19" s="52"/>
      <c r="F19" s="96"/>
      <c r="G19" s="44"/>
      <c r="H19" s="45"/>
      <c r="I19" s="110"/>
      <c r="J19" s="43"/>
      <c r="K19" s="43"/>
      <c r="L19" s="63">
        <v>45778</v>
      </c>
      <c r="M19" s="43"/>
      <c r="N19" s="62">
        <v>25606.9</v>
      </c>
      <c r="O19" s="63">
        <v>45791</v>
      </c>
      <c r="P19" s="98"/>
      <c r="Q19" s="69"/>
      <c r="R19" s="69"/>
      <c r="S19" s="96"/>
      <c r="T19" s="44"/>
      <c r="U19" s="68"/>
      <c r="V19" s="32">
        <v>2</v>
      </c>
    </row>
    <row r="20" s="32" customFormat="1" spans="1:22">
      <c r="A20" s="42"/>
      <c r="B20" s="43"/>
      <c r="C20" s="43"/>
      <c r="D20" s="43"/>
      <c r="E20" s="52"/>
      <c r="F20" s="96"/>
      <c r="G20" s="44"/>
      <c r="H20" s="45"/>
      <c r="I20" s="110"/>
      <c r="J20" s="43"/>
      <c r="K20" s="43"/>
      <c r="L20" s="63">
        <v>45809</v>
      </c>
      <c r="M20" s="43"/>
      <c r="N20" s="62">
        <v>19205.17</v>
      </c>
      <c r="O20" s="63">
        <v>45810</v>
      </c>
      <c r="P20" s="98"/>
      <c r="Q20" s="69"/>
      <c r="R20" s="69"/>
      <c r="S20" s="96"/>
      <c r="T20" s="44"/>
      <c r="U20" s="68"/>
      <c r="V20" s="32">
        <v>2</v>
      </c>
    </row>
    <row r="21" s="32" customFormat="1" spans="1:22">
      <c r="A21" s="42"/>
      <c r="B21" s="43"/>
      <c r="C21" s="43"/>
      <c r="D21" s="43"/>
      <c r="E21" s="52"/>
      <c r="F21" s="96"/>
      <c r="G21" s="44"/>
      <c r="H21" s="45"/>
      <c r="I21" s="110"/>
      <c r="J21" s="43"/>
      <c r="K21" s="43"/>
      <c r="L21" s="63">
        <v>45809</v>
      </c>
      <c r="M21" s="43"/>
      <c r="N21" s="62">
        <v>16420.03</v>
      </c>
      <c r="O21" s="63">
        <v>45828</v>
      </c>
      <c r="P21" s="98"/>
      <c r="Q21" s="69"/>
      <c r="R21" s="69"/>
      <c r="S21" s="96"/>
      <c r="T21" s="44"/>
      <c r="U21" s="68"/>
      <c r="V21" s="32">
        <v>2</v>
      </c>
    </row>
    <row r="22" s="32" customFormat="1" spans="1:22">
      <c r="A22" s="42"/>
      <c r="B22" s="43"/>
      <c r="C22" s="43"/>
      <c r="D22" s="43"/>
      <c r="E22" s="52"/>
      <c r="F22" s="96"/>
      <c r="G22" s="44"/>
      <c r="H22" s="45"/>
      <c r="I22" s="110"/>
      <c r="J22" s="43"/>
      <c r="K22" s="43"/>
      <c r="L22" s="63">
        <v>45839</v>
      </c>
      <c r="M22" s="43"/>
      <c r="N22" s="62">
        <v>13401.91</v>
      </c>
      <c r="O22" s="63">
        <v>45840</v>
      </c>
      <c r="P22" s="98"/>
      <c r="Q22" s="69"/>
      <c r="R22" s="69"/>
      <c r="S22" s="96"/>
      <c r="T22" s="44"/>
      <c r="U22" s="68"/>
      <c r="V22" s="32">
        <v>2</v>
      </c>
    </row>
    <row r="23" s="32" customFormat="1" spans="1:22">
      <c r="A23" s="42"/>
      <c r="B23" s="43"/>
      <c r="C23" s="43"/>
      <c r="D23" s="43"/>
      <c r="E23" s="52"/>
      <c r="F23" s="96"/>
      <c r="G23" s="44"/>
      <c r="H23" s="45"/>
      <c r="I23" s="110"/>
      <c r="J23" s="43"/>
      <c r="K23" s="43"/>
      <c r="L23" s="63">
        <v>45839</v>
      </c>
      <c r="M23" s="43"/>
      <c r="N23" s="62">
        <v>14328.3</v>
      </c>
      <c r="O23" s="63">
        <v>45853</v>
      </c>
      <c r="P23" s="98"/>
      <c r="Q23" s="69"/>
      <c r="R23" s="69"/>
      <c r="S23" s="96"/>
      <c r="T23" s="44"/>
      <c r="U23" s="68"/>
      <c r="V23" s="32">
        <v>2</v>
      </c>
    </row>
    <row r="24" s="32" customFormat="1" spans="1:22">
      <c r="A24" s="42"/>
      <c r="B24" s="43"/>
      <c r="C24" s="43"/>
      <c r="D24" s="43"/>
      <c r="E24" s="52"/>
      <c r="F24" s="96"/>
      <c r="G24" s="44"/>
      <c r="H24" s="45"/>
      <c r="I24" s="110"/>
      <c r="J24" s="43"/>
      <c r="K24" s="43"/>
      <c r="L24" s="63">
        <v>45870</v>
      </c>
      <c r="M24" s="43"/>
      <c r="N24" s="62">
        <v>10746.23</v>
      </c>
      <c r="O24" s="63">
        <v>45874</v>
      </c>
      <c r="P24" s="98"/>
      <c r="Q24" s="69"/>
      <c r="R24" s="69"/>
      <c r="S24" s="96"/>
      <c r="T24" s="44"/>
      <c r="U24" s="68"/>
      <c r="V24" s="32">
        <v>2</v>
      </c>
    </row>
    <row r="25" s="32" customFormat="1" spans="1:22">
      <c r="A25" s="42"/>
      <c r="B25" s="43"/>
      <c r="C25" s="43"/>
      <c r="D25" s="43"/>
      <c r="E25" s="52"/>
      <c r="F25" s="96"/>
      <c r="G25" s="44"/>
      <c r="H25" s="45"/>
      <c r="I25" s="110"/>
      <c r="J25" s="43"/>
      <c r="K25" s="43"/>
      <c r="L25" s="63">
        <v>45870</v>
      </c>
      <c r="M25" s="43"/>
      <c r="N25" s="62">
        <v>10081.19</v>
      </c>
      <c r="O25" s="63">
        <v>45883</v>
      </c>
      <c r="P25" s="98"/>
      <c r="Q25" s="69"/>
      <c r="R25" s="69"/>
      <c r="S25" s="96"/>
      <c r="T25" s="44"/>
      <c r="U25" s="68"/>
      <c r="V25" s="32">
        <v>2</v>
      </c>
    </row>
    <row r="26" s="32" customFormat="1" spans="1:22">
      <c r="A26" s="42"/>
      <c r="B26" s="43"/>
      <c r="C26" s="43"/>
      <c r="D26" s="43"/>
      <c r="E26" s="52"/>
      <c r="F26" s="96"/>
      <c r="G26" s="44"/>
      <c r="H26" s="45"/>
      <c r="I26" s="110"/>
      <c r="J26" s="43"/>
      <c r="K26" s="43"/>
      <c r="L26" s="63">
        <v>45901</v>
      </c>
      <c r="M26" s="43"/>
      <c r="N26" s="62">
        <v>7560.89</v>
      </c>
      <c r="O26" s="63">
        <v>45901</v>
      </c>
      <c r="P26" s="98"/>
      <c r="Q26" s="69"/>
      <c r="R26" s="69"/>
      <c r="S26" s="96"/>
      <c r="T26" s="44"/>
      <c r="U26" s="68"/>
      <c r="V26" s="32">
        <v>2</v>
      </c>
    </row>
    <row r="27" s="32" customFormat="1" spans="1:22">
      <c r="A27" s="42"/>
      <c r="B27" s="43"/>
      <c r="C27" s="43"/>
      <c r="D27" s="43"/>
      <c r="E27" s="52"/>
      <c r="F27" s="96"/>
      <c r="G27" s="44"/>
      <c r="H27" s="45"/>
      <c r="I27" s="110"/>
      <c r="J27" s="43"/>
      <c r="K27" s="43"/>
      <c r="L27" s="63">
        <v>45901</v>
      </c>
      <c r="M27" s="43"/>
      <c r="N27" s="62">
        <v>11871</v>
      </c>
      <c r="O27" s="63">
        <v>45915</v>
      </c>
      <c r="P27" s="98"/>
      <c r="Q27" s="69"/>
      <c r="R27" s="69"/>
      <c r="S27" s="96"/>
      <c r="T27" s="44"/>
      <c r="U27" s="68"/>
      <c r="V27" s="32">
        <v>2</v>
      </c>
    </row>
    <row r="28" s="32" customFormat="1" spans="1:22">
      <c r="A28" s="42"/>
      <c r="B28" s="43"/>
      <c r="C28" s="43"/>
      <c r="D28" s="43"/>
      <c r="E28" s="52"/>
      <c r="F28" s="96"/>
      <c r="G28" s="44"/>
      <c r="H28" s="45"/>
      <c r="I28" s="110"/>
      <c r="J28" s="43"/>
      <c r="K28" s="43"/>
      <c r="L28" s="63">
        <v>45931</v>
      </c>
      <c r="M28" s="43"/>
      <c r="N28" s="62">
        <v>8903.24</v>
      </c>
      <c r="O28" s="63">
        <v>45939</v>
      </c>
      <c r="P28" s="98"/>
      <c r="Q28" s="69"/>
      <c r="R28" s="69"/>
      <c r="S28" s="96"/>
      <c r="T28" s="44"/>
      <c r="U28" s="68"/>
      <c r="V28" s="32">
        <v>2</v>
      </c>
    </row>
    <row r="29" s="32" customFormat="1" spans="1:22">
      <c r="A29" s="42"/>
      <c r="B29" s="43"/>
      <c r="C29" s="43"/>
      <c r="D29" s="43"/>
      <c r="E29" s="52"/>
      <c r="F29" s="96"/>
      <c r="G29" s="44"/>
      <c r="H29" s="45"/>
      <c r="I29" s="110"/>
      <c r="J29" s="43"/>
      <c r="K29" s="43"/>
      <c r="L29" s="63">
        <v>45931</v>
      </c>
      <c r="M29" s="43"/>
      <c r="N29" s="62">
        <v>21058.16</v>
      </c>
      <c r="O29" s="63">
        <v>45945</v>
      </c>
      <c r="P29" s="98"/>
      <c r="Q29" s="69"/>
      <c r="R29" s="69"/>
      <c r="S29" s="96"/>
      <c r="T29" s="44"/>
      <c r="U29" s="68"/>
      <c r="V29" s="32">
        <v>2</v>
      </c>
    </row>
    <row r="30" s="32" customFormat="1" spans="1:22">
      <c r="A30" s="42"/>
      <c r="B30" s="43"/>
      <c r="C30" s="43"/>
      <c r="D30" s="43"/>
      <c r="E30" s="52"/>
      <c r="F30" s="96"/>
      <c r="G30" s="44"/>
      <c r="H30" s="45"/>
      <c r="I30" s="110"/>
      <c r="J30" s="43"/>
      <c r="K30" s="43"/>
      <c r="L30" s="63">
        <v>45962</v>
      </c>
      <c r="M30" s="43"/>
      <c r="N30" s="69">
        <v>15793.62</v>
      </c>
      <c r="O30" s="63"/>
      <c r="P30" s="98"/>
      <c r="Q30" s="69"/>
      <c r="R30" s="69"/>
      <c r="S30" s="96"/>
      <c r="T30" s="44"/>
      <c r="U30" s="68"/>
      <c r="V30" s="32">
        <v>2</v>
      </c>
    </row>
    <row r="31" s="31" customFormat="1" ht="54" customHeight="1" spans="1:22">
      <c r="A31" s="42">
        <v>2</v>
      </c>
      <c r="B31" s="43" t="s">
        <v>349</v>
      </c>
      <c r="C31" s="43" t="s">
        <v>81</v>
      </c>
      <c r="D31" s="43" t="s">
        <v>350</v>
      </c>
      <c r="E31" s="52">
        <v>45708</v>
      </c>
      <c r="F31" s="96" t="s">
        <v>351</v>
      </c>
      <c r="G31" s="44">
        <v>498597.22</v>
      </c>
      <c r="H31" s="45">
        <f>IF(V31=3,G31+SUM(Q31:Q32)-SUM(R31:R32)-SUM(N31:N32)-T31,0)</f>
        <v>-5.82076609134674e-11</v>
      </c>
      <c r="I31" s="110">
        <v>7715995942</v>
      </c>
      <c r="J31" s="43" t="s">
        <v>352</v>
      </c>
      <c r="K31" s="43" t="s">
        <v>353</v>
      </c>
      <c r="L31" s="52">
        <v>45749</v>
      </c>
      <c r="M31" s="43" t="s">
        <v>354</v>
      </c>
      <c r="N31" s="62">
        <v>401134.14</v>
      </c>
      <c r="O31" s="52">
        <v>45772</v>
      </c>
      <c r="P31" s="96"/>
      <c r="Q31" s="44"/>
      <c r="R31" s="44"/>
      <c r="S31" s="96"/>
      <c r="T31" s="44"/>
      <c r="U31" s="68"/>
      <c r="V31" s="31">
        <v>3</v>
      </c>
    </row>
    <row r="32" s="32" customFormat="1" spans="1:22">
      <c r="A32" s="42"/>
      <c r="B32" s="43"/>
      <c r="C32" s="43"/>
      <c r="D32" s="43"/>
      <c r="E32" s="52"/>
      <c r="F32" s="96"/>
      <c r="G32" s="44"/>
      <c r="H32" s="45"/>
      <c r="I32" s="110"/>
      <c r="J32" s="43"/>
      <c r="K32" s="43"/>
      <c r="L32" s="63">
        <v>45781</v>
      </c>
      <c r="M32" s="43"/>
      <c r="N32" s="62">
        <v>97463.08</v>
      </c>
      <c r="O32" s="63">
        <v>45806</v>
      </c>
      <c r="P32" s="98"/>
      <c r="Q32" s="69"/>
      <c r="R32" s="69"/>
      <c r="S32" s="96"/>
      <c r="T32" s="44"/>
      <c r="U32" s="68"/>
      <c r="V32" s="32">
        <v>3</v>
      </c>
    </row>
    <row r="33" s="31" customFormat="1" ht="75" spans="1:22">
      <c r="A33" s="42">
        <v>3</v>
      </c>
      <c r="B33" s="43" t="s">
        <v>355</v>
      </c>
      <c r="C33" s="43" t="s">
        <v>81</v>
      </c>
      <c r="D33" s="43" t="s">
        <v>356</v>
      </c>
      <c r="E33" s="52">
        <v>45713</v>
      </c>
      <c r="F33" s="96" t="s">
        <v>351</v>
      </c>
      <c r="G33" s="44">
        <v>64560.65</v>
      </c>
      <c r="H33" s="45">
        <f>IF(V33=4,G33+SUM(Q33:Q33)-SUM(R33:R33)-SUM(N33:N33)-T33,0)</f>
        <v>0</v>
      </c>
      <c r="I33" s="110">
        <v>7715995942</v>
      </c>
      <c r="J33" s="43" t="s">
        <v>352</v>
      </c>
      <c r="K33" s="43" t="s">
        <v>357</v>
      </c>
      <c r="L33" s="52">
        <v>45781</v>
      </c>
      <c r="M33" s="43" t="s">
        <v>354</v>
      </c>
      <c r="N33" s="62">
        <v>64560.65</v>
      </c>
      <c r="O33" s="52">
        <v>45806</v>
      </c>
      <c r="P33" s="96"/>
      <c r="Q33" s="44"/>
      <c r="R33" s="44"/>
      <c r="S33" s="96"/>
      <c r="T33" s="44"/>
      <c r="U33" s="68"/>
      <c r="V33" s="31">
        <v>4</v>
      </c>
    </row>
    <row r="34" s="31" customFormat="1" ht="75" spans="1:22">
      <c r="A34" s="42">
        <v>4</v>
      </c>
      <c r="B34" s="43" t="s">
        <v>358</v>
      </c>
      <c r="C34" s="43" t="s">
        <v>81</v>
      </c>
      <c r="D34" s="43" t="s">
        <v>359</v>
      </c>
      <c r="E34" s="52">
        <v>45771</v>
      </c>
      <c r="F34" s="96" t="s">
        <v>351</v>
      </c>
      <c r="G34" s="44">
        <v>20218</v>
      </c>
      <c r="H34" s="45">
        <f>IF(V34=5,G34+SUM(Q34:Q34)-SUM(R34:R34)-SUM(N34:N34)-T34,0)</f>
        <v>0</v>
      </c>
      <c r="I34" s="110">
        <v>7715995942</v>
      </c>
      <c r="J34" s="43" t="s">
        <v>352</v>
      </c>
      <c r="K34" s="43" t="s">
        <v>360</v>
      </c>
      <c r="L34" s="52">
        <v>45864</v>
      </c>
      <c r="M34" s="43" t="s">
        <v>354</v>
      </c>
      <c r="N34" s="62">
        <v>20218</v>
      </c>
      <c r="O34" s="52">
        <v>45884</v>
      </c>
      <c r="P34" s="96"/>
      <c r="Q34" s="44"/>
      <c r="R34" s="44"/>
      <c r="S34" s="96"/>
      <c r="T34" s="44"/>
      <c r="U34" s="68"/>
      <c r="V34" s="31">
        <v>5</v>
      </c>
    </row>
    <row r="35" spans="22:22">
      <c r="V35" s="33">
        <v>6</v>
      </c>
    </row>
  </sheetData>
  <sheetProtection algorithmName="SHA-512" hashValue="jkC7escRGsrXIGO8H2V2znps90ToF86gbmAtB8d4i5IOt4jXoYv30mzlTeoBR3N/tqqtZuMqtQtEqrqNxNJYxw==" saltValue="6qFSiLYihDeo4IyxgeTHkA==" spinCount="100000" sheet="1" formatCells="0" formatColumns="0" formatRows="0" objects="1" scenarios="1"/>
  <mergeCells count="33">
    <mergeCell ref="E2:F2"/>
    <mergeCell ref="L2:M2"/>
    <mergeCell ref="Q2:S2"/>
    <mergeCell ref="A9:A30"/>
    <mergeCell ref="A31:A32"/>
    <mergeCell ref="B9:B30"/>
    <mergeCell ref="B31:B32"/>
    <mergeCell ref="C9:C30"/>
    <mergeCell ref="C31:C32"/>
    <mergeCell ref="D9:D30"/>
    <mergeCell ref="D31:D32"/>
    <mergeCell ref="E9:E30"/>
    <mergeCell ref="E31:E32"/>
    <mergeCell ref="F9:F30"/>
    <mergeCell ref="F31:F32"/>
    <mergeCell ref="G9:G30"/>
    <mergeCell ref="G31:G32"/>
    <mergeCell ref="H9:H30"/>
    <mergeCell ref="H31:H32"/>
    <mergeCell ref="I9:I30"/>
    <mergeCell ref="I31:I32"/>
    <mergeCell ref="J9:J30"/>
    <mergeCell ref="J31:J32"/>
    <mergeCell ref="K9:K30"/>
    <mergeCell ref="K31:K32"/>
    <mergeCell ref="M9:M30"/>
    <mergeCell ref="M31:M32"/>
    <mergeCell ref="S9:S30"/>
    <mergeCell ref="S31:S32"/>
    <mergeCell ref="T9:T30"/>
    <mergeCell ref="T31:T32"/>
    <mergeCell ref="U9:U30"/>
    <mergeCell ref="U31:U32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9">
    <tabColor theme="3" tint="0.399975585192419"/>
  </sheetPr>
  <dimension ref="A2:AD17"/>
  <sheetViews>
    <sheetView showGridLines="0" zoomScale="50" zoomScaleNormal="50" topLeftCell="L1" workbookViewId="0">
      <pane ySplit="8" topLeftCell="A9" activePane="bottomLeft" state="frozen"/>
      <selection/>
      <selection pane="bottomLeft" activeCell="V16" sqref="V16"/>
    </sheetView>
  </sheetViews>
  <sheetFormatPr defaultColWidth="0" defaultRowHeight="18.75"/>
  <cols>
    <col min="1" max="1" width="9.08571428571429" style="85" customWidth="1"/>
    <col min="2" max="2" width="44" style="55" customWidth="1"/>
    <col min="3" max="3" width="30.6285714285714" style="55" customWidth="1"/>
    <col min="4" max="6" width="33.6285714285714" style="55" customWidth="1"/>
    <col min="7" max="8" width="22.3619047619048" style="37" customWidth="1"/>
    <col min="9" max="9" width="24.3619047619048" style="70" customWidth="1"/>
    <col min="10" max="10" width="28.4571428571429" style="70" customWidth="1"/>
    <col min="11" max="12" width="19.5428571428571" style="55" customWidth="1"/>
    <col min="13" max="13" width="25.6285714285714" style="55" customWidth="1"/>
    <col min="14" max="14" width="24.4571428571429" style="71" customWidth="1"/>
    <col min="15" max="15" width="24.4571428571429" style="55" customWidth="1"/>
    <col min="16" max="16" width="31.5428571428571" style="55" customWidth="1"/>
    <col min="17" max="18" width="21.9047619047619" style="37" customWidth="1"/>
    <col min="19" max="19" width="23.5428571428571" style="55" customWidth="1"/>
    <col min="20" max="20" width="31.3619047619048" style="71" customWidth="1"/>
    <col min="21" max="21" width="27.6285714285714" style="71" customWidth="1"/>
    <col min="22" max="22" width="25.4571428571429" style="37" customWidth="1"/>
    <col min="23" max="23" width="25" style="71" customWidth="1"/>
    <col min="24" max="24" width="24.5428571428571" style="55" customWidth="1"/>
    <col min="25" max="25" width="24.9047619047619" style="55" customWidth="1"/>
    <col min="26" max="26" width="24" style="55" customWidth="1"/>
    <col min="27" max="27" width="23.6285714285714" style="71" customWidth="1"/>
    <col min="28" max="28" width="19.0857142857143" style="37" customWidth="1"/>
    <col min="29" max="29" width="23.0857142857143" style="55" customWidth="1"/>
    <col min="30" max="30" width="9.08571428571429" style="33" hidden="1" customWidth="1"/>
    <col min="31" max="31" width="8.54285714285714" style="33" hidden="1" customWidth="1"/>
    <col min="32" max="38" width="0" style="33" hidden="1" customWidth="1"/>
    <col min="39" max="16384" width="9.08571428571429" style="33" hidden="1"/>
  </cols>
  <sheetData>
    <row r="2" ht="39.9" customHeight="1" spans="5:28">
      <c r="E2" s="34" t="s">
        <v>361</v>
      </c>
      <c r="F2" s="35"/>
      <c r="G2" s="36">
        <f>SUM(G9:G9999)</f>
        <v>1339144.2</v>
      </c>
      <c r="O2" s="34" t="s">
        <v>21</v>
      </c>
      <c r="P2" s="35"/>
      <c r="Q2" s="56">
        <f>SUM(Q9:Q9999)</f>
        <v>1272465</v>
      </c>
      <c r="T2" s="57" t="s">
        <v>22</v>
      </c>
      <c r="U2" s="58"/>
      <c r="V2" s="59">
        <f>SUM(V9:V9999)</f>
        <v>956684.98</v>
      </c>
      <c r="X2" s="60"/>
      <c r="Y2" s="57" t="s">
        <v>23</v>
      </c>
      <c r="Z2" s="65"/>
      <c r="AA2" s="58"/>
      <c r="AB2" s="66">
        <f>SUM(AB9:AB9999)</f>
        <v>0</v>
      </c>
    </row>
    <row r="3" spans="20:27">
      <c r="T3" s="33"/>
      <c r="U3" s="33"/>
      <c r="X3" s="33"/>
      <c r="Y3" s="33"/>
      <c r="Z3" s="33"/>
      <c r="AA3" s="33"/>
    </row>
    <row r="4" ht="39.9" customHeight="1" spans="20:27">
      <c r="T4" s="33"/>
      <c r="U4" s="33"/>
      <c r="X4" s="33"/>
      <c r="Y4" s="33"/>
      <c r="Z4" s="33"/>
      <c r="AA4" s="33"/>
    </row>
    <row r="6" s="30" customFormat="1" ht="150" spans="1:29">
      <c r="A6" s="86" t="s">
        <v>24</v>
      </c>
      <c r="B6" s="86" t="s">
        <v>25</v>
      </c>
      <c r="C6" s="86" t="s">
        <v>362</v>
      </c>
      <c r="D6" s="86" t="s">
        <v>27</v>
      </c>
      <c r="E6" s="86" t="s">
        <v>363</v>
      </c>
      <c r="F6" s="86" t="s">
        <v>364</v>
      </c>
      <c r="G6" s="87" t="s">
        <v>365</v>
      </c>
      <c r="H6" s="87" t="s">
        <v>366</v>
      </c>
      <c r="I6" s="92" t="s">
        <v>367</v>
      </c>
      <c r="J6" s="92" t="s">
        <v>368</v>
      </c>
      <c r="K6" s="86" t="s">
        <v>369</v>
      </c>
      <c r="L6" s="86" t="s">
        <v>370</v>
      </c>
      <c r="M6" s="86" t="s">
        <v>333</v>
      </c>
      <c r="N6" s="93" t="s">
        <v>334</v>
      </c>
      <c r="O6" s="86" t="s">
        <v>33</v>
      </c>
      <c r="P6" s="86" t="s">
        <v>34</v>
      </c>
      <c r="Q6" s="87" t="s">
        <v>371</v>
      </c>
      <c r="R6" s="87" t="s">
        <v>32</v>
      </c>
      <c r="S6" s="86" t="s">
        <v>372</v>
      </c>
      <c r="T6" s="93" t="s">
        <v>232</v>
      </c>
      <c r="U6" s="93" t="s">
        <v>373</v>
      </c>
      <c r="V6" s="87" t="s">
        <v>39</v>
      </c>
      <c r="W6" s="93" t="s">
        <v>40</v>
      </c>
      <c r="X6" s="94" t="s">
        <v>41</v>
      </c>
      <c r="Y6" s="94" t="s">
        <v>42</v>
      </c>
      <c r="Z6" s="94" t="s">
        <v>43</v>
      </c>
      <c r="AA6" s="97" t="s">
        <v>44</v>
      </c>
      <c r="AB6" s="87" t="s">
        <v>233</v>
      </c>
      <c r="AC6" s="86" t="s">
        <v>46</v>
      </c>
    </row>
    <row r="7" s="30" customFormat="1" spans="1:29">
      <c r="A7" s="88" t="s">
        <v>47</v>
      </c>
      <c r="B7" s="88" t="s">
        <v>48</v>
      </c>
      <c r="C7" s="88" t="s">
        <v>49</v>
      </c>
      <c r="D7" s="88" t="s">
        <v>50</v>
      </c>
      <c r="E7" s="88" t="s">
        <v>51</v>
      </c>
      <c r="F7" s="88" t="s">
        <v>52</v>
      </c>
      <c r="G7" s="88" t="s">
        <v>53</v>
      </c>
      <c r="H7" s="88" t="s">
        <v>54</v>
      </c>
      <c r="I7" s="88" t="s">
        <v>55</v>
      </c>
      <c r="J7" s="88" t="s">
        <v>56</v>
      </c>
      <c r="K7" s="88" t="s">
        <v>57</v>
      </c>
      <c r="L7" s="88" t="s">
        <v>58</v>
      </c>
      <c r="M7" s="88" t="s">
        <v>59</v>
      </c>
      <c r="N7" s="88" t="s">
        <v>60</v>
      </c>
      <c r="O7" s="88" t="s">
        <v>61</v>
      </c>
      <c r="P7" s="88" t="s">
        <v>62</v>
      </c>
      <c r="Q7" s="88" t="s">
        <v>63</v>
      </c>
      <c r="R7" s="88" t="s">
        <v>64</v>
      </c>
      <c r="S7" s="88" t="s">
        <v>65</v>
      </c>
      <c r="T7" s="88" t="s">
        <v>66</v>
      </c>
      <c r="U7" s="88" t="s">
        <v>67</v>
      </c>
      <c r="V7" s="88" t="s">
        <v>68</v>
      </c>
      <c r="W7" s="88" t="s">
        <v>69</v>
      </c>
      <c r="X7" s="88" t="s">
        <v>374</v>
      </c>
      <c r="Y7" s="88" t="s">
        <v>375</v>
      </c>
      <c r="Z7" s="88" t="s">
        <v>376</v>
      </c>
      <c r="AA7" s="88" t="s">
        <v>377</v>
      </c>
      <c r="AB7" s="88" t="s">
        <v>378</v>
      </c>
      <c r="AC7" s="88" t="s">
        <v>379</v>
      </c>
    </row>
    <row r="8" ht="168.75" hidden="1" spans="1:29">
      <c r="A8" s="89" t="s">
        <v>47</v>
      </c>
      <c r="B8" s="40"/>
      <c r="C8" s="40" t="s">
        <v>380</v>
      </c>
      <c r="D8" s="40" t="s">
        <v>381</v>
      </c>
      <c r="E8" s="40" t="s">
        <v>382</v>
      </c>
      <c r="F8" s="40" t="s">
        <v>383</v>
      </c>
      <c r="G8" s="41">
        <v>15500.01</v>
      </c>
      <c r="H8" s="41">
        <f t="shared" ref="H8" si="0">G8-Q8</f>
        <v>6725</v>
      </c>
      <c r="I8" s="50">
        <v>6</v>
      </c>
      <c r="J8" s="50">
        <v>0</v>
      </c>
      <c r="K8" s="40" t="s">
        <v>384</v>
      </c>
      <c r="L8" s="40" t="s">
        <v>385</v>
      </c>
      <c r="M8" s="40" t="s">
        <v>386</v>
      </c>
      <c r="N8" s="51">
        <v>43655</v>
      </c>
      <c r="O8" s="40" t="s">
        <v>387</v>
      </c>
      <c r="P8" s="40" t="s">
        <v>388</v>
      </c>
      <c r="Q8" s="41">
        <v>8775.01</v>
      </c>
      <c r="R8" s="41">
        <f>Q8-V8</f>
        <v>0</v>
      </c>
      <c r="S8" s="40" t="s">
        <v>389</v>
      </c>
      <c r="T8" s="51">
        <v>43677</v>
      </c>
      <c r="U8" s="51" t="s">
        <v>390</v>
      </c>
      <c r="V8" s="41">
        <v>8775.01</v>
      </c>
      <c r="W8" s="51">
        <v>43696</v>
      </c>
      <c r="X8" s="40"/>
      <c r="Y8" s="40"/>
      <c r="Z8" s="40"/>
      <c r="AA8" s="51"/>
      <c r="AB8" s="41"/>
      <c r="AC8" s="40" t="s">
        <v>79</v>
      </c>
    </row>
    <row r="9" s="31" customFormat="1" ht="52.25" customHeight="1" spans="1:30">
      <c r="A9" s="90">
        <v>1</v>
      </c>
      <c r="B9" s="43" t="s">
        <v>70</v>
      </c>
      <c r="C9" s="43" t="s">
        <v>391</v>
      </c>
      <c r="D9" s="43" t="s">
        <v>81</v>
      </c>
      <c r="E9" s="43" t="s">
        <v>392</v>
      </c>
      <c r="F9" s="43" t="s">
        <v>393</v>
      </c>
      <c r="G9" s="44">
        <v>740880</v>
      </c>
      <c r="H9" s="45">
        <f>IF(AD9=1,G9-Q9,0)</f>
        <v>66679.2</v>
      </c>
      <c r="I9" s="44">
        <v>2</v>
      </c>
      <c r="J9" s="44">
        <v>0</v>
      </c>
      <c r="K9" s="43" t="s">
        <v>394</v>
      </c>
      <c r="L9" s="43" t="s">
        <v>395</v>
      </c>
      <c r="M9" s="43" t="s">
        <v>392</v>
      </c>
      <c r="N9" s="52">
        <v>45649</v>
      </c>
      <c r="O9" s="43" t="s">
        <v>396</v>
      </c>
      <c r="P9" s="43" t="s">
        <v>397</v>
      </c>
      <c r="Q9" s="44">
        <v>674200.8</v>
      </c>
      <c r="R9" s="45">
        <f>IF(AD9=1,Q9+SUM(Y9:Y13)-SUM(Z9:Z13)-SUM(V9:V13)-AB9,0)</f>
        <v>0</v>
      </c>
      <c r="S9" s="43" t="s">
        <v>398</v>
      </c>
      <c r="T9" s="95">
        <v>45692</v>
      </c>
      <c r="U9" s="96" t="s">
        <v>399</v>
      </c>
      <c r="V9" s="62">
        <v>142178.4</v>
      </c>
      <c r="W9" s="52">
        <v>45700</v>
      </c>
      <c r="X9" s="64"/>
      <c r="Y9" s="69"/>
      <c r="Z9" s="69"/>
      <c r="AA9" s="98"/>
      <c r="AB9" s="69"/>
      <c r="AC9" s="43"/>
      <c r="AD9" s="31">
        <v>1</v>
      </c>
    </row>
    <row r="10" s="32" customFormat="1" spans="1:30">
      <c r="A10" s="90"/>
      <c r="B10" s="43"/>
      <c r="C10" s="43"/>
      <c r="D10" s="43"/>
      <c r="E10" s="43"/>
      <c r="F10" s="43"/>
      <c r="G10" s="44"/>
      <c r="H10" s="45"/>
      <c r="I10" s="44"/>
      <c r="J10" s="44"/>
      <c r="K10" s="43"/>
      <c r="L10" s="43"/>
      <c r="M10" s="43"/>
      <c r="N10" s="52"/>
      <c r="O10" s="43"/>
      <c r="P10" s="43"/>
      <c r="Q10" s="44"/>
      <c r="R10" s="45"/>
      <c r="S10" s="43"/>
      <c r="T10" s="63">
        <v>45720</v>
      </c>
      <c r="U10" s="96"/>
      <c r="V10" s="62">
        <v>128419.2</v>
      </c>
      <c r="W10" s="63">
        <v>45722</v>
      </c>
      <c r="X10" s="64"/>
      <c r="Y10" s="69"/>
      <c r="Z10" s="69"/>
      <c r="AA10" s="98"/>
      <c r="AB10" s="69"/>
      <c r="AC10" s="43"/>
      <c r="AD10" s="32">
        <v>1</v>
      </c>
    </row>
    <row r="11" s="32" customFormat="1" spans="1:30">
      <c r="A11" s="90"/>
      <c r="B11" s="43"/>
      <c r="C11" s="43"/>
      <c r="D11" s="43"/>
      <c r="E11" s="43"/>
      <c r="F11" s="43"/>
      <c r="G11" s="44"/>
      <c r="H11" s="45"/>
      <c r="I11" s="44"/>
      <c r="J11" s="44"/>
      <c r="K11" s="43"/>
      <c r="L11" s="43"/>
      <c r="M11" s="43"/>
      <c r="N11" s="52"/>
      <c r="O11" s="43"/>
      <c r="P11" s="43"/>
      <c r="Q11" s="44"/>
      <c r="R11" s="45"/>
      <c r="S11" s="43"/>
      <c r="T11" s="63">
        <v>45750</v>
      </c>
      <c r="U11" s="96"/>
      <c r="V11" s="62">
        <v>142178.4</v>
      </c>
      <c r="W11" s="63">
        <v>45754</v>
      </c>
      <c r="X11" s="64"/>
      <c r="Y11" s="69"/>
      <c r="Z11" s="69"/>
      <c r="AA11" s="98"/>
      <c r="AB11" s="69"/>
      <c r="AC11" s="43"/>
      <c r="AD11" s="32">
        <v>1</v>
      </c>
    </row>
    <row r="12" s="32" customFormat="1" spans="1:30">
      <c r="A12" s="90"/>
      <c r="B12" s="43"/>
      <c r="C12" s="43"/>
      <c r="D12" s="43"/>
      <c r="E12" s="43"/>
      <c r="F12" s="43"/>
      <c r="G12" s="44"/>
      <c r="H12" s="45"/>
      <c r="I12" s="44"/>
      <c r="J12" s="44"/>
      <c r="K12" s="43"/>
      <c r="L12" s="43"/>
      <c r="M12" s="43"/>
      <c r="N12" s="52"/>
      <c r="O12" s="43"/>
      <c r="P12" s="43"/>
      <c r="Q12" s="44"/>
      <c r="R12" s="45"/>
      <c r="S12" s="43"/>
      <c r="T12" s="63">
        <v>45781</v>
      </c>
      <c r="U12" s="96"/>
      <c r="V12" s="62">
        <v>137592</v>
      </c>
      <c r="W12" s="63">
        <v>45782</v>
      </c>
      <c r="X12" s="64"/>
      <c r="Y12" s="69"/>
      <c r="Z12" s="69"/>
      <c r="AA12" s="98"/>
      <c r="AB12" s="69"/>
      <c r="AC12" s="43"/>
      <c r="AD12" s="32">
        <v>1</v>
      </c>
    </row>
    <row r="13" s="32" customFormat="1" spans="1:30">
      <c r="A13" s="90"/>
      <c r="B13" s="43"/>
      <c r="C13" s="43"/>
      <c r="D13" s="43"/>
      <c r="E13" s="43"/>
      <c r="F13" s="43"/>
      <c r="G13" s="44"/>
      <c r="H13" s="45"/>
      <c r="I13" s="44"/>
      <c r="J13" s="44"/>
      <c r="K13" s="43"/>
      <c r="L13" s="43"/>
      <c r="M13" s="43"/>
      <c r="N13" s="52"/>
      <c r="O13" s="43"/>
      <c r="P13" s="43"/>
      <c r="Q13" s="44"/>
      <c r="R13" s="45"/>
      <c r="S13" s="43"/>
      <c r="T13" s="63">
        <v>45805</v>
      </c>
      <c r="U13" s="96"/>
      <c r="V13" s="62">
        <v>123832.8</v>
      </c>
      <c r="W13" s="63">
        <v>45811</v>
      </c>
      <c r="X13" s="64"/>
      <c r="Y13" s="69"/>
      <c r="Z13" s="69"/>
      <c r="AA13" s="98"/>
      <c r="AB13" s="69"/>
      <c r="AC13" s="43"/>
      <c r="AD13" s="32">
        <v>1</v>
      </c>
    </row>
    <row r="14" s="31" customFormat="1" ht="72" customHeight="1" spans="1:30">
      <c r="A14" s="91">
        <v>2</v>
      </c>
      <c r="B14" s="43" t="s">
        <v>70</v>
      </c>
      <c r="C14" s="43" t="s">
        <v>400</v>
      </c>
      <c r="D14" s="43" t="s">
        <v>81</v>
      </c>
      <c r="E14" s="43" t="s">
        <v>401</v>
      </c>
      <c r="F14" s="43" t="s">
        <v>402</v>
      </c>
      <c r="G14" s="44">
        <v>598264.2</v>
      </c>
      <c r="H14" s="45">
        <f>IF(AD14=4,G14-Q14,0)</f>
        <v>0</v>
      </c>
      <c r="I14" s="44">
        <v>2</v>
      </c>
      <c r="J14" s="44">
        <v>0</v>
      </c>
      <c r="K14" s="43" t="s">
        <v>394</v>
      </c>
      <c r="L14" s="43" t="s">
        <v>403</v>
      </c>
      <c r="M14" s="43" t="s">
        <v>401</v>
      </c>
      <c r="N14" s="52">
        <v>45838</v>
      </c>
      <c r="O14" s="43" t="s">
        <v>154</v>
      </c>
      <c r="P14" s="43" t="s">
        <v>155</v>
      </c>
      <c r="Q14" s="44">
        <v>598264.2</v>
      </c>
      <c r="R14" s="45">
        <f>IF(AD14=4,Q14+SUM(Y14:Y16)-SUM(Z14:Z16)-SUM(V14:V16)-AB14,0)</f>
        <v>315780.02</v>
      </c>
      <c r="S14" s="43" t="s">
        <v>404</v>
      </c>
      <c r="T14" s="52">
        <v>45919</v>
      </c>
      <c r="U14" s="96" t="s">
        <v>399</v>
      </c>
      <c r="V14" s="62">
        <v>73291.35</v>
      </c>
      <c r="W14" s="52">
        <v>45923</v>
      </c>
      <c r="X14" s="43"/>
      <c r="Y14" s="44"/>
      <c r="Z14" s="44"/>
      <c r="AA14" s="96"/>
      <c r="AB14" s="44"/>
      <c r="AC14" s="43"/>
      <c r="AD14" s="31">
        <v>4</v>
      </c>
    </row>
    <row r="15" s="32" customFormat="1" spans="1:30">
      <c r="A15" s="91"/>
      <c r="B15" s="43"/>
      <c r="C15" s="43"/>
      <c r="D15" s="43"/>
      <c r="E15" s="43"/>
      <c r="F15" s="43"/>
      <c r="G15" s="44"/>
      <c r="H15" s="45"/>
      <c r="I15" s="44"/>
      <c r="J15" s="44"/>
      <c r="K15" s="43"/>
      <c r="L15" s="43"/>
      <c r="M15" s="43"/>
      <c r="N15" s="52"/>
      <c r="O15" s="43"/>
      <c r="P15" s="43"/>
      <c r="Q15" s="44"/>
      <c r="R15" s="45"/>
      <c r="S15" s="43"/>
      <c r="T15" s="63">
        <v>45937</v>
      </c>
      <c r="U15" s="96"/>
      <c r="V15" s="62">
        <v>85336.13</v>
      </c>
      <c r="W15" s="63">
        <v>45940</v>
      </c>
      <c r="X15" s="64"/>
      <c r="Y15" s="69"/>
      <c r="Z15" s="69"/>
      <c r="AA15" s="96"/>
      <c r="AB15" s="44"/>
      <c r="AC15" s="43"/>
      <c r="AD15" s="32">
        <v>4</v>
      </c>
    </row>
    <row r="16" s="32" customFormat="1" spans="1:30">
      <c r="A16" s="91"/>
      <c r="B16" s="43"/>
      <c r="C16" s="43"/>
      <c r="D16" s="43"/>
      <c r="E16" s="43"/>
      <c r="F16" s="43"/>
      <c r="G16" s="44"/>
      <c r="H16" s="45"/>
      <c r="I16" s="44"/>
      <c r="J16" s="44"/>
      <c r="K16" s="43"/>
      <c r="L16" s="43"/>
      <c r="M16" s="43"/>
      <c r="N16" s="52"/>
      <c r="O16" s="43"/>
      <c r="P16" s="43"/>
      <c r="Q16" s="44"/>
      <c r="R16" s="45"/>
      <c r="S16" s="43"/>
      <c r="T16" s="63">
        <v>45957</v>
      </c>
      <c r="U16" s="96"/>
      <c r="V16" s="62">
        <v>123856.7</v>
      </c>
      <c r="W16" s="63">
        <v>45961</v>
      </c>
      <c r="X16" s="64"/>
      <c r="Y16" s="69"/>
      <c r="Z16" s="69"/>
      <c r="AA16" s="96"/>
      <c r="AB16" s="44"/>
      <c r="AC16" s="43"/>
      <c r="AD16" s="32">
        <v>4</v>
      </c>
    </row>
    <row r="17" spans="30:30">
      <c r="AD17" s="33">
        <v>5</v>
      </c>
    </row>
  </sheetData>
  <sheetProtection algorithmName="SHA-512" hashValue="C1R20ALw4X5Gnyw9iesYmoBaUIHYs4Rh5FZ+kJp/tFKabjEwPWIfIES1SoNsMBRfRqkHsEv3txwcDRJdKeXpkA==" saltValue="9xrmyvQMTvPi7XXH0mt1RA==" spinCount="100000" sheet="1" formatCells="0" formatColumns="0" formatRows="0" objects="1" scenarios="1"/>
  <mergeCells count="50">
    <mergeCell ref="E2:F2"/>
    <mergeCell ref="O2:P2"/>
    <mergeCell ref="T2:U2"/>
    <mergeCell ref="Y2:AA2"/>
    <mergeCell ref="A9:A13"/>
    <mergeCell ref="A14:A16"/>
    <mergeCell ref="B9:B13"/>
    <mergeCell ref="B14:B16"/>
    <mergeCell ref="C9:C13"/>
    <mergeCell ref="C14:C16"/>
    <mergeCell ref="D9:D13"/>
    <mergeCell ref="D14:D16"/>
    <mergeCell ref="E9:E13"/>
    <mergeCell ref="E14:E16"/>
    <mergeCell ref="F9:F13"/>
    <mergeCell ref="F14:F16"/>
    <mergeCell ref="G9:G13"/>
    <mergeCell ref="G14:G16"/>
    <mergeCell ref="H9:H13"/>
    <mergeCell ref="H14:H16"/>
    <mergeCell ref="I9:I13"/>
    <mergeCell ref="I14:I16"/>
    <mergeCell ref="J9:J13"/>
    <mergeCell ref="J14:J16"/>
    <mergeCell ref="K9:K13"/>
    <mergeCell ref="K14:K16"/>
    <mergeCell ref="L9:L13"/>
    <mergeCell ref="L14:L16"/>
    <mergeCell ref="M9:M13"/>
    <mergeCell ref="M14:M16"/>
    <mergeCell ref="N9:N13"/>
    <mergeCell ref="N14:N16"/>
    <mergeCell ref="O9:O13"/>
    <mergeCell ref="O14:O16"/>
    <mergeCell ref="P9:P13"/>
    <mergeCell ref="P14:P16"/>
    <mergeCell ref="Q9:Q13"/>
    <mergeCell ref="Q14:Q16"/>
    <mergeCell ref="R9:R13"/>
    <mergeCell ref="R14:R16"/>
    <mergeCell ref="S9:S13"/>
    <mergeCell ref="S14:S16"/>
    <mergeCell ref="U9:U13"/>
    <mergeCell ref="U14:U16"/>
    <mergeCell ref="AA9:AA13"/>
    <mergeCell ref="AA14:AA16"/>
    <mergeCell ref="AB9:AB13"/>
    <mergeCell ref="AB14:AB16"/>
    <mergeCell ref="AC9:AC13"/>
    <mergeCell ref="AC14:AC16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20">
    <tabColor theme="3" tint="0.399975585192419"/>
  </sheetPr>
  <dimension ref="A2:AD18"/>
  <sheetViews>
    <sheetView showGridLines="0" zoomScale="50" zoomScaleNormal="50" topLeftCell="N1" workbookViewId="0">
      <pane ySplit="8" topLeftCell="A9" activePane="bottomLeft" state="frozen"/>
      <selection/>
      <selection pane="bottomLeft" activeCell="V9" sqref="V9:V17"/>
    </sheetView>
  </sheetViews>
  <sheetFormatPr defaultColWidth="0" defaultRowHeight="18.75"/>
  <cols>
    <col min="1" max="1" width="9.08571428571429" style="55" customWidth="1"/>
    <col min="2" max="2" width="47.0857142857143" style="55" customWidth="1"/>
    <col min="3" max="3" width="34.4571428571429" style="55" customWidth="1"/>
    <col min="4" max="6" width="33.6285714285714" style="55" customWidth="1"/>
    <col min="7" max="7" width="22.3619047619048" style="37" customWidth="1"/>
    <col min="8" max="8" width="22.3619047619048" style="33" customWidth="1"/>
    <col min="9" max="9" width="24.3619047619048" style="70" customWidth="1"/>
    <col min="10" max="10" width="28.4571428571429" style="70" customWidth="1"/>
    <col min="11" max="12" width="19.5428571428571" style="55" customWidth="1"/>
    <col min="13" max="13" width="25.6285714285714" style="55" customWidth="1"/>
    <col min="14" max="14" width="24.4571428571429" style="71" customWidth="1"/>
    <col min="15" max="15" width="24.4571428571429" style="55" customWidth="1"/>
    <col min="16" max="16" width="31.5428571428571" style="55" customWidth="1"/>
    <col min="17" max="17" width="27" style="37" customWidth="1"/>
    <col min="18" max="18" width="21.9047619047619" style="33" customWidth="1"/>
    <col min="19" max="19" width="23.5428571428571" style="33" customWidth="1"/>
    <col min="20" max="20" width="32.4571428571429" style="33" customWidth="1"/>
    <col min="21" max="21" width="27.6285714285714" style="33" customWidth="1"/>
    <col min="22" max="22" width="25.4571428571429" style="33" customWidth="1"/>
    <col min="23" max="23" width="25" style="33" customWidth="1"/>
    <col min="24" max="26" width="25.0857142857143" style="33" customWidth="1"/>
    <col min="27" max="27" width="23.9047619047619" style="33" customWidth="1"/>
    <col min="28" max="28" width="20.3619047619048" style="33" customWidth="1"/>
    <col min="29" max="29" width="20" style="33" customWidth="1"/>
    <col min="30" max="38" width="0" style="33" hidden="1" customWidth="1"/>
    <col min="39" max="16384" width="9.08571428571429" style="33" hidden="1"/>
  </cols>
  <sheetData>
    <row r="2" ht="39.9" customHeight="1" spans="5:28">
      <c r="E2" s="34" t="s">
        <v>361</v>
      </c>
      <c r="F2" s="35"/>
      <c r="G2" s="36">
        <f>SUM(G9:G9999)</f>
        <v>847247.54</v>
      </c>
      <c r="H2" s="37"/>
      <c r="O2" s="34" t="s">
        <v>21</v>
      </c>
      <c r="P2" s="35"/>
      <c r="Q2" s="56">
        <f>SUM(Q9:Q9999)</f>
        <v>847247.54</v>
      </c>
      <c r="T2" s="57" t="s">
        <v>22</v>
      </c>
      <c r="U2" s="58"/>
      <c r="V2" s="59">
        <f>SUM(V9:V9999)</f>
        <v>792072.19</v>
      </c>
      <c r="X2" s="60"/>
      <c r="Y2" s="57" t="s">
        <v>23</v>
      </c>
      <c r="Z2" s="65"/>
      <c r="AA2" s="58"/>
      <c r="AB2" s="66">
        <f>SUM(AB9:AB9999)</f>
        <v>55175.35</v>
      </c>
    </row>
    <row r="4" ht="39.9" customHeight="1"/>
    <row r="6" ht="131.25" spans="1:29">
      <c r="A6" s="72" t="s">
        <v>24</v>
      </c>
      <c r="B6" s="72" t="s">
        <v>25</v>
      </c>
      <c r="C6" s="72" t="s">
        <v>362</v>
      </c>
      <c r="D6" s="72" t="s">
        <v>27</v>
      </c>
      <c r="E6" s="72" t="s">
        <v>363</v>
      </c>
      <c r="F6" s="72" t="s">
        <v>364</v>
      </c>
      <c r="G6" s="73" t="s">
        <v>365</v>
      </c>
      <c r="H6" s="74" t="s">
        <v>366</v>
      </c>
      <c r="I6" s="78" t="s">
        <v>367</v>
      </c>
      <c r="J6" s="78" t="s">
        <v>368</v>
      </c>
      <c r="K6" s="72" t="s">
        <v>369</v>
      </c>
      <c r="L6" s="72" t="s">
        <v>370</v>
      </c>
      <c r="M6" s="72" t="s">
        <v>333</v>
      </c>
      <c r="N6" s="79" t="s">
        <v>334</v>
      </c>
      <c r="O6" s="72" t="s">
        <v>33</v>
      </c>
      <c r="P6" s="72" t="s">
        <v>34</v>
      </c>
      <c r="Q6" s="73" t="s">
        <v>335</v>
      </c>
      <c r="R6" s="74" t="s">
        <v>32</v>
      </c>
      <c r="S6" s="74" t="s">
        <v>372</v>
      </c>
      <c r="T6" s="74" t="s">
        <v>232</v>
      </c>
      <c r="U6" s="74" t="s">
        <v>373</v>
      </c>
      <c r="V6" s="74" t="s">
        <v>39</v>
      </c>
      <c r="W6" s="74" t="s">
        <v>40</v>
      </c>
      <c r="X6" s="83" t="s">
        <v>41</v>
      </c>
      <c r="Y6" s="83" t="s">
        <v>42</v>
      </c>
      <c r="Z6" s="83" t="s">
        <v>43</v>
      </c>
      <c r="AA6" s="83" t="s">
        <v>44</v>
      </c>
      <c r="AB6" s="74" t="s">
        <v>233</v>
      </c>
      <c r="AC6" s="74" t="s">
        <v>46</v>
      </c>
    </row>
    <row r="7" spans="1:29">
      <c r="A7" s="75" t="s">
        <v>47</v>
      </c>
      <c r="B7" s="75" t="s">
        <v>48</v>
      </c>
      <c r="C7" s="75" t="s">
        <v>49</v>
      </c>
      <c r="D7" s="75" t="s">
        <v>50</v>
      </c>
      <c r="E7" s="75" t="s">
        <v>51</v>
      </c>
      <c r="F7" s="75" t="s">
        <v>52</v>
      </c>
      <c r="G7" s="75" t="s">
        <v>53</v>
      </c>
      <c r="H7" s="75" t="s">
        <v>54</v>
      </c>
      <c r="I7" s="75" t="s">
        <v>55</v>
      </c>
      <c r="J7" s="75" t="s">
        <v>56</v>
      </c>
      <c r="K7" s="75" t="s">
        <v>57</v>
      </c>
      <c r="L7" s="75" t="s">
        <v>58</v>
      </c>
      <c r="M7" s="75" t="s">
        <v>59</v>
      </c>
      <c r="N7" s="75" t="s">
        <v>60</v>
      </c>
      <c r="O7" s="75" t="s">
        <v>61</v>
      </c>
      <c r="P7" s="75" t="s">
        <v>62</v>
      </c>
      <c r="Q7" s="75" t="s">
        <v>63</v>
      </c>
      <c r="R7" s="75" t="s">
        <v>64</v>
      </c>
      <c r="S7" s="75" t="s">
        <v>65</v>
      </c>
      <c r="T7" s="75" t="s">
        <v>66</v>
      </c>
      <c r="U7" s="75" t="s">
        <v>67</v>
      </c>
      <c r="V7" s="75" t="s">
        <v>68</v>
      </c>
      <c r="W7" s="75" t="s">
        <v>69</v>
      </c>
      <c r="X7" s="75" t="s">
        <v>374</v>
      </c>
      <c r="Y7" s="75" t="s">
        <v>375</v>
      </c>
      <c r="Z7" s="75" t="s">
        <v>376</v>
      </c>
      <c r="AA7" s="75" t="s">
        <v>377</v>
      </c>
      <c r="AB7" s="75" t="s">
        <v>378</v>
      </c>
      <c r="AC7" s="75" t="s">
        <v>379</v>
      </c>
    </row>
    <row r="8" ht="168.75" hidden="1" spans="1:29">
      <c r="A8" s="76" t="s">
        <v>47</v>
      </c>
      <c r="B8" s="76"/>
      <c r="C8" s="76" t="s">
        <v>380</v>
      </c>
      <c r="D8" s="76" t="s">
        <v>381</v>
      </c>
      <c r="E8" s="76" t="s">
        <v>382</v>
      </c>
      <c r="F8" s="76" t="s">
        <v>383</v>
      </c>
      <c r="G8" s="77">
        <v>15500.01</v>
      </c>
      <c r="H8" s="77">
        <f t="shared" ref="H8" si="0">G8-Q8</f>
        <v>6725</v>
      </c>
      <c r="I8" s="80">
        <v>6</v>
      </c>
      <c r="J8" s="80">
        <v>0</v>
      </c>
      <c r="K8" s="76" t="s">
        <v>384</v>
      </c>
      <c r="L8" s="76" t="s">
        <v>385</v>
      </c>
      <c r="M8" s="76" t="s">
        <v>386</v>
      </c>
      <c r="N8" s="81">
        <v>43655</v>
      </c>
      <c r="O8" s="76" t="s">
        <v>387</v>
      </c>
      <c r="P8" s="76" t="s">
        <v>388</v>
      </c>
      <c r="Q8" s="77">
        <v>8775.01</v>
      </c>
      <c r="R8" s="77">
        <f>Q8-V8</f>
        <v>0</v>
      </c>
      <c r="S8" s="76" t="s">
        <v>389</v>
      </c>
      <c r="T8" s="81">
        <v>43677</v>
      </c>
      <c r="U8" s="76" t="s">
        <v>390</v>
      </c>
      <c r="V8" s="77">
        <v>8775.01</v>
      </c>
      <c r="W8" s="81">
        <v>43696</v>
      </c>
      <c r="X8" s="76"/>
      <c r="Y8" s="76"/>
      <c r="Z8" s="76"/>
      <c r="AA8" s="76"/>
      <c r="AB8" s="77"/>
      <c r="AC8" s="84" t="s">
        <v>79</v>
      </c>
    </row>
    <row r="9" s="31" customFormat="1" ht="54.65" customHeight="1" spans="1:30">
      <c r="A9" s="42">
        <v>1</v>
      </c>
      <c r="B9" s="43" t="s">
        <v>70</v>
      </c>
      <c r="C9" s="43" t="s">
        <v>405</v>
      </c>
      <c r="D9" s="43" t="s">
        <v>81</v>
      </c>
      <c r="E9" s="43" t="s">
        <v>406</v>
      </c>
      <c r="F9" s="43" t="s">
        <v>320</v>
      </c>
      <c r="G9" s="44">
        <v>847247.54</v>
      </c>
      <c r="H9" s="45">
        <f>IF(AD9=1,G9-Q9,0)</f>
        <v>0</v>
      </c>
      <c r="I9" s="44">
        <v>1</v>
      </c>
      <c r="J9" s="44">
        <v>0</v>
      </c>
      <c r="K9" s="43" t="s">
        <v>394</v>
      </c>
      <c r="L9" s="82" t="s">
        <v>407</v>
      </c>
      <c r="M9" s="43" t="s">
        <v>408</v>
      </c>
      <c r="N9" s="52">
        <v>45642</v>
      </c>
      <c r="O9" s="43" t="s">
        <v>154</v>
      </c>
      <c r="P9" s="43" t="s">
        <v>155</v>
      </c>
      <c r="Q9" s="44">
        <v>847247.54</v>
      </c>
      <c r="R9" s="45">
        <f>IF(AD9=1,Q9+SUM(Y9:Y17)-SUM(Z9:Z17)-SUM(V9:V17)-AB9,0)</f>
        <v>9.45874489843845e-11</v>
      </c>
      <c r="S9" s="43" t="s">
        <v>409</v>
      </c>
      <c r="T9" s="52">
        <v>45681</v>
      </c>
      <c r="U9" s="43" t="s">
        <v>410</v>
      </c>
      <c r="V9" s="62">
        <v>65390.78</v>
      </c>
      <c r="W9" s="52">
        <v>45712</v>
      </c>
      <c r="X9" s="43"/>
      <c r="Y9" s="44"/>
      <c r="Z9" s="44"/>
      <c r="AA9" s="43" t="s">
        <v>411</v>
      </c>
      <c r="AB9" s="44">
        <v>55175.35</v>
      </c>
      <c r="AC9" s="68"/>
      <c r="AD9" s="31">
        <v>1</v>
      </c>
    </row>
    <row r="10" s="32" customFormat="1" spans="1:30">
      <c r="A10" s="42"/>
      <c r="B10" s="43"/>
      <c r="C10" s="43"/>
      <c r="D10" s="43"/>
      <c r="E10" s="43"/>
      <c r="F10" s="43"/>
      <c r="G10" s="44"/>
      <c r="H10" s="45"/>
      <c r="I10" s="44"/>
      <c r="J10" s="44"/>
      <c r="K10" s="43"/>
      <c r="L10" s="82"/>
      <c r="M10" s="43"/>
      <c r="N10" s="52"/>
      <c r="O10" s="43"/>
      <c r="P10" s="43"/>
      <c r="Q10" s="44"/>
      <c r="R10" s="45"/>
      <c r="S10" s="43"/>
      <c r="T10" s="63">
        <v>45695</v>
      </c>
      <c r="U10" s="43"/>
      <c r="V10" s="62">
        <v>95675.45</v>
      </c>
      <c r="W10" s="63">
        <v>45712</v>
      </c>
      <c r="X10" s="64"/>
      <c r="Y10" s="69"/>
      <c r="Z10" s="69"/>
      <c r="AA10" s="43"/>
      <c r="AB10" s="44"/>
      <c r="AC10" s="68"/>
      <c r="AD10" s="32">
        <v>1</v>
      </c>
    </row>
    <row r="11" s="32" customFormat="1" spans="1:30">
      <c r="A11" s="42"/>
      <c r="B11" s="43"/>
      <c r="C11" s="43"/>
      <c r="D11" s="43"/>
      <c r="E11" s="43"/>
      <c r="F11" s="43"/>
      <c r="G11" s="44"/>
      <c r="H11" s="45"/>
      <c r="I11" s="44"/>
      <c r="J11" s="44"/>
      <c r="K11" s="43"/>
      <c r="L11" s="82"/>
      <c r="M11" s="43"/>
      <c r="N11" s="52"/>
      <c r="O11" s="43"/>
      <c r="P11" s="43"/>
      <c r="Q11" s="44"/>
      <c r="R11" s="45"/>
      <c r="S11" s="43"/>
      <c r="T11" s="63">
        <v>45709</v>
      </c>
      <c r="U11" s="43"/>
      <c r="V11" s="62">
        <v>81512.47</v>
      </c>
      <c r="W11" s="63">
        <v>45716</v>
      </c>
      <c r="X11" s="64"/>
      <c r="Y11" s="69"/>
      <c r="Z11" s="69"/>
      <c r="AA11" s="43"/>
      <c r="AB11" s="44"/>
      <c r="AC11" s="68"/>
      <c r="AD11" s="32">
        <v>1</v>
      </c>
    </row>
    <row r="12" s="32" customFormat="1" spans="1:30">
      <c r="A12" s="42"/>
      <c r="B12" s="43"/>
      <c r="C12" s="43"/>
      <c r="D12" s="43"/>
      <c r="E12" s="43"/>
      <c r="F12" s="43"/>
      <c r="G12" s="44"/>
      <c r="H12" s="45"/>
      <c r="I12" s="44"/>
      <c r="J12" s="44"/>
      <c r="K12" s="43"/>
      <c r="L12" s="82"/>
      <c r="M12" s="43"/>
      <c r="N12" s="52"/>
      <c r="O12" s="43"/>
      <c r="P12" s="43"/>
      <c r="Q12" s="44"/>
      <c r="R12" s="45"/>
      <c r="S12" s="43"/>
      <c r="T12" s="63">
        <v>45722</v>
      </c>
      <c r="U12" s="43"/>
      <c r="V12" s="62">
        <v>65993.46</v>
      </c>
      <c r="W12" s="63">
        <v>45728</v>
      </c>
      <c r="X12" s="64"/>
      <c r="Y12" s="69"/>
      <c r="Z12" s="69"/>
      <c r="AA12" s="43"/>
      <c r="AB12" s="44"/>
      <c r="AC12" s="68"/>
      <c r="AD12" s="32">
        <v>1</v>
      </c>
    </row>
    <row r="13" s="32" customFormat="1" spans="1:30">
      <c r="A13" s="42"/>
      <c r="B13" s="43"/>
      <c r="C13" s="43"/>
      <c r="D13" s="43"/>
      <c r="E13" s="43"/>
      <c r="F13" s="43"/>
      <c r="G13" s="44"/>
      <c r="H13" s="45"/>
      <c r="I13" s="44"/>
      <c r="J13" s="44"/>
      <c r="K13" s="43"/>
      <c r="L13" s="82"/>
      <c r="M13" s="43"/>
      <c r="N13" s="52"/>
      <c r="O13" s="43"/>
      <c r="P13" s="43"/>
      <c r="Q13" s="44"/>
      <c r="R13" s="45"/>
      <c r="S13" s="43"/>
      <c r="T13" s="63">
        <v>45737</v>
      </c>
      <c r="U13" s="43"/>
      <c r="V13" s="62">
        <v>87689.94</v>
      </c>
      <c r="W13" s="63">
        <v>45749</v>
      </c>
      <c r="X13" s="64"/>
      <c r="Y13" s="69"/>
      <c r="Z13" s="69"/>
      <c r="AA13" s="43"/>
      <c r="AB13" s="44"/>
      <c r="AC13" s="68"/>
      <c r="AD13" s="32">
        <v>1</v>
      </c>
    </row>
    <row r="14" s="32" customFormat="1" spans="1:30">
      <c r="A14" s="42"/>
      <c r="B14" s="43"/>
      <c r="C14" s="43"/>
      <c r="D14" s="43"/>
      <c r="E14" s="43"/>
      <c r="F14" s="43"/>
      <c r="G14" s="44"/>
      <c r="H14" s="45"/>
      <c r="I14" s="44"/>
      <c r="J14" s="44"/>
      <c r="K14" s="43"/>
      <c r="L14" s="82"/>
      <c r="M14" s="43"/>
      <c r="N14" s="52"/>
      <c r="O14" s="43"/>
      <c r="P14" s="43"/>
      <c r="Q14" s="44"/>
      <c r="R14" s="45"/>
      <c r="S14" s="43"/>
      <c r="T14" s="63">
        <v>45754</v>
      </c>
      <c r="U14" s="43"/>
      <c r="V14" s="62">
        <v>61172.02</v>
      </c>
      <c r="W14" s="63">
        <v>45762</v>
      </c>
      <c r="X14" s="64"/>
      <c r="Y14" s="69"/>
      <c r="Z14" s="69"/>
      <c r="AA14" s="43"/>
      <c r="AB14" s="44"/>
      <c r="AC14" s="68"/>
      <c r="AD14" s="32">
        <v>1</v>
      </c>
    </row>
    <row r="15" s="32" customFormat="1" spans="1:30">
      <c r="A15" s="42"/>
      <c r="B15" s="43"/>
      <c r="C15" s="43"/>
      <c r="D15" s="43"/>
      <c r="E15" s="43"/>
      <c r="F15" s="43"/>
      <c r="G15" s="44"/>
      <c r="H15" s="45"/>
      <c r="I15" s="44"/>
      <c r="J15" s="44"/>
      <c r="K15" s="43"/>
      <c r="L15" s="82"/>
      <c r="M15" s="43"/>
      <c r="N15" s="52"/>
      <c r="O15" s="43"/>
      <c r="P15" s="43"/>
      <c r="Q15" s="44"/>
      <c r="R15" s="45"/>
      <c r="S15" s="43"/>
      <c r="T15" s="63">
        <v>45761</v>
      </c>
      <c r="U15" s="43"/>
      <c r="V15" s="62">
        <v>88141.95</v>
      </c>
      <c r="W15" s="63">
        <v>45762</v>
      </c>
      <c r="X15" s="64"/>
      <c r="Y15" s="69"/>
      <c r="Z15" s="69"/>
      <c r="AA15" s="43"/>
      <c r="AB15" s="44"/>
      <c r="AC15" s="68"/>
      <c r="AD15" s="32">
        <v>1</v>
      </c>
    </row>
    <row r="16" s="32" customFormat="1" spans="1:30">
      <c r="A16" s="42"/>
      <c r="B16" s="43"/>
      <c r="C16" s="43"/>
      <c r="D16" s="43"/>
      <c r="E16" s="43"/>
      <c r="F16" s="43"/>
      <c r="G16" s="44"/>
      <c r="H16" s="45"/>
      <c r="I16" s="44"/>
      <c r="J16" s="44"/>
      <c r="K16" s="43"/>
      <c r="L16" s="82"/>
      <c r="M16" s="43"/>
      <c r="N16" s="52"/>
      <c r="O16" s="43"/>
      <c r="P16" s="43"/>
      <c r="Q16" s="44"/>
      <c r="R16" s="45"/>
      <c r="S16" s="43"/>
      <c r="T16" s="63">
        <v>45790</v>
      </c>
      <c r="U16" s="43"/>
      <c r="V16" s="62">
        <v>116467.91</v>
      </c>
      <c r="W16" s="63">
        <v>45791</v>
      </c>
      <c r="X16" s="64"/>
      <c r="Y16" s="69"/>
      <c r="Z16" s="69"/>
      <c r="AA16" s="43"/>
      <c r="AB16" s="44"/>
      <c r="AC16" s="68"/>
      <c r="AD16" s="32">
        <v>1</v>
      </c>
    </row>
    <row r="17" s="32" customFormat="1" spans="1:30">
      <c r="A17" s="42"/>
      <c r="B17" s="43"/>
      <c r="C17" s="43"/>
      <c r="D17" s="43"/>
      <c r="E17" s="43"/>
      <c r="F17" s="43"/>
      <c r="G17" s="44"/>
      <c r="H17" s="45"/>
      <c r="I17" s="44"/>
      <c r="J17" s="44"/>
      <c r="K17" s="43"/>
      <c r="L17" s="82"/>
      <c r="M17" s="43"/>
      <c r="N17" s="52"/>
      <c r="O17" s="43"/>
      <c r="P17" s="43"/>
      <c r="Q17" s="44"/>
      <c r="R17" s="45"/>
      <c r="S17" s="43"/>
      <c r="T17" s="63">
        <v>45807</v>
      </c>
      <c r="U17" s="43"/>
      <c r="V17" s="62">
        <v>130028.21</v>
      </c>
      <c r="W17" s="63">
        <v>45811</v>
      </c>
      <c r="X17" s="64"/>
      <c r="Y17" s="69"/>
      <c r="Z17" s="69"/>
      <c r="AA17" s="43"/>
      <c r="AB17" s="44"/>
      <c r="AC17" s="68"/>
      <c r="AD17" s="32">
        <v>1</v>
      </c>
    </row>
    <row r="18" spans="30:30">
      <c r="AD18" s="33">
        <v>3</v>
      </c>
    </row>
  </sheetData>
  <sheetProtection algorithmName="SHA-512" hashValue="Su0pnR4nLgvQbKV+QeQDK+uKd9eeqCvmBqlFrPPbOEZLBr/oGhN/hopoXUzKqpUkhCz8BP08PmRscvyNA3dKrQ==" saltValue="3OsnNqFA8tLvzs+hsIf81Q==" spinCount="100000" sheet="1" formatCells="0" formatColumns="0" formatRows="0" objects="1" scenarios="1"/>
  <mergeCells count="27">
    <mergeCell ref="E2:F2"/>
    <mergeCell ref="O2:P2"/>
    <mergeCell ref="T2:U2"/>
    <mergeCell ref="Y2:AA2"/>
    <mergeCell ref="A9:A17"/>
    <mergeCell ref="B9:B17"/>
    <mergeCell ref="C9: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S9:S17"/>
    <mergeCell ref="U9:U17"/>
    <mergeCell ref="AA9:AA17"/>
    <mergeCell ref="AB9:AB17"/>
    <mergeCell ref="AC9:AC17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21">
    <tabColor theme="3" tint="0.399975585192419"/>
  </sheetPr>
  <dimension ref="A2:AD22"/>
  <sheetViews>
    <sheetView showGridLines="0" zoomScale="50" zoomScaleNormal="50" topLeftCell="N1" workbookViewId="0">
      <pane ySplit="8" topLeftCell="A23" activePane="bottomLeft" state="frozen"/>
      <selection/>
      <selection pane="bottomLeft" activeCell="T33" sqref="T33"/>
    </sheetView>
  </sheetViews>
  <sheetFormatPr defaultColWidth="0" defaultRowHeight="18.75"/>
  <cols>
    <col min="1" max="1" width="9.08571428571429" style="33" customWidth="1"/>
    <col min="2" max="2" width="47.0857142857143" style="33" customWidth="1"/>
    <col min="3" max="3" width="33.3619047619048" style="33" customWidth="1"/>
    <col min="4" max="6" width="33.6285714285714" style="33" customWidth="1"/>
    <col min="7" max="8" width="22.3619047619048" style="33" customWidth="1"/>
    <col min="9" max="9" width="24.3619047619048" style="33" customWidth="1"/>
    <col min="10" max="10" width="28.4571428571429" style="33" customWidth="1"/>
    <col min="11" max="12" width="19.5428571428571" style="33" customWidth="1"/>
    <col min="13" max="13" width="25.6285714285714" style="33" customWidth="1"/>
    <col min="14" max="15" width="24.4571428571429" style="33" customWidth="1"/>
    <col min="16" max="16" width="31.5428571428571" style="33" customWidth="1"/>
    <col min="17" max="18" width="21.9047619047619" style="33" customWidth="1"/>
    <col min="19" max="19" width="23.5428571428571" style="33" customWidth="1"/>
    <col min="20" max="20" width="31.9047619047619" style="33" customWidth="1"/>
    <col min="21" max="21" width="27.6285714285714" style="33" customWidth="1"/>
    <col min="22" max="22" width="25.4571428571429" style="33" customWidth="1"/>
    <col min="23" max="23" width="25" style="33" customWidth="1"/>
    <col min="24" max="26" width="29.4571428571429" style="33" customWidth="1"/>
    <col min="27" max="27" width="26.3619047619048" style="33" customWidth="1"/>
    <col min="28" max="28" width="25.0857142857143" style="33" customWidth="1"/>
    <col min="29" max="29" width="19.0857142857143" style="33" customWidth="1"/>
    <col min="30" max="16384" width="9.08571428571429" style="33" hidden="1"/>
  </cols>
  <sheetData>
    <row r="2" ht="39.9" customHeight="1" spans="5:28">
      <c r="E2" s="34" t="s">
        <v>361</v>
      </c>
      <c r="F2" s="35"/>
      <c r="G2" s="36">
        <f>SUM(G9:G9999)</f>
        <v>1098720</v>
      </c>
      <c r="H2" s="37"/>
      <c r="O2" s="34" t="s">
        <v>21</v>
      </c>
      <c r="P2" s="35"/>
      <c r="Q2" s="56">
        <f>SUM(Q9:Q9999)</f>
        <v>994080</v>
      </c>
      <c r="T2" s="57" t="s">
        <v>22</v>
      </c>
      <c r="U2" s="58"/>
      <c r="V2" s="59">
        <f>SUM(V9:V9999)</f>
        <v>574560</v>
      </c>
      <c r="X2" s="60"/>
      <c r="Y2" s="57" t="s">
        <v>23</v>
      </c>
      <c r="Z2" s="65"/>
      <c r="AA2" s="58"/>
      <c r="AB2" s="66">
        <f>SUM(AB9:AB9999)</f>
        <v>0</v>
      </c>
    </row>
    <row r="4" ht="39.9" customHeight="1" spans="20:21">
      <c r="T4" s="60"/>
      <c r="U4" s="60"/>
    </row>
    <row r="6" s="30" customFormat="1" ht="150" spans="1:29">
      <c r="A6" s="38" t="s">
        <v>24</v>
      </c>
      <c r="B6" s="38" t="s">
        <v>25</v>
      </c>
      <c r="C6" s="38" t="s">
        <v>362</v>
      </c>
      <c r="D6" s="38" t="s">
        <v>27</v>
      </c>
      <c r="E6" s="38" t="s">
        <v>363</v>
      </c>
      <c r="F6" s="38" t="s">
        <v>364</v>
      </c>
      <c r="G6" s="38" t="s">
        <v>365</v>
      </c>
      <c r="H6" s="38" t="s">
        <v>366</v>
      </c>
      <c r="I6" s="38" t="s">
        <v>367</v>
      </c>
      <c r="J6" s="38" t="s">
        <v>368</v>
      </c>
      <c r="K6" s="38" t="s">
        <v>369</v>
      </c>
      <c r="L6" s="38" t="s">
        <v>370</v>
      </c>
      <c r="M6" s="38" t="s">
        <v>333</v>
      </c>
      <c r="N6" s="38" t="s">
        <v>334</v>
      </c>
      <c r="O6" s="38" t="s">
        <v>33</v>
      </c>
      <c r="P6" s="38" t="s">
        <v>34</v>
      </c>
      <c r="Q6" s="38" t="s">
        <v>371</v>
      </c>
      <c r="R6" s="38" t="s">
        <v>32</v>
      </c>
      <c r="S6" s="38" t="s">
        <v>372</v>
      </c>
      <c r="T6" s="38" t="s">
        <v>232</v>
      </c>
      <c r="U6" s="38" t="s">
        <v>373</v>
      </c>
      <c r="V6" s="38" t="s">
        <v>39</v>
      </c>
      <c r="W6" s="38" t="s">
        <v>40</v>
      </c>
      <c r="X6" s="61" t="s">
        <v>41</v>
      </c>
      <c r="Y6" s="61" t="s">
        <v>42</v>
      </c>
      <c r="Z6" s="61" t="s">
        <v>43</v>
      </c>
      <c r="AA6" s="61" t="s">
        <v>44</v>
      </c>
      <c r="AB6" s="38" t="s">
        <v>233</v>
      </c>
      <c r="AC6" s="38" t="s">
        <v>46</v>
      </c>
    </row>
    <row r="7" s="30" customFormat="1" spans="1:29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</row>
    <row r="8" ht="168.75" hidden="1" spans="1:29">
      <c r="A8" s="40" t="s">
        <v>47</v>
      </c>
      <c r="B8" s="40"/>
      <c r="C8" s="40" t="s">
        <v>380</v>
      </c>
      <c r="D8" s="40" t="s">
        <v>381</v>
      </c>
      <c r="E8" s="40" t="s">
        <v>382</v>
      </c>
      <c r="F8" s="40" t="s">
        <v>383</v>
      </c>
      <c r="G8" s="41">
        <v>15500.01</v>
      </c>
      <c r="H8" s="41">
        <f t="shared" ref="H8" si="0">G8-Q8</f>
        <v>6725</v>
      </c>
      <c r="I8" s="50">
        <v>6</v>
      </c>
      <c r="J8" s="50">
        <v>0</v>
      </c>
      <c r="K8" s="40" t="s">
        <v>384</v>
      </c>
      <c r="L8" s="40" t="s">
        <v>385</v>
      </c>
      <c r="M8" s="40" t="s">
        <v>386</v>
      </c>
      <c r="N8" s="51">
        <v>43655</v>
      </c>
      <c r="O8" s="51" t="s">
        <v>387</v>
      </c>
      <c r="P8" s="40" t="s">
        <v>388</v>
      </c>
      <c r="Q8" s="41">
        <v>8775.01</v>
      </c>
      <c r="R8" s="41">
        <f>Q8-V8</f>
        <v>0</v>
      </c>
      <c r="S8" s="40" t="s">
        <v>389</v>
      </c>
      <c r="T8" s="51">
        <v>43677</v>
      </c>
      <c r="U8" s="40" t="s">
        <v>390</v>
      </c>
      <c r="V8" s="41">
        <v>8775.01</v>
      </c>
      <c r="W8" s="51">
        <v>43696</v>
      </c>
      <c r="X8" s="40"/>
      <c r="Y8" s="40"/>
      <c r="Z8" s="40"/>
      <c r="AA8" s="40"/>
      <c r="AB8" s="41"/>
      <c r="AC8" s="67" t="s">
        <v>79</v>
      </c>
    </row>
    <row r="9" s="31" customFormat="1" ht="72" customHeight="1" spans="1:30">
      <c r="A9" s="42">
        <v>1</v>
      </c>
      <c r="B9" s="43" t="s">
        <v>70</v>
      </c>
      <c r="C9" s="43" t="s">
        <v>412</v>
      </c>
      <c r="D9" s="43" t="s">
        <v>81</v>
      </c>
      <c r="E9" s="43" t="s">
        <v>413</v>
      </c>
      <c r="F9" s="43" t="s">
        <v>393</v>
      </c>
      <c r="G9" s="44">
        <v>1098720</v>
      </c>
      <c r="H9" s="45">
        <f>IF(AD9=2,G9-Q9,0)</f>
        <v>104640</v>
      </c>
      <c r="I9" s="44">
        <v>2</v>
      </c>
      <c r="J9" s="44">
        <v>0</v>
      </c>
      <c r="K9" s="43" t="s">
        <v>310</v>
      </c>
      <c r="L9" s="43" t="s">
        <v>414</v>
      </c>
      <c r="M9" s="43" t="s">
        <v>415</v>
      </c>
      <c r="N9" s="52">
        <v>45800</v>
      </c>
      <c r="O9" s="43">
        <v>2304067057</v>
      </c>
      <c r="P9" s="43" t="s">
        <v>397</v>
      </c>
      <c r="Q9" s="44">
        <v>994080</v>
      </c>
      <c r="R9" s="45">
        <f>IF(AD9=2,Q9+SUM(Y9:Y13)-SUM(Z9:Z13)-SUM(V9:V13)-AB9,0)</f>
        <v>419520</v>
      </c>
      <c r="S9" s="43" t="s">
        <v>416</v>
      </c>
      <c r="T9" s="52" t="s">
        <v>417</v>
      </c>
      <c r="U9" s="43" t="s">
        <v>399</v>
      </c>
      <c r="V9" s="62">
        <v>18240</v>
      </c>
      <c r="W9" s="52">
        <v>45814</v>
      </c>
      <c r="X9" s="43"/>
      <c r="Y9" s="44"/>
      <c r="Z9" s="44"/>
      <c r="AA9" s="43"/>
      <c r="AB9" s="44"/>
      <c r="AC9" s="68"/>
      <c r="AD9" s="31">
        <v>2</v>
      </c>
    </row>
    <row r="10" s="32" customFormat="1" spans="1:30">
      <c r="A10" s="42"/>
      <c r="B10" s="43"/>
      <c r="C10" s="43"/>
      <c r="D10" s="43"/>
      <c r="E10" s="43"/>
      <c r="F10" s="43"/>
      <c r="G10" s="44"/>
      <c r="H10" s="45"/>
      <c r="I10" s="44"/>
      <c r="J10" s="44"/>
      <c r="K10" s="43"/>
      <c r="L10" s="43"/>
      <c r="M10" s="43"/>
      <c r="N10" s="52"/>
      <c r="O10" s="43"/>
      <c r="P10" s="43"/>
      <c r="Q10" s="44"/>
      <c r="R10" s="45"/>
      <c r="S10" s="43"/>
      <c r="T10" s="63">
        <v>45840</v>
      </c>
      <c r="U10" s="43"/>
      <c r="V10" s="62">
        <v>136800</v>
      </c>
      <c r="W10" s="63">
        <v>45841</v>
      </c>
      <c r="X10" s="64"/>
      <c r="Y10" s="69"/>
      <c r="Z10" s="69"/>
      <c r="AA10" s="43"/>
      <c r="AB10" s="44"/>
      <c r="AC10" s="68"/>
      <c r="AD10" s="32">
        <v>2</v>
      </c>
    </row>
    <row r="11" s="32" customFormat="1" spans="1:30">
      <c r="A11" s="42"/>
      <c r="B11" s="43"/>
      <c r="C11" s="43"/>
      <c r="D11" s="43"/>
      <c r="E11" s="43"/>
      <c r="F11" s="43"/>
      <c r="G11" s="44"/>
      <c r="H11" s="45"/>
      <c r="I11" s="44"/>
      <c r="J11" s="44"/>
      <c r="K11" s="43"/>
      <c r="L11" s="43"/>
      <c r="M11" s="43"/>
      <c r="N11" s="52"/>
      <c r="O11" s="43"/>
      <c r="P11" s="43"/>
      <c r="Q11" s="44"/>
      <c r="R11" s="45"/>
      <c r="S11" s="43"/>
      <c r="T11" s="63">
        <v>45870</v>
      </c>
      <c r="U11" s="43"/>
      <c r="V11" s="62">
        <v>141360</v>
      </c>
      <c r="W11" s="63">
        <v>45877</v>
      </c>
      <c r="X11" s="64"/>
      <c r="Y11" s="69"/>
      <c r="Z11" s="69"/>
      <c r="AA11" s="43"/>
      <c r="AB11" s="44"/>
      <c r="AC11" s="68"/>
      <c r="AD11" s="32">
        <v>2</v>
      </c>
    </row>
    <row r="12" s="32" customFormat="1" spans="1:30">
      <c r="A12" s="42"/>
      <c r="B12" s="43"/>
      <c r="C12" s="43"/>
      <c r="D12" s="43"/>
      <c r="E12" s="43"/>
      <c r="F12" s="43"/>
      <c r="G12" s="44"/>
      <c r="H12" s="45"/>
      <c r="I12" s="44"/>
      <c r="J12" s="44"/>
      <c r="K12" s="43"/>
      <c r="L12" s="43"/>
      <c r="M12" s="43"/>
      <c r="N12" s="52"/>
      <c r="O12" s="43"/>
      <c r="P12" s="43"/>
      <c r="Q12" s="44"/>
      <c r="R12" s="45"/>
      <c r="S12" s="43"/>
      <c r="T12" s="63">
        <v>45903</v>
      </c>
      <c r="U12" s="43"/>
      <c r="V12" s="62">
        <v>141360</v>
      </c>
      <c r="W12" s="63">
        <v>45910</v>
      </c>
      <c r="X12" s="64"/>
      <c r="Y12" s="69"/>
      <c r="Z12" s="69"/>
      <c r="AA12" s="43"/>
      <c r="AB12" s="44"/>
      <c r="AC12" s="68"/>
      <c r="AD12" s="32">
        <v>2</v>
      </c>
    </row>
    <row r="13" s="32" customFormat="1" spans="1:30">
      <c r="A13" s="42"/>
      <c r="B13" s="43"/>
      <c r="C13" s="43"/>
      <c r="D13" s="43"/>
      <c r="E13" s="43"/>
      <c r="F13" s="43"/>
      <c r="G13" s="44"/>
      <c r="H13" s="45"/>
      <c r="I13" s="44"/>
      <c r="J13" s="44"/>
      <c r="K13" s="43"/>
      <c r="L13" s="43"/>
      <c r="M13" s="43"/>
      <c r="N13" s="52"/>
      <c r="O13" s="43"/>
      <c r="P13" s="43"/>
      <c r="Q13" s="44"/>
      <c r="R13" s="45"/>
      <c r="S13" s="43"/>
      <c r="T13" s="63">
        <v>45939</v>
      </c>
      <c r="U13" s="43"/>
      <c r="V13" s="62">
        <v>136800</v>
      </c>
      <c r="W13" s="63">
        <v>45939</v>
      </c>
      <c r="X13" s="64"/>
      <c r="Y13" s="69"/>
      <c r="Z13" s="69"/>
      <c r="AA13" s="43"/>
      <c r="AB13" s="44"/>
      <c r="AC13" s="68"/>
      <c r="AD13" s="32">
        <v>2</v>
      </c>
    </row>
    <row r="14" hidden="1" spans="1:30">
      <c r="A14" s="46"/>
      <c r="B14" s="47"/>
      <c r="C14" s="47"/>
      <c r="D14" s="47"/>
      <c r="E14" s="47"/>
      <c r="F14" s="47"/>
      <c r="G14" s="48"/>
      <c r="H14" s="49">
        <f>IF(AD14=4,G14-Q14,0)</f>
        <v>0</v>
      </c>
      <c r="I14" s="48"/>
      <c r="J14" s="48"/>
      <c r="K14" s="47"/>
      <c r="L14" s="47"/>
      <c r="M14" s="53"/>
      <c r="N14" s="54"/>
      <c r="O14" s="47"/>
      <c r="P14" s="47"/>
      <c r="Q14" s="48"/>
      <c r="R14" s="49">
        <f>IF(AD14=4,Q14+SUM(Y14:Y14)-SUM(Z14:Z14)-SUM(V14:V14)-AB14,0)</f>
        <v>0</v>
      </c>
      <c r="S14" s="47"/>
      <c r="T14" s="54"/>
      <c r="U14" s="47"/>
      <c r="V14" s="48"/>
      <c r="W14" s="54"/>
      <c r="X14" s="47"/>
      <c r="Y14" s="48"/>
      <c r="Z14" s="48"/>
      <c r="AA14" s="47"/>
      <c r="AB14" s="48"/>
      <c r="AC14" s="47"/>
      <c r="AD14" s="33">
        <v>4</v>
      </c>
    </row>
    <row r="15" hidden="1" spans="13:13">
      <c r="M15" s="55"/>
    </row>
    <row r="16" hidden="1" spans="13:13">
      <c r="M16" s="55"/>
    </row>
    <row r="17" hidden="1" spans="13:13">
      <c r="M17" s="55"/>
    </row>
    <row r="18" hidden="1" spans="13:13">
      <c r="M18" s="55"/>
    </row>
    <row r="19" hidden="1" spans="13:13">
      <c r="M19" s="55"/>
    </row>
    <row r="20" hidden="1" spans="13:13">
      <c r="M20" s="55"/>
    </row>
    <row r="21" hidden="1" spans="13:13">
      <c r="M21" s="55"/>
    </row>
    <row r="22" hidden="1" spans="13:13">
      <c r="M22" s="55"/>
    </row>
  </sheetData>
  <sheetProtection algorithmName="SHA-512" hashValue="h0fjr2RpKQ3EbP+PWtiPEwXFLRcKkr4iZBthFv+KV2/Y4MscEIBkrc8K+KRRDs5UUsu2mLpt2bmTPivMHYpR1A==" saltValue="pULbJDOsyWN1oNCXA2WUwg==" spinCount="100000" sheet="1" formatCells="0" formatColumns="0" formatRows="0" objects="1" scenarios="1"/>
  <mergeCells count="28">
    <mergeCell ref="E2:F2"/>
    <mergeCell ref="O2:P2"/>
    <mergeCell ref="T2:U2"/>
    <mergeCell ref="Y2:AA2"/>
    <mergeCell ref="P4:R4"/>
    <mergeCell ref="A9:A13"/>
    <mergeCell ref="B9:B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Q9:Q13"/>
    <mergeCell ref="R9:R13"/>
    <mergeCell ref="S9:S13"/>
    <mergeCell ref="U9:U13"/>
    <mergeCell ref="AA9:AA13"/>
    <mergeCell ref="AB9:AB13"/>
    <mergeCell ref="AC9:AC13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2">
    <tabColor theme="3" tint="0.399975585192419"/>
  </sheetPr>
  <dimension ref="A1:K83"/>
  <sheetViews>
    <sheetView workbookViewId="0">
      <selection activeCell="F20" sqref="F20"/>
    </sheetView>
  </sheetViews>
  <sheetFormatPr defaultColWidth="9.08571428571429" defaultRowHeight="15.75"/>
  <cols>
    <col min="1" max="1" width="15.3619047619048" style="1" customWidth="1"/>
    <col min="2" max="2" width="17.4571428571429" style="1" customWidth="1"/>
    <col min="3" max="3" width="17.3619047619048" style="1" customWidth="1"/>
    <col min="4" max="4" width="38.9047619047619" style="1" customWidth="1"/>
    <col min="5" max="5" width="15.5428571428571" style="1" customWidth="1"/>
    <col min="6" max="11" width="16.0857142857143" style="1" customWidth="1"/>
    <col min="12" max="16384" width="9.08571428571429" style="1"/>
  </cols>
  <sheetData>
    <row r="1" spans="1:11">
      <c r="A1" s="2">
        <v>41</v>
      </c>
      <c r="B1" s="2">
        <v>32</v>
      </c>
      <c r="C1" s="2">
        <v>9</v>
      </c>
      <c r="D1" s="3" t="s">
        <v>16</v>
      </c>
      <c r="E1" s="4"/>
      <c r="F1" s="2" t="s">
        <v>418</v>
      </c>
      <c r="G1" s="5" t="s">
        <v>418</v>
      </c>
      <c r="H1" s="6" t="s">
        <v>418</v>
      </c>
      <c r="I1" s="17" t="s">
        <v>418</v>
      </c>
      <c r="J1" s="21" t="s">
        <v>418</v>
      </c>
      <c r="K1" s="25" t="s">
        <v>418</v>
      </c>
    </row>
    <row r="2" spans="1:11">
      <c r="A2" s="7" t="s">
        <v>419</v>
      </c>
      <c r="B2" s="2" t="s">
        <v>420</v>
      </c>
      <c r="C2" s="2" t="s">
        <v>421</v>
      </c>
      <c r="D2" s="8"/>
      <c r="E2" s="4"/>
      <c r="F2" s="2">
        <v>157</v>
      </c>
      <c r="G2" s="5">
        <v>101</v>
      </c>
      <c r="H2" s="6">
        <v>5</v>
      </c>
      <c r="I2" s="17">
        <v>4</v>
      </c>
      <c r="J2" s="21">
        <v>2</v>
      </c>
      <c r="K2" s="25">
        <v>3</v>
      </c>
    </row>
    <row r="3" spans="1:11">
      <c r="A3" s="9"/>
      <c r="B3" s="4"/>
      <c r="C3" s="4"/>
      <c r="D3" s="4"/>
      <c r="E3" s="4"/>
      <c r="F3" s="2" t="s">
        <v>422</v>
      </c>
      <c r="G3" s="5" t="s">
        <v>422</v>
      </c>
      <c r="H3" s="6" t="s">
        <v>422</v>
      </c>
      <c r="I3" s="17" t="s">
        <v>422</v>
      </c>
      <c r="J3" s="21" t="s">
        <v>422</v>
      </c>
      <c r="K3" s="25" t="s">
        <v>422</v>
      </c>
    </row>
    <row r="4" spans="1:11">
      <c r="A4" s="10">
        <v>161</v>
      </c>
      <c r="B4" s="5">
        <v>30</v>
      </c>
      <c r="C4" s="5">
        <v>9</v>
      </c>
      <c r="D4" s="11" t="s">
        <v>423</v>
      </c>
      <c r="E4" s="4"/>
      <c r="F4" s="2">
        <v>158</v>
      </c>
      <c r="G4" s="5">
        <v>102</v>
      </c>
      <c r="H4" s="6">
        <v>6</v>
      </c>
      <c r="I4" s="17">
        <v>5</v>
      </c>
      <c r="J4" s="21">
        <v>3</v>
      </c>
      <c r="K4" s="25">
        <v>4</v>
      </c>
    </row>
    <row r="5" spans="1:7">
      <c r="A5" s="10" t="s">
        <v>424</v>
      </c>
      <c r="B5" s="5" t="s">
        <v>425</v>
      </c>
      <c r="C5" s="5" t="s">
        <v>426</v>
      </c>
      <c r="D5" s="12"/>
      <c r="E5" s="4"/>
      <c r="F5" s="4"/>
      <c r="G5" s="4"/>
    </row>
    <row r="6" spans="1:7">
      <c r="A6" s="9"/>
      <c r="B6" s="4"/>
      <c r="C6" s="4"/>
      <c r="D6" s="4"/>
      <c r="E6" s="4"/>
      <c r="F6" s="4"/>
      <c r="G6" s="4"/>
    </row>
    <row r="7" spans="1:7">
      <c r="A7" s="13">
        <v>34</v>
      </c>
      <c r="B7" s="6">
        <v>4</v>
      </c>
      <c r="C7" s="6">
        <v>9</v>
      </c>
      <c r="D7" s="14" t="s">
        <v>18</v>
      </c>
      <c r="E7" s="4"/>
      <c r="F7" s="4"/>
      <c r="G7" s="4"/>
    </row>
    <row r="8" spans="1:7">
      <c r="A8" s="13" t="s">
        <v>427</v>
      </c>
      <c r="B8" s="6" t="s">
        <v>428</v>
      </c>
      <c r="C8" s="6" t="s">
        <v>429</v>
      </c>
      <c r="D8" s="15"/>
      <c r="E8" s="4"/>
      <c r="F8" s="4"/>
      <c r="G8" s="4"/>
    </row>
    <row r="9" spans="1:7">
      <c r="A9" s="9"/>
      <c r="B9" s="4"/>
      <c r="C9" s="4"/>
      <c r="D9" s="4"/>
      <c r="E9" s="4"/>
      <c r="F9" s="4"/>
      <c r="G9" s="4"/>
    </row>
    <row r="10" spans="1:7">
      <c r="A10" s="16">
        <v>16</v>
      </c>
      <c r="B10" s="17">
        <v>2</v>
      </c>
      <c r="C10" s="17">
        <v>9</v>
      </c>
      <c r="D10" s="18" t="s">
        <v>13</v>
      </c>
      <c r="E10" s="4"/>
      <c r="F10" s="4"/>
      <c r="G10" s="4"/>
    </row>
    <row r="11" spans="1:7">
      <c r="A11" s="16" t="s">
        <v>430</v>
      </c>
      <c r="B11" s="17" t="s">
        <v>431</v>
      </c>
      <c r="C11" s="17" t="s">
        <v>432</v>
      </c>
      <c r="D11" s="19"/>
      <c r="E11" s="4"/>
      <c r="F11" s="4"/>
      <c r="G11" s="4"/>
    </row>
    <row r="12" spans="1:7">
      <c r="A12" s="9"/>
      <c r="B12" s="4"/>
      <c r="C12" s="4"/>
      <c r="D12" s="4"/>
      <c r="E12" s="4"/>
      <c r="F12" s="4"/>
      <c r="G12" s="4"/>
    </row>
    <row r="13" spans="1:7">
      <c r="A13" s="20">
        <v>17</v>
      </c>
      <c r="B13" s="21">
        <v>1</v>
      </c>
      <c r="C13" s="21">
        <v>9</v>
      </c>
      <c r="D13" s="22" t="s">
        <v>14</v>
      </c>
      <c r="E13" s="4"/>
      <c r="F13" s="4"/>
      <c r="G13" s="4"/>
    </row>
    <row r="14" spans="1:7">
      <c r="A14" s="20" t="s">
        <v>433</v>
      </c>
      <c r="B14" s="21" t="s">
        <v>434</v>
      </c>
      <c r="C14" s="21" t="s">
        <v>435</v>
      </c>
      <c r="D14" s="23"/>
      <c r="E14" s="4"/>
      <c r="F14" s="4"/>
      <c r="G14" s="4"/>
    </row>
    <row r="15" spans="1:7">
      <c r="A15" s="9"/>
      <c r="B15" s="4"/>
      <c r="C15" s="4"/>
      <c r="D15" s="4"/>
      <c r="E15" s="4"/>
      <c r="F15" s="4"/>
      <c r="G15" s="4"/>
    </row>
    <row r="16" spans="1:7">
      <c r="A16" s="24">
        <v>13</v>
      </c>
      <c r="B16" s="25">
        <v>1</v>
      </c>
      <c r="C16" s="25">
        <v>9</v>
      </c>
      <c r="D16" s="26" t="s">
        <v>15</v>
      </c>
      <c r="E16" s="4"/>
      <c r="F16" s="4"/>
      <c r="G16" s="4"/>
    </row>
    <row r="17" spans="1:4">
      <c r="A17" s="24" t="s">
        <v>436</v>
      </c>
      <c r="B17" s="25" t="s">
        <v>437</v>
      </c>
      <c r="C17" s="25" t="s">
        <v>438</v>
      </c>
      <c r="D17" s="27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81" spans="1:1">
      <c r="A81" s="28"/>
    </row>
    <row r="82" spans="1:1">
      <c r="A82" s="28"/>
    </row>
    <row r="83" spans="1:1">
      <c r="A83" s="29"/>
    </row>
  </sheetData>
  <mergeCells count="6">
    <mergeCell ref="D1:D2"/>
    <mergeCell ref="D4:D5"/>
    <mergeCell ref="D7:D8"/>
    <mergeCell ref="D10:D11"/>
    <mergeCell ref="D13:D14"/>
    <mergeCell ref="D16:D17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1" master="" otherUserPermission="visible"/>
  <rangeList sheetStid="27" master="" otherUserPermission="visible"/>
  <rangeList sheetStid="31" master="" otherUserPermission="visible"/>
  <rangeList sheetStid="19" master="" otherUserPermission="visible"/>
  <rangeList sheetStid="17" master="" otherUserPermission="visible"/>
  <rangeList sheetStid="22" master="" otherUserPermission="visible"/>
  <rangeList sheetStid="20" master="" otherUserPermission="visible"/>
  <rangeList sheetStid="3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Tick tack games</cp:lastModifiedBy>
  <dcterms:created xsi:type="dcterms:W3CDTF">2017-01-25T04:28:00Z</dcterms:created>
  <cp:lastPrinted>2024-12-26T10:05:00Z</cp:lastPrinted>
  <dcterms:modified xsi:type="dcterms:W3CDTF">2025-11-09T19:19:43Z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9E06F11831E04D7E82A5940075C48EBB_13</vt:lpwstr>
  </property>
  <property fmtid="{D5CDD505-2E9C-101B-9397-08002B2CF9AE}" pid="3" name="KSOProductBuildVer">
    <vt:lpwstr>1049-12.2.0.23155</vt:lpwstr>
  </property>
</Properties>
</file>