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Реестры закупок 2024\"/>
    </mc:Choice>
  </mc:AlternateContent>
  <workbookProtection workbookPassword="EB34" lockStructure="1"/>
  <bookViews>
    <workbookView xWindow="-120" yWindow="-120" windowWidth="20730" windowHeight="11160" tabRatio="603" firstSheet="3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17" i="31" l="1"/>
  <c r="I75" i="31" l="1"/>
  <c r="I107" i="31"/>
  <c r="H15" i="17"/>
  <c r="R15" i="17"/>
  <c r="H19" i="17"/>
  <c r="R19" i="17"/>
  <c r="I52" i="27" l="1"/>
  <c r="I87" i="31" l="1"/>
  <c r="I142" i="31" l="1"/>
  <c r="I61" i="31" l="1"/>
  <c r="I51" i="31"/>
  <c r="I41" i="31"/>
  <c r="I98" i="31"/>
  <c r="I51" i="27" l="1"/>
  <c r="I134" i="31" l="1"/>
  <c r="I47" i="27" l="1"/>
  <c r="I38" i="27" l="1"/>
  <c r="I144" i="31" l="1"/>
  <c r="H14" i="22" l="1"/>
  <c r="R14" i="22"/>
  <c r="I25" i="27" l="1"/>
  <c r="I149" i="31" l="1"/>
  <c r="I148" i="31" l="1"/>
  <c r="I84" i="31" l="1"/>
  <c r="I46" i="27" l="1"/>
  <c r="I45" i="27" l="1"/>
  <c r="I44" i="27" l="1"/>
  <c r="I43" i="27" l="1"/>
  <c r="I42" i="27" l="1"/>
  <c r="I41" i="27" l="1"/>
  <c r="I141" i="31" l="1"/>
  <c r="I140" i="31"/>
  <c r="I71" i="31" l="1"/>
  <c r="I37" i="27" l="1"/>
  <c r="I36" i="27" l="1"/>
  <c r="I35" i="27" l="1"/>
  <c r="I139" i="31" l="1"/>
  <c r="I34" i="27" l="1"/>
  <c r="I33" i="27" l="1"/>
  <c r="I32" i="27"/>
  <c r="I138" i="31" l="1"/>
  <c r="I31" i="27" l="1"/>
  <c r="I30" i="27" l="1"/>
  <c r="I29" i="27" l="1"/>
  <c r="I28" i="27" l="1"/>
  <c r="I27" i="27" l="1"/>
  <c r="I13" i="27" l="1"/>
  <c r="H9" i="19" l="1"/>
  <c r="H9" i="17"/>
  <c r="R9" i="17"/>
  <c r="I35" i="31" l="1"/>
  <c r="I24" i="27" l="1"/>
  <c r="I133" i="31" l="1"/>
  <c r="I132" i="31" l="1"/>
  <c r="I123" i="31" l="1"/>
  <c r="I125" i="31"/>
  <c r="I131" i="31"/>
  <c r="I121" i="31"/>
  <c r="I9" i="31" l="1"/>
  <c r="I23" i="27" l="1"/>
  <c r="I22" i="27" l="1"/>
  <c r="I21" i="27"/>
  <c r="I20" i="27"/>
  <c r="I19" i="27" l="1"/>
  <c r="I18" i="27"/>
  <c r="I17" i="27" l="1"/>
  <c r="I12" i="27" l="1"/>
  <c r="I11" i="27" l="1"/>
  <c r="H9" i="22" l="1"/>
  <c r="R9" i="22"/>
  <c r="I115" i="31" l="1"/>
  <c r="I118" i="31"/>
  <c r="I112" i="31"/>
  <c r="I9" i="27" l="1"/>
  <c r="I120" i="31" l="1"/>
  <c r="I111" i="31" l="1"/>
  <c r="I110" i="31"/>
  <c r="I97" i="31" l="1"/>
  <c r="I74" i="31" l="1"/>
  <c r="I54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<sst xmlns="http://schemas.openxmlformats.org/spreadsheetml/2006/main" count="1143" uniqueCount="431">
  <si>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</si>
  <si>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</si>
  <si>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</si>
  <si>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</si>
  <si>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</si>
  <si>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</si>
  <si>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</si>
  <si>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</si>
  <si>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</si>
  <si>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</si>
  <si>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</si>
  <si>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</si>
  <si>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</si>
  <si>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</si>
  <si>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</si>
  <si>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</si>
  <si>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</si>
  <si>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</si>
  <si>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</si>
  <si>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</si>
  <si>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</si>
  <si>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</si>
  <si>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</si>
  <si>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</si>
  <si>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</si>
  <si>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</si>
  <si>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</si>
  <si>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</si>
  <si>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</si>
  <si>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</si>
  <si>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</si>
  <si>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</si>
  <si>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</si>
  <si>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</si>
  <si>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</si>
  <si>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</si>
  <si>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</si>
  <si>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</si>
  <si>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</si>
  <si>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</si>
  <si>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</si>
  <si>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</si>
  <si>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</si>
  <si>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</si>
  <si>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</si>
  <si>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</si>
  <si>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</si>
  <si>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</si>
  <si>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</si>
  <si>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</si>
  <si>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</si>
  <si>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</si>
  <si>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</si>
  <si>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</si>
  <si>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</si>
  <si>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</si>
  <si>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</si>
  <si>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</si>
  <si>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</si>
  <si>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</si>
  <si>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</si>
  <si>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</si>
  <si>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</si>
  <si>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</si>
  <si>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</si>
  <si>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</si>
  <si>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</si>
  <si>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</si>
  <si>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</si>
  <si>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</si>
  <si>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</si>
  <si>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</si>
  <si>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</si>
  <si>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</si>
  <si>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</si>
  <si>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</si>
  <si>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</si>
  <si>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</si>
  <si>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</si>
  <si>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</si>
  <si>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</si>
  <si>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</si>
  <si>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</si>
  <si>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</si>
  <si>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</si>
  <si>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</si>
  <si>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</si>
  <si>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</si>
  <si>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</si>
  <si>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</si>
  <si>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</si>
  <si>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</si>
  <si>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</si>
  <si>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</si>
  <si>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</si>
  <si>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</si>
  <si>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</si>
  <si>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</si>
  <si>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</si>
  <si>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</si>
  <si>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</si>
  <si>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</si>
  <si>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</si>
  <si>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</si>
  <si>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</si>
  <si>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</si>
  <si>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</si>
  <si>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</si>
  <si>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</si>
  <si>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</si>
  <si>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</si>
  <si>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</si>
  <si>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</si>
  <si>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</si>
  <si>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</si>
  <si>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</si>
  <si>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</si>
  <si>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</si>
  <si>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</si>
  <si>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</si>
  <si>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</si>
  <si>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</si>
  <si>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</si>
  <si>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</si>
  <si>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</si>
  <si>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</si>
  <si>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</si>
  <si>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</si>
  <si>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</si>
  <si>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</si>
  <si>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</si>
  <si>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</si>
  <si>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</si>
  <si>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</si>
  <si>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</si>
  <si>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</si>
  <si>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</si>
  <si>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</si>
  <si>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</si>
  <si>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</si>
  <si>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</si>
  <si>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</si>
  <si>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</si>
  <si>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</si>
  <si>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</si>
  <si>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</si>
  <si>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</si>
  <si>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</si>
  <si>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</si>
  <si>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</si>
  <si>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</si>
  <si>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</si>
  <si>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</si>
  <si>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</si>
  <si>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</si>
  <si>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</si>
  <si>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</si>
  <si>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</si>
  <si>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</si>
  <si>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</si>
  <si>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</si>
  <si>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</si>
  <si>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</si>
  <si>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</si>
  <si>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</si>
  <si>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</si>
  <si>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</si>
  <si>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</si>
  <si>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</si>
  <si>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</si>
  <si>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</si>
  <si>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</si>
  <si>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</si>
  <si>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</si>
  <si>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</si>
  <si>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</si>
  <si>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</si>
  <si>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</si>
  <si>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</si>
  <si>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</si>
  <si>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</si>
  <si>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</si>
  <si>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</si>
  <si>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</si>
  <si>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</si>
  <si>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</si>
  <si>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</si>
  <si>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</si>
  <si>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</si>
  <si>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</si>
  <si>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</si>
  <si>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</si>
  <si>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</si>
  <si>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</si>
  <si>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</si>
  <si>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</si>
  <si>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</si>
  <si>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</si>
  <si>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</si>
  <si>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</si>
  <si>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</si>
  <si>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</si>
  <si>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</si>
  <si>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</si>
  <si>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</si>
  <si>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</si>
  <si>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</si>
  <si>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</si>
  <si>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</si>
  <si>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</si>
  <si>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</si>
  <si>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</si>
  <si>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</si>
  <si>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</si>
  <si>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</si>
  <si>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</si>
  <si>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</si>
  <si>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</si>
  <si>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</si>
  <si>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</si>
  <si>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</si>
  <si>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</si>
  <si>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</si>
  <si>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</si>
  <si>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</si>
  <si>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</si>
  <si>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</si>
  <si>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</si>
  <si>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</si>
  <si>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</si>
  <si>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</si>
  <si>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</si>
  <si>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</si>
  <si>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</si>
  <si>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</si>
  <si>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</si>
  <si>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</si>
  <si>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</si>
  <si>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</si>
  <si>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</si>
  <si>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</si>
  <si>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</si>
  <si>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</si>
  <si>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</si>
  <si>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</si>
  <si>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</si>
  <si>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</si>
  <si>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</si>
  <si>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</si>
  <si>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</si>
  <si>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</si>
  <si>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</si>
  <si>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</si>
  <si>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</si>
  <si>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</si>
  <si>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</si>
  <si>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</si>
  <si>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</si>
  <si>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</si>
  <si>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</si>
  <si>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</si>
  <si>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</si>
  <si>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</si>
  <si>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</si>
  <si>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</si>
  <si>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</si>
  <si>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</si>
  <si>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</si>
  <si>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</si>
  <si>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</si>
  <si>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</si>
  <si>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</si>
  <si>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</si>
  <si>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</si>
  <si>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</si>
  <si>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</si>
  <si>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</si>
  <si>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</si>
  <si>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</si>
  <si>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</si>
  <si>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</si>
  <si>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</si>
  <si>
    <t>23-11474</t>
  </si>
  <si>
    <t>7706526550</t>
  </si>
  <si>
    <t>ООО "СпецБланк-Москва"</t>
  </si>
  <si>
    <t>В течение 40 календарных дней после получения Поставщиком подписанного еонтракта от Заказчика</t>
  </si>
  <si>
    <t>21-24-К</t>
  </si>
  <si>
    <t>Профилактическая дезинсекция открытой территории школы апртив клешей и блох</t>
  </si>
  <si>
    <t>2353018870</t>
  </si>
  <si>
    <t>ООО "Дезинсекция"</t>
  </si>
  <si>
    <t>24.05.2024</t>
  </si>
  <si>
    <t>830</t>
  </si>
  <si>
    <t>Флагшток, флаг, герб</t>
  </si>
  <si>
    <t>ИП Бабенко А.С</t>
  </si>
  <si>
    <t>В течение 60 рабочих дней со дня подписания контракта</t>
  </si>
  <si>
    <t>в течение 10 рабочих дней с даты подписания акта приемки</t>
  </si>
  <si>
    <t>Газонокосилка</t>
  </si>
  <si>
    <t>ИП Герасимова Е.Ю.</t>
  </si>
  <si>
    <t>В течение 10 календарных дней со дня подписания контракта</t>
  </si>
  <si>
    <t>Образовательная услуга (переподготовка водителей)</t>
  </si>
  <si>
    <t>2353017179</t>
  </si>
  <si>
    <t>РО КРО "ВОА"</t>
  </si>
  <si>
    <t xml:space="preserve">В течение 10 рабочих дней  с момента подписания документа о приемке </t>
  </si>
  <si>
    <t xml:space="preserve">В течение 10 рабочих дней  с момента подписания документа о приемке  </t>
  </si>
  <si>
    <t>21-1</t>
  </si>
  <si>
    <t>Организация питания детей в период летнего лагеря дневного пребывания</t>
  </si>
  <si>
    <t>с 27.05.2024 по 16.06.2024г</t>
  </si>
  <si>
    <t>в течение 10 рабочих дней с даты подписания акта приемки оказанных услуг</t>
  </si>
  <si>
    <t>ООО "РН-карт"</t>
  </si>
  <si>
    <t>с 01.07.2024г.по 30.09.2024г.</t>
  </si>
  <si>
    <t>243235301395323530100100090018010244</t>
  </si>
  <si>
    <t>0818300019924000189</t>
  </si>
  <si>
    <t>3235301533324000005</t>
  </si>
  <si>
    <t>08183000199240001890001</t>
  </si>
  <si>
    <t>2304067057</t>
  </si>
  <si>
    <t>24323530139532353010010010005629244</t>
  </si>
  <si>
    <t>0818300019924000194</t>
  </si>
  <si>
    <t>3235301533324000006</t>
  </si>
  <si>
    <t>08183000199240001940001</t>
  </si>
  <si>
    <t>с 27 июня 2024г по 25 сентября 2024г</t>
  </si>
  <si>
    <t>б/н от 04.06.2024</t>
  </si>
  <si>
    <t>б/н от  04.06.2024</t>
  </si>
  <si>
    <t>б/н от 09.04.2024</t>
  </si>
  <si>
    <t>да</t>
  </si>
  <si>
    <t>с 01.07.2024 по 31.12.2024г</t>
  </si>
  <si>
    <t xml:space="preserve">до 10-го числа месяца, следующего за месяцем, в котором была оказана услуга
</t>
  </si>
  <si>
    <t>27-24</t>
  </si>
  <si>
    <t>Работы по электролабораторным испытаниям и электрическим измерениям электроустановок</t>
  </si>
  <si>
    <t>2353018101</t>
  </si>
  <si>
    <t>Услуги по проведению предварительных и периодических медицинских осмотров работников</t>
  </si>
  <si>
    <t>2353006498</t>
  </si>
  <si>
    <t>ГБУЗ  "Тимашевская ЦРБ" МЗ КК</t>
  </si>
  <si>
    <t>Полтграфическая продукция</t>
  </si>
  <si>
    <t>ООО "Агропромэнерго"</t>
  </si>
  <si>
    <t>09.07.2024</t>
  </si>
  <si>
    <t>06..07.2024</t>
  </si>
  <si>
    <t>Экскурсионные услуги с целью духовно-нравственного воспитания учащихся</t>
  </si>
  <si>
    <t>2353016418</t>
  </si>
  <si>
    <t>Местная религиозная организация православный Приход храма Вознесения Господня г. Тимашевска Краснодарского края Ейской Епархии Русской Православной Церкви (Московский Патриархат"</t>
  </si>
  <si>
    <t>06.07.2024</t>
  </si>
  <si>
    <t>Строительные материалы</t>
  </si>
  <si>
    <t>235309678500</t>
  </si>
  <si>
    <t>ИП Озеров В.В.</t>
  </si>
  <si>
    <t>В течение 10 дней с момента заключения договора</t>
  </si>
  <si>
    <t>Краска,АБС, шпатлевка, уайт спирит</t>
  </si>
  <si>
    <t>235303016116</t>
  </si>
  <si>
    <t>ИП Демченко В.В.</t>
  </si>
  <si>
    <t>Плинтус, соединение, линолеум, клей</t>
  </si>
  <si>
    <t>ИП Карлов И.В.</t>
  </si>
  <si>
    <t>В течение 10 календарных дней со дня подписания договора</t>
  </si>
  <si>
    <t xml:space="preserve">в течение 10 рабочих дней с даты подписания акта оказанных услуг </t>
  </si>
  <si>
    <t>1/2024/21</t>
  </si>
  <si>
    <t>Услуги по публичному показу музейных предметов,имузейных коллекций</t>
  </si>
  <si>
    <t>2310052884</t>
  </si>
  <si>
    <t>В течение 10 рабочих дней  с момента подписания документа о приемке оказанной услуги</t>
  </si>
  <si>
    <t>с момента заключения контракта по 30.09.2024г.</t>
  </si>
  <si>
    <t>В течение 10 рабочих дней  с момента подписания документа о приемке поставленного товара</t>
  </si>
  <si>
    <t>ГБУК КК "Краснодарский государственный  историко-археологический музей-заповедник им. Е.Д. Фелицина"</t>
  </si>
  <si>
    <t>23.07.2024</t>
  </si>
  <si>
    <t>106-24</t>
  </si>
  <si>
    <t>106-1/24</t>
  </si>
  <si>
    <t>В течение 7 рабочих дней  с момента подписания документа о приемке оказанной услуги</t>
  </si>
  <si>
    <t>114</t>
  </si>
  <si>
    <t>Видеокамеры</t>
  </si>
  <si>
    <t>Шкаф многосекционный</t>
  </si>
  <si>
    <t>31.07.204</t>
  </si>
  <si>
    <t>К210644/24</t>
  </si>
  <si>
    <t>Услуги по сопровождению программы для  ЭВМ "Контур Экстерн)</t>
  </si>
  <si>
    <t>6663003127</t>
  </si>
  <si>
    <t>АО "ПФ "СКБ Контур"</t>
  </si>
  <si>
    <t>В течение 5 рабочих дней после заключения договора</t>
  </si>
  <si>
    <t>Настройка программного обеспечения</t>
  </si>
  <si>
    <t>235309088540</t>
  </si>
  <si>
    <t>ИП Железняк И.И.</t>
  </si>
  <si>
    <t>16.07.2024</t>
  </si>
  <si>
    <t>лабораторные исследования воды, освещенности, санитарно-гигиеническая оценка результатов</t>
  </si>
  <si>
    <t>2308105200</t>
  </si>
  <si>
    <t>ФБУЗ "Центр гигиены и эпидемиологии в Краснодарском крае"</t>
  </si>
  <si>
    <t>19.07.2024</t>
  </si>
  <si>
    <t>ООО "ТИТ-МЕБЕЛЬ"</t>
  </si>
  <si>
    <t>487</t>
  </si>
  <si>
    <t>Бок СКЗИ, активация и настройка тахографа</t>
  </si>
  <si>
    <t>ООО"КАНкорт"</t>
  </si>
  <si>
    <t>В течение 5 рабочих дней со дня заключения договора</t>
  </si>
  <si>
    <t>В течение 10 рабочих дней  с момента подписания документа о приемке поставленного товара, оказанной услуги</t>
  </si>
  <si>
    <t xml:space="preserve">Услуги по идентификации АСН в ГАИС "ЭРА-ГЛОНАСС" и обеспечению передачи в Ространснадзор информации, поступающей от АСН в ГАИС "ЭРА-ГЛОНАСС" </t>
  </si>
  <si>
    <t>7703383783</t>
  </si>
  <si>
    <t>АО "Глонасс"</t>
  </si>
  <si>
    <t>с 08.07.2024 по 31.12.2024</t>
  </si>
  <si>
    <t>Шпатлевка, клей, профиль, цемент</t>
  </si>
  <si>
    <t>Краска, эмаль</t>
  </si>
  <si>
    <t>с 02 сентября 2024г. по 29 ноября 2024г.</t>
  </si>
  <si>
    <t>16/2024</t>
  </si>
  <si>
    <t>15/2024</t>
  </si>
  <si>
    <t>49/Т</t>
  </si>
  <si>
    <t>Услуга по промывке и опрессовке системы отопления объекта</t>
  </si>
  <si>
    <t>2312314060</t>
  </si>
  <si>
    <t>ООО "ТеплоСервис"</t>
  </si>
  <si>
    <t>Обязательное страхование гражданской ответственности владельцев транспортных средств</t>
  </si>
  <si>
    <t>7707067683</t>
  </si>
  <si>
    <t>ПАО СК "Росгосстрах"</t>
  </si>
  <si>
    <t>ДГ 24/43</t>
  </si>
  <si>
    <t>Не позднее 10 числа месяца, следующего за отчетным периодом</t>
  </si>
  <si>
    <t>В течение 10 рабочих дней  с момента подписания документа о приемке  оказанной услуги</t>
  </si>
  <si>
    <t>103</t>
  </si>
  <si>
    <t>ООО ЧОО "Легион"</t>
  </si>
  <si>
    <t>с 26.09.2024 по 04.10.2024</t>
  </si>
  <si>
    <t>Оказание услуг по организации питания</t>
  </si>
  <si>
    <t>с 02.09.2024 по 31.12.2024г.</t>
  </si>
  <si>
    <t>с 02.09.2024 по 30.09.2024г</t>
  </si>
  <si>
    <t>34550724/028226</t>
  </si>
  <si>
    <t>с 01.10.2024 по 31.12.2024</t>
  </si>
  <si>
    <t>2432353015333</t>
  </si>
  <si>
    <t>08183000199240002620001</t>
  </si>
  <si>
    <t>Услуги охраны</t>
  </si>
  <si>
    <t>3235301533324000007</t>
  </si>
  <si>
    <t>с 04.10.2024 по 28.11.2024</t>
  </si>
  <si>
    <t>2308119595</t>
  </si>
  <si>
    <t>с 01.09.2024 по 31.12.2024</t>
  </si>
  <si>
    <t>б/н от 24.10.2024</t>
  </si>
  <si>
    <t>б/н от 11.10.2024</t>
  </si>
  <si>
    <t>2308279278</t>
  </si>
  <si>
    <t>ООО "Институт дополнительного профессионального образования"</t>
  </si>
  <si>
    <t>с 15.10.2024 по 17.10.2024</t>
  </si>
  <si>
    <t>568-2024</t>
  </si>
  <si>
    <t>17.1 ТО-03-03-259</t>
  </si>
  <si>
    <t>ТО , ремонт,  услуги по локализации и ликвидации аварий</t>
  </si>
  <si>
    <t>2308021656</t>
  </si>
  <si>
    <t>АО "Газпром газораспределение Краснодар"</t>
  </si>
  <si>
    <t>28.10.2024</t>
  </si>
  <si>
    <t>б/н от 15.07.2024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</si>
</sst>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4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7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8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49" fontId="15" fillId="18" borderId="73" xfId="0" applyNumberFormat="1" applyFont="1" applyFill="1" applyBorder="1" applyAlignment="1">
      <alignment horizontal="center" vertical="center" wrapText="1"/>
    </xf>
    <xf numFmtId="49" fontId="15" fillId="18" borderId="73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9" fontId="15" fillId="18" borderId="74" xfId="0" applyNumberFormat="1" applyFont="1" applyFill="1" applyBorder="1" applyAlignment="1">
      <alignment horizontal="center" vertical="center" wrapText="1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5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1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6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49" fontId="15" fillId="18" borderId="76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6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0" xfId="0" applyNumberFormat="1" applyFont="1" applyFill="1" applyBorder="1" applyAlignment="1">
      <alignment horizontal="center" vertical="center" wrapText="1"/>
    </xf>
    <xf numFmtId="1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>
      <alignment horizontal="center" vertical="center" wrapText="1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1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9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4" fontId="1" fillId="19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>
      <alignment horizontal="center" vertical="center" wrapText="1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49" fontId="15" fillId="18" borderId="82" xfId="0" applyNumberFormat="1" applyFont="1" applyFill="1" applyBorder="1" applyAlignment="1">
      <alignment horizontal="center" vertical="center" wrapText="1"/>
    </xf>
    <xf numFmtId="1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>
      <alignment horizontal="center" vertical="center" wrapText="1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>
      <alignment horizontal="center" vertical="center" wrapText="1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>
      <alignment horizontal="center" vertical="center" wrapText="1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6" xfId="0" applyNumberFormat="1" applyFont="1" applyFill="1" applyBorder="1" applyAlignment="1">
      <alignment horizontal="center" vertical="center" wrapText="1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6" xfId="0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>
      <alignment horizontal="center" vertical="center" wrapText="1"/>
    </xf>
    <xf numFmtId="16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6" xfId="0" applyNumberFormat="1" applyFont="1" applyFill="1" applyBorder="1" applyAlignment="1">
      <alignment horizontal="center" vertical="center" wrapText="1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6" xfId="0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>
      <alignment horizontal="center" vertical="center" wrapText="1"/>
    </xf>
    <xf numFmtId="16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>
      <alignment horizontal="center" vertical="center" wrapText="1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88" xfId="0" applyNumberFormat="1" applyFont="1" applyFill="1" applyBorder="1" applyAlignment="1" applyProtection="1">
      <alignment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0" xfId="0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>
      <alignment horizontal="center" vertical="center" wrapText="1"/>
    </xf>
    <xf numFmtId="49" fontId="15" fillId="18" borderId="100" xfId="0" applyNumberFormat="1" applyFont="1" applyFill="1" applyBorder="1" applyAlignment="1">
      <alignment horizontal="center" vertical="center" wrapText="1"/>
    </xf>
    <xf numFmtId="1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1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9" fontId="15" fillId="18" borderId="95" xfId="0" applyNumberFormat="1" applyFont="1" applyFill="1" applyBorder="1" applyAlignment="1">
      <alignment horizontal="center" vertical="center" wrapText="1"/>
    </xf>
    <xf numFmtId="49" fontId="15" fillId="18" borderId="96" xfId="0" applyNumberFormat="1" applyFont="1" applyFill="1" applyBorder="1" applyAlignment="1">
      <alignment horizontal="center" vertical="center" wrapText="1"/>
    </xf>
    <xf numFmtId="49" fontId="15" fillId="18" borderId="97" xfId="0" applyNumberFormat="1" applyFont="1" applyFill="1" applyBorder="1" applyAlignment="1">
      <alignment horizontal="center" vertical="center" wrapText="1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5" xfId="0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0" fontId="1" fillId="18" borderId="97" xfId="0" applyFont="1" applyFill="1" applyBorder="1" applyAlignment="1" applyProtection="1">
      <alignment horizontal="center" vertical="center" wrapText="1"/>
      <protection locked="0"/>
    </xf>
    <xf numFmtId="1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>
      <alignment horizontal="center" vertical="center" wrapText="1"/>
    </xf>
    <xf numFmtId="4" fontId="1" fillId="18" borderId="96" xfId="0" applyNumberFormat="1" applyFont="1" applyFill="1" applyBorder="1" applyAlignment="1">
      <alignment horizontal="center" vertical="center" wrapText="1"/>
    </xf>
    <xf numFmtId="4" fontId="1" fillId="18" borderId="97" xfId="0" applyNumberFormat="1" applyFont="1" applyFill="1" applyBorder="1" applyAlignment="1">
      <alignment horizontal="center" vertical="center" wrapText="1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0" fontId="1" fillId="18" borderId="94" xfId="0" applyFont="1" applyFill="1" applyBorder="1" applyAlignment="1" applyProtection="1">
      <alignment horizontal="center" vertical="center" wrapText="1"/>
      <protection locked="0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168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8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49" fontId="15" fillId="18" borderId="71" xfId="0" applyNumberFormat="1" applyFont="1" applyFill="1" applyBorder="1" applyAlignment="1">
      <alignment horizontal="center" vertical="center" wrapText="1"/>
    </xf>
    <xf numFmtId="49" fontId="15" fillId="18" borderId="72" xfId="0" applyNumberFormat="1" applyFont="1" applyFill="1" applyBorder="1" applyAlignment="1">
      <alignment horizontal="center" vertical="center" wrapText="1"/>
    </xf>
    <xf numFmtId="49" fontId="15" fillId="18" borderId="73" xfId="0" applyNumberFormat="1" applyFont="1" applyFill="1" applyBorder="1" applyAlignment="1">
      <alignment horizontal="center" vertical="center" wrapText="1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4" fontId="1" fillId="18" borderId="93" xfId="0" applyNumberFormat="1" applyFont="1" applyFill="1" applyBorder="1" applyAlignment="1">
      <alignment horizontal="center" vertical="center" wrapText="1"/>
    </xf>
    <xf numFmtId="4" fontId="1" fillId="18" borderId="94" xfId="0" applyNumberFormat="1" applyFont="1" applyFill="1" applyBorder="1" applyAlignment="1">
      <alignment horizontal="center" vertical="center" wrapText="1"/>
    </xf>
    <xf numFmtId="49" fontId="15" fillId="18" borderId="109" xfId="0" applyNumberFormat="1" applyFont="1" applyFill="1" applyBorder="1" applyAlignment="1">
      <alignment horizontal="center" vertical="center" wrapText="1"/>
    </xf>
    <xf numFmtId="49" fontId="15" fillId="18" borderId="110" xfId="0" applyNumberFormat="1" applyFont="1" applyFill="1" applyBorder="1" applyAlignment="1">
      <alignment horizontal="center" vertical="center" wrapText="1"/>
    </xf>
    <xf numFmtId="1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7" xfId="0" applyNumberFormat="1" applyFont="1" applyFill="1" applyBorder="1" applyAlignment="1">
      <alignment horizontal="center" vertical="center" wrapText="1"/>
    </xf>
    <xf numFmtId="49" fontId="15" fillId="18" borderId="88" xfId="0" applyNumberFormat="1" applyFont="1" applyFill="1" applyBorder="1" applyAlignment="1">
      <alignment horizontal="center" vertical="center" wrapText="1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>
      <alignment horizontal="center" vertical="center" wrapText="1"/>
    </xf>
    <xf numFmtId="4" fontId="1" fillId="18" borderId="88" xfId="0" applyNumberFormat="1" applyFont="1" applyFill="1" applyBorder="1" applyAlignment="1">
      <alignment horizontal="center" vertical="center" wrapText="1"/>
    </xf>
    <xf numFmtId="49" fontId="15" fillId="18" borderId="92" xfId="0" applyNumberFormat="1" applyFont="1" applyFill="1" applyBorder="1" applyAlignment="1">
      <alignment horizontal="center" vertical="center" wrapText="1"/>
    </xf>
    <xf numFmtId="49" fontId="15" fillId="18" borderId="93" xfId="0" applyNumberFormat="1" applyFont="1" applyFill="1" applyBorder="1" applyAlignment="1">
      <alignment horizontal="center" vertical="center" wrapText="1"/>
    </xf>
    <xf numFmtId="49" fontId="15" fillId="18" borderId="94" xfId="0" applyNumberFormat="1" applyFont="1" applyFill="1" applyBorder="1" applyAlignment="1">
      <alignment horizontal="center" vertical="center" wrapText="1"/>
    </xf>
    <xf numFmtId="0" fontId="1" fillId="18" borderId="109" xfId="0" applyFont="1" applyFill="1" applyBorder="1" applyAlignment="1" applyProtection="1">
      <alignment horizontal="center" vertical="center" wrapText="1"/>
      <protection locked="0"/>
    </xf>
    <xf numFmtId="0" fontId="1" fillId="18" borderId="110" xfId="0" applyFont="1" applyFill="1" applyBorder="1" applyAlignment="1" applyProtection="1">
      <alignment horizontal="center" vertical="center" wrapText="1"/>
      <protection locked="0"/>
    </xf>
    <xf numFmtId="1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9" xfId="0" applyNumberFormat="1" applyFont="1" applyFill="1" applyBorder="1" applyAlignment="1">
      <alignment horizontal="center" vertical="center" wrapText="1"/>
    </xf>
    <xf numFmtId="4" fontId="1" fillId="18" borderId="110" xfId="0" applyNumberFormat="1" applyFont="1" applyFill="1" applyBorder="1" applyAlignment="1">
      <alignment horizontal="center" vertical="center" wrapText="1"/>
    </xf>
    <xf numFmtId="49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20" xfId="0" applyFont="1" applyFill="1" applyBorder="1" applyAlignment="1" applyProtection="1">
      <alignment horizontal="center" vertical="center" wrapText="1"/>
      <protection locked="0"/>
    </xf>
    <xf numFmtId="0" fontId="1" fillId="18" borderId="121" xfId="0" applyFont="1" applyFill="1" applyBorder="1" applyAlignment="1" applyProtection="1">
      <alignment horizontal="center" vertical="center" wrapText="1"/>
      <protection locked="0"/>
    </xf>
    <xf numFmtId="0" fontId="1" fillId="18" borderId="122" xfId="0" applyFont="1" applyFill="1" applyBorder="1" applyAlignment="1" applyProtection="1">
      <alignment horizontal="center" vertical="center" wrapText="1"/>
      <protection locked="0"/>
    </xf>
    <xf numFmtId="1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0" xfId="0" applyNumberFormat="1" applyFont="1" applyFill="1" applyBorder="1" applyAlignment="1">
      <alignment horizontal="center" vertical="center" wrapText="1"/>
    </xf>
    <xf numFmtId="4" fontId="1" fillId="18" borderId="121" xfId="0" applyNumberFormat="1" applyFont="1" applyFill="1" applyBorder="1" applyAlignment="1">
      <alignment horizontal="center" vertical="center" wrapText="1"/>
    </xf>
    <xf numFmtId="4" fontId="1" fillId="18" borderId="122" xfId="0" applyNumberFormat="1" applyFont="1" applyFill="1" applyBorder="1" applyAlignment="1">
      <alignment horizontal="center" vertical="center" wrapText="1"/>
    </xf>
    <xf numFmtId="167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5" xfId="0" applyNumberFormat="1" applyFont="1" applyFill="1" applyBorder="1" applyAlignment="1">
      <alignment horizontal="center" vertical="center" wrapText="1"/>
    </xf>
    <xf numFmtId="49" fontId="15" fillId="18" borderId="46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47" xfId="0" applyNumberFormat="1" applyFont="1" applyFill="1" applyBorder="1" applyAlignment="1">
      <alignment horizontal="center" vertical="center" wrapText="1"/>
    </xf>
    <xf numFmtId="49" fontId="15" fillId="18" borderId="50" xfId="0" applyNumberFormat="1" applyFont="1" applyFill="1" applyBorder="1" applyAlignment="1">
      <alignment horizontal="center" vertical="center" wrapText="1"/>
    </xf>
    <xf numFmtId="49" fontId="15" fillId="18" borderId="120" xfId="0" applyNumberFormat="1" applyFont="1" applyFill="1" applyBorder="1" applyAlignment="1">
      <alignment horizontal="center" vertical="center" wrapText="1"/>
    </xf>
    <xf numFmtId="49" fontId="15" fillId="18" borderId="121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0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1" xfId="0" applyNumberFormat="1" applyFont="1" applyFill="1" applyBorder="1" applyAlignment="1">
      <alignment horizontal="center" vertical="center" wrapText="1"/>
    </xf>
    <xf numFmtId="49" fontId="15" fillId="18" borderId="102" xfId="0" applyNumberFormat="1" applyFont="1" applyFill="1" applyBorder="1" applyAlignment="1">
      <alignment horizontal="center" vertical="center" wrapText="1"/>
    </xf>
    <xf numFmtId="49" fontId="15" fillId="18" borderId="103" xfId="0" applyNumberFormat="1" applyFont="1" applyFill="1" applyBorder="1" applyAlignment="1">
      <alignment horizontal="center" vertical="center" wrapText="1"/>
    </xf>
    <xf numFmtId="49" fontId="15" fillId="18" borderId="83" xfId="0" applyNumberFormat="1" applyFont="1" applyFill="1" applyBorder="1" applyAlignment="1">
      <alignment horizontal="center" vertical="center" wrapText="1"/>
    </xf>
    <xf numFmtId="49" fontId="15" fillId="18" borderId="84" xfId="0" applyNumberFormat="1" applyFont="1" applyFill="1" applyBorder="1" applyAlignment="1">
      <alignment horizontal="center" vertical="center" wrapText="1"/>
    </xf>
    <xf numFmtId="49" fontId="15" fillId="18" borderId="85" xfId="0" applyNumberFormat="1" applyFont="1" applyFill="1" applyBorder="1" applyAlignment="1">
      <alignment horizontal="center" vertical="center" wrapText="1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>
      <alignment horizontal="center" vertical="center" wrapText="1"/>
    </xf>
    <xf numFmtId="4" fontId="1" fillId="18" borderId="91" xfId="0" applyNumberFormat="1" applyFont="1" applyFill="1" applyBorder="1" applyAlignment="1">
      <alignment horizontal="center" vertical="center" wrapText="1"/>
    </xf>
    <xf numFmtId="4" fontId="1" fillId="18" borderId="90" xfId="0" applyNumberFormat="1" applyFont="1" applyFill="1" applyBorder="1" applyAlignment="1">
      <alignment horizontal="center" vertical="center" wrapText="1"/>
    </xf>
    <xf numFmtId="16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4" xfId="0" applyFont="1" applyFill="1" applyBorder="1" applyAlignment="1" applyProtection="1">
      <alignment horizontal="center" vertical="center" wrapText="1"/>
      <protection locked="0"/>
    </xf>
    <xf numFmtId="0" fontId="1" fillId="18" borderId="105" xfId="0" applyFont="1" applyFill="1" applyBorder="1" applyAlignment="1" applyProtection="1">
      <alignment horizontal="center" vertical="center" wrapText="1"/>
      <protection locked="0"/>
    </xf>
    <xf numFmtId="49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>
      <alignment horizontal="center" vertical="center" wrapText="1"/>
    </xf>
    <xf numFmtId="4" fontId="1" fillId="18" borderId="105" xfId="0" applyNumberFormat="1" applyFont="1" applyFill="1" applyBorder="1" applyAlignment="1">
      <alignment horizontal="center" vertical="center" wrapText="1"/>
    </xf>
    <xf numFmtId="49" fontId="15" fillId="18" borderId="89" xfId="0" applyNumberFormat="1" applyFont="1" applyFill="1" applyBorder="1" applyAlignment="1">
      <alignment horizontal="center" vertical="center" wrapText="1"/>
    </xf>
    <xf numFmtId="49" fontId="15" fillId="18" borderId="91" xfId="0" applyNumberFormat="1" applyFont="1" applyFill="1" applyBorder="1" applyAlignment="1">
      <alignment horizontal="center" vertical="center" wrapText="1"/>
    </xf>
    <xf numFmtId="49" fontId="15" fillId="18" borderId="90" xfId="0" applyNumberFormat="1" applyFont="1" applyFill="1" applyBorder="1" applyAlignment="1">
      <alignment horizontal="center" vertical="center" wrapText="1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4" xfId="0" applyNumberFormat="1" applyFont="1" applyFill="1" applyBorder="1" applyAlignment="1">
      <alignment horizontal="center" vertical="center" wrapText="1"/>
    </xf>
    <xf numFmtId="49" fontId="15" fillId="18" borderId="105" xfId="0" applyNumberFormat="1" applyFont="1" applyFill="1" applyBorder="1" applyAlignment="1">
      <alignment horizontal="center" vertical="center" wrapText="1"/>
    </xf>
    <xf numFmtId="16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6" xfId="0" applyFont="1" applyFill="1" applyBorder="1" applyAlignment="1" applyProtection="1">
      <alignment horizontal="center" vertical="center" wrapText="1"/>
      <protection locked="0"/>
    </xf>
    <xf numFmtId="0" fontId="1" fillId="18" borderId="107" xfId="0" applyFont="1" applyFill="1" applyBorder="1" applyAlignment="1" applyProtection="1">
      <alignment horizontal="center" vertical="center" wrapText="1"/>
      <protection locked="0"/>
    </xf>
    <xf numFmtId="0" fontId="1" fillId="18" borderId="108" xfId="0" applyFont="1" applyFill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>
      <alignment horizontal="center" vertical="center" wrapText="1"/>
    </xf>
    <xf numFmtId="4" fontId="1" fillId="18" borderId="107" xfId="0" applyNumberFormat="1" applyFont="1" applyFill="1" applyBorder="1" applyAlignment="1">
      <alignment horizontal="center" vertical="center" wrapText="1"/>
    </xf>
    <xf numFmtId="4" fontId="1" fillId="18" borderId="108" xfId="0" applyNumberFormat="1" applyFont="1" applyFill="1" applyBorder="1" applyAlignment="1">
      <alignment horizontal="center" vertical="center" wrapText="1"/>
    </xf>
    <xf numFmtId="16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16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8" borderId="79" xfId="0" applyNumberFormat="1" applyFont="1" applyFill="1" applyBorder="1" applyAlignment="1">
      <alignment horizontal="center" vertical="center" wrapText="1"/>
    </xf>
    <xf numFmtId="49" fontId="15" fillId="18" borderId="106" xfId="0" applyNumberFormat="1" applyFont="1" applyFill="1" applyBorder="1" applyAlignment="1">
      <alignment horizontal="center" vertical="center" wrapText="1"/>
    </xf>
    <xf numFmtId="49" fontId="15" fillId="18" borderId="107" xfId="0" applyNumberFormat="1" applyFont="1" applyFill="1" applyBorder="1" applyAlignment="1">
      <alignment horizontal="center" vertical="center" wrapText="1"/>
    </xf>
    <xf numFmtId="49" fontId="15" fillId="18" borderId="108" xfId="0" applyNumberFormat="1" applyFont="1" applyFill="1" applyBorder="1" applyAlignment="1">
      <alignment horizontal="center" vertical="center" wrapText="1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22" xfId="0" applyNumberFormat="1" applyFont="1" applyFill="1" applyBorder="1" applyAlignment="1">
      <alignment horizontal="center" vertical="center" wrapText="1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1" xfId="0" applyFont="1" applyFill="1" applyBorder="1" applyAlignment="1" applyProtection="1">
      <alignment horizontal="center" vertical="center" wrapText="1"/>
      <protection locked="0"/>
    </xf>
    <xf numFmtId="0" fontId="1" fillId="18" borderId="102" xfId="0" applyFont="1" applyFill="1" applyBorder="1" applyAlignment="1" applyProtection="1">
      <alignment horizontal="center" vertical="center" wrapText="1"/>
      <protection locked="0"/>
    </xf>
    <xf numFmtId="0" fontId="1" fillId="18" borderId="103" xfId="0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2" xfId="0" applyNumberFormat="1" applyFont="1" applyFill="1" applyBorder="1" applyAlignment="1">
      <alignment horizontal="center" vertical="center" wrapText="1"/>
    </xf>
    <xf numFmtId="49" fontId="15" fillId="4" borderId="43" xfId="0" applyNumberFormat="1" applyFont="1" applyFill="1" applyBorder="1" applyAlignment="1">
      <alignment horizontal="center" vertical="center" wrapText="1"/>
    </xf>
    <xf numFmtId="49" fontId="15" fillId="4" borderId="44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9" xfId="0" applyNumberFormat="1" applyFont="1" applyFill="1" applyBorder="1" applyAlignment="1">
      <alignment horizontal="center" vertical="center" wrapText="1"/>
    </xf>
    <xf numFmtId="49" fontId="15" fillId="18" borderId="60" xfId="0" applyNumberFormat="1" applyFont="1" applyFill="1" applyBorder="1" applyAlignment="1">
      <alignment horizontal="center" vertical="center" wrapText="1"/>
    </xf>
    <xf numFmtId="49" fontId="15" fillId="18" borderId="61" xfId="0" applyNumberFormat="1" applyFont="1" applyFill="1" applyBorder="1" applyAlignment="1">
      <alignment horizontal="center" vertical="center" wrapText="1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8" xfId="0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0" fontId="1" fillId="18" borderId="100" xfId="0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>
      <alignment horizontal="center" vertical="center" wrapText="1"/>
    </xf>
    <xf numFmtId="4" fontId="1" fillId="18" borderId="99" xfId="0" applyNumberFormat="1" applyFont="1" applyFill="1" applyBorder="1" applyAlignment="1">
      <alignment horizontal="center" vertical="center" wrapText="1"/>
    </xf>
    <xf numFmtId="4" fontId="1" fillId="18" borderId="100" xfId="0" applyNumberFormat="1" applyFont="1" applyFill="1" applyBorder="1" applyAlignment="1">
      <alignment horizontal="center" vertical="center" wrapText="1"/>
    </xf>
    <xf numFmtId="16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9" fontId="15" fillId="18" borderId="98" xfId="0" applyNumberFormat="1" applyFont="1" applyFill="1" applyBorder="1" applyAlignment="1">
      <alignment horizontal="center" vertical="center" wrapText="1"/>
    </xf>
    <xf numFmtId="49" fontId="15" fillId="18" borderId="99" xfId="0" applyNumberFormat="1" applyFont="1" applyFill="1" applyBorder="1" applyAlignment="1">
      <alignment horizontal="center" vertical="center" wrapText="1"/>
    </xf>
    <xf numFmtId="49" fontId="15" fillId="18" borderId="100" xfId="0" applyNumberFormat="1" applyFont="1" applyFill="1" applyBorder="1" applyAlignment="1">
      <alignment horizontal="center" vertical="center" wrapText="1"/>
    </xf>
    <xf numFmtId="16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>
      <alignment horizontal="center" vertical="center" wrapText="1"/>
    </xf>
    <xf numFmtId="4" fontId="1" fillId="18" borderId="102" xfId="0" applyNumberFormat="1" applyFont="1" applyFill="1" applyBorder="1" applyAlignment="1">
      <alignment horizontal="center" vertical="center" wrapText="1"/>
    </xf>
    <xf numFmtId="4" fontId="1" fillId="18" borderId="103" xfId="0" applyNumberFormat="1" applyFont="1" applyFill="1" applyBorder="1" applyAlignment="1">
      <alignment horizontal="center" vertical="center" wrapText="1"/>
    </xf>
    <xf numFmtId="16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7" xfId="0" applyNumberFormat="1" applyFont="1" applyFill="1" applyBorder="1" applyAlignment="1">
      <alignment horizontal="center" vertical="center" wrapText="1"/>
    </xf>
    <xf numFmtId="49" fontId="15" fillId="18" borderId="78" xfId="0" applyNumberFormat="1" applyFont="1" applyFill="1" applyBorder="1" applyAlignment="1">
      <alignment horizontal="center" vertical="center" wrapText="1"/>
    </xf>
    <xf numFmtId="49" fontId="15" fillId="18" borderId="79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>
      <alignment horizontal="center" vertical="center" wrapText="1"/>
    </xf>
    <xf numFmtId="4" fontId="1" fillId="18" borderId="84" xfId="0" applyNumberFormat="1" applyFont="1" applyFill="1" applyBorder="1" applyAlignment="1">
      <alignment horizontal="center" vertical="center" wrapText="1"/>
    </xf>
    <xf numFmtId="4" fontId="1" fillId="18" borderId="85" xfId="0" applyNumberFormat="1" applyFont="1" applyFill="1" applyBorder="1" applyAlignment="1">
      <alignment horizontal="center" vertical="center" wrapText="1"/>
    </xf>
    <xf numFmtId="49" fontId="15" fillId="4" borderId="123" xfId="0" applyNumberFormat="1" applyFont="1" applyFill="1" applyBorder="1" applyAlignment="1">
      <alignment horizontal="center" vertical="center" wrapText="1"/>
    </xf>
    <xf numFmtId="49" fontId="15" fillId="4" borderId="124" xfId="0" applyNumberFormat="1" applyFont="1" applyFill="1" applyBorder="1" applyAlignment="1">
      <alignment horizontal="center" vertical="center" wrapText="1"/>
    </xf>
    <xf numFmtId="14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2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23" xfId="0" applyFont="1" applyFill="1" applyBorder="1" applyAlignment="1" applyProtection="1">
      <alignment horizontal="center" vertical="center" wrapText="1"/>
      <protection locked="0"/>
    </xf>
    <xf numFmtId="0" fontId="1" fillId="18" borderId="124" xfId="0" applyFont="1" applyFill="1" applyBorder="1" applyAlignment="1" applyProtection="1">
      <alignment horizontal="center" vertical="center" wrapText="1"/>
      <protection locked="0"/>
    </xf>
    <xf numFmtId="165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3" xfId="0" applyNumberFormat="1" applyFont="1" applyFill="1" applyBorder="1" applyAlignment="1">
      <alignment horizontal="center" vertical="center" wrapText="1"/>
    </xf>
    <xf numFmtId="4" fontId="1" fillId="18" borderId="124" xfId="0" applyNumberFormat="1" applyFont="1" applyFill="1" applyBorder="1" applyAlignment="1">
      <alignment horizontal="center" vertical="center" wrapText="1"/>
    </xf>
    <xf numFmtId="167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1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2" xfId="0" applyNumberFormat="1" applyFont="1" applyFill="1" applyBorder="1" applyAlignment="1">
      <alignment horizontal="center" vertical="center" wrapText="1"/>
    </xf>
    <xf numFmtId="4" fontId="1" fillId="18" borderId="115" xfId="0" applyNumberFormat="1" applyFont="1" applyFill="1" applyBorder="1" applyAlignment="1">
      <alignment horizontal="center" vertical="center" wrapText="1"/>
    </xf>
    <xf numFmtId="4" fontId="1" fillId="18" borderId="118" xfId="0" applyNumberFormat="1" applyFont="1" applyFill="1" applyBorder="1" applyAlignment="1">
      <alignment horizontal="center" vertical="center" wrapText="1"/>
    </xf>
    <xf numFmtId="49" fontId="17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1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112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11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11" xfId="0" applyNumberFormat="1" applyFont="1" applyFill="1" applyBorder="1" applyAlignment="1">
      <alignment horizontal="center" vertical="center" wrapText="1"/>
    </xf>
    <xf numFmtId="49" fontId="15" fillId="18" borderId="114" xfId="0" applyNumberFormat="1" applyFont="1" applyFill="1" applyBorder="1" applyAlignment="1">
      <alignment horizontal="center" vertical="center" wrapText="1"/>
    </xf>
    <xf numFmtId="165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62" xfId="0" applyNumberFormat="1" applyFont="1" applyFill="1" applyBorder="1" applyAlignment="1">
      <alignment horizontal="center" vertical="center" wrapText="1"/>
    </xf>
    <xf numFmtId="49" fontId="15" fillId="4" borderId="65" xfId="0" applyNumberFormat="1" applyFont="1" applyFill="1" applyBorder="1" applyAlignment="1">
      <alignment horizontal="center" vertical="center" wrapText="1"/>
    </xf>
    <xf numFmtId="49" fontId="15" fillId="4" borderId="68" xfId="0" applyNumberFormat="1" applyFont="1" applyFill="1" applyBorder="1" applyAlignment="1">
      <alignment horizontal="center" vertical="center" wrapText="1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17" xfId="0" applyNumberFormat="1" applyFont="1" applyFill="1" applyBorder="1" applyAlignment="1">
      <alignment horizontal="center" vertical="center" wrapText="1"/>
    </xf>
    <xf numFmtId="165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7" zoomScale="70" zoomScaleNormal="70" workbookViewId="0">
      <selection activeCell="M8" sqref="M8:N8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795" t="s">
        <v>141</v>
      </c>
      <c r="B1" s="796"/>
      <c r="C1" s="796"/>
      <c r="D1" s="796"/>
      <c r="E1" s="797" t="s">
        <v>145</v>
      </c>
      <c r="F1" s="798"/>
      <c r="G1" s="798"/>
      <c r="H1" s="798"/>
      <c r="I1" s="798"/>
      <c r="J1" s="798"/>
      <c r="K1" s="798"/>
      <c r="L1" s="798"/>
      <c r="M1" s="798"/>
      <c r="N1" s="799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771" t="s">
        <v>25</v>
      </c>
      <c r="B4" s="772"/>
      <c r="C4" s="4">
        <v>7448431.04</v>
      </c>
      <c r="D4" s="5"/>
      <c r="E4" s="773" t="s">
        <v>140</v>
      </c>
      <c r="F4" s="774"/>
      <c r="G4" s="775"/>
      <c r="H4" s="776">
        <v>1818249.5</v>
      </c>
      <c r="I4" s="777"/>
      <c r="J4" s="778"/>
      <c r="K4" s="17"/>
      <c r="L4" s="76" t="s">
        <v>55</v>
      </c>
      <c r="M4" s="773">
        <v>2815900.26</v>
      </c>
      <c r="N4" s="775"/>
    </row>
    <row r="5" spans="1:14" ht="30.75" customHeight="1" thickBot="1" x14ac:dyDescent="0.3">
      <c r="A5" s="771" t="s">
        <v>26</v>
      </c>
      <c r="B5" s="772"/>
      <c r="C5" s="6">
        <f>C4-G15+J15</f>
        <v>1921184</v>
      </c>
      <c r="D5" s="5"/>
      <c r="E5" s="773" t="s">
        <v>53</v>
      </c>
      <c r="F5" s="774"/>
      <c r="G5" s="775"/>
      <c r="H5" s="763">
        <f>H4-G12</f>
        <v>502428.45999999996</v>
      </c>
      <c r="I5" s="764"/>
      <c r="J5" s="765"/>
      <c r="K5" s="17"/>
      <c r="L5" s="76" t="s">
        <v>54</v>
      </c>
      <c r="M5" s="766">
        <f>M4-G13</f>
        <v>595449.14999999944</v>
      </c>
      <c r="N5" s="767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779" t="s">
        <v>27</v>
      </c>
      <c r="B8" s="780"/>
      <c r="C8" s="781"/>
      <c r="D8" s="779" t="s">
        <v>28</v>
      </c>
      <c r="E8" s="780"/>
      <c r="F8" s="781"/>
      <c r="G8" s="782" t="s">
        <v>29</v>
      </c>
      <c r="H8" s="783"/>
      <c r="I8" s="784"/>
      <c r="J8" s="782" t="s">
        <v>142</v>
      </c>
      <c r="K8" s="783"/>
      <c r="L8" s="784"/>
      <c r="M8" s="779" t="s">
        <v>30</v>
      </c>
      <c r="N8" s="781"/>
    </row>
    <row r="9" spans="1:14" ht="41.25" customHeight="1" thickBot="1" x14ac:dyDescent="0.3">
      <c r="A9" s="785" t="s">
        <v>31</v>
      </c>
      <c r="B9" s="786"/>
      <c r="C9" s="787"/>
      <c r="D9" s="788">
        <f>'Состоявшиеся аукционы'!G2</f>
        <v>1548849.06</v>
      </c>
      <c r="E9" s="788"/>
      <c r="F9" s="788"/>
      <c r="G9" s="788">
        <f>'Состоявшиеся аукционы'!Q2</f>
        <v>1071537.3400000001</v>
      </c>
      <c r="H9" s="788"/>
      <c r="I9" s="788"/>
      <c r="J9" s="768">
        <f>'Состоявшиеся аукционы'!AB2</f>
        <v>0</v>
      </c>
      <c r="K9" s="770"/>
      <c r="L9" s="769"/>
      <c r="M9" s="788">
        <f t="shared" ref="M9:M15" si="0">D9-G9</f>
        <v>477311.72</v>
      </c>
      <c r="N9" s="788"/>
    </row>
    <row r="10" spans="1:14" ht="78.75" customHeight="1" thickBot="1" x14ac:dyDescent="0.3">
      <c r="A10" s="785" t="s">
        <v>49</v>
      </c>
      <c r="B10" s="786"/>
      <c r="C10" s="787"/>
      <c r="D10" s="788">
        <f>'Несостоявшиеся аукционы'!G2</f>
        <v>570613.17999999993</v>
      </c>
      <c r="E10" s="788"/>
      <c r="F10" s="788"/>
      <c r="G10" s="788">
        <f>'Несостоявшиеся аукционы'!Q2</f>
        <v>570613.17999999993</v>
      </c>
      <c r="H10" s="788"/>
      <c r="I10" s="788"/>
      <c r="J10" s="768">
        <f>'Несостоявшиеся аукционы'!AB2</f>
        <v>5353.48</v>
      </c>
      <c r="K10" s="770"/>
      <c r="L10" s="769"/>
      <c r="M10" s="788">
        <f t="shared" si="0"/>
        <v>0</v>
      </c>
      <c r="N10" s="788"/>
    </row>
    <row r="11" spans="1:14" ht="40.5" customHeight="1" thickBot="1" x14ac:dyDescent="0.3">
      <c r="A11" s="785" t="s">
        <v>83</v>
      </c>
      <c r="B11" s="786"/>
      <c r="C11" s="787"/>
      <c r="D11" s="768">
        <f>'Иные конкурентные закупки'!G2</f>
        <v>0</v>
      </c>
      <c r="E11" s="770"/>
      <c r="F11" s="769"/>
      <c r="G11" s="768">
        <f>'Иные конкурентные закупки'!Q2</f>
        <v>0</v>
      </c>
      <c r="H11" s="770"/>
      <c r="I11" s="769"/>
      <c r="J11" s="768">
        <f>'Иные конкурентные закупки'!AB2</f>
        <v>0</v>
      </c>
      <c r="K11" s="770"/>
      <c r="L11" s="769"/>
      <c r="M11" s="768">
        <f t="shared" si="0"/>
        <v>0</v>
      </c>
      <c r="N11" s="769"/>
    </row>
    <row r="12" spans="1:14" ht="54.75" customHeight="1" thickBot="1" x14ac:dyDescent="0.3">
      <c r="A12" s="792" t="s">
        <v>50</v>
      </c>
      <c r="B12" s="793"/>
      <c r="C12" s="794"/>
      <c r="D12" s="788">
        <f>'Ед. поставщик п.4 ч.1'!H2</f>
        <v>1315821.04</v>
      </c>
      <c r="E12" s="788"/>
      <c r="F12" s="788"/>
      <c r="G12" s="788">
        <f>D12</f>
        <v>1315821.04</v>
      </c>
      <c r="H12" s="788"/>
      <c r="I12" s="788"/>
      <c r="J12" s="768">
        <f>'Ед. поставщик п.4 ч.1'!V2</f>
        <v>150500.07</v>
      </c>
      <c r="K12" s="770"/>
      <c r="L12" s="769"/>
      <c r="M12" s="788">
        <f t="shared" si="0"/>
        <v>0</v>
      </c>
      <c r="N12" s="788"/>
    </row>
    <row r="13" spans="1:14" ht="45.75" customHeight="1" thickBot="1" x14ac:dyDescent="0.3">
      <c r="A13" s="792" t="s">
        <v>51</v>
      </c>
      <c r="B13" s="793"/>
      <c r="C13" s="794"/>
      <c r="D13" s="788">
        <f>'Ед. поставщик п.5 ч.1'!H2</f>
        <v>2220451.1100000003</v>
      </c>
      <c r="E13" s="788"/>
      <c r="F13" s="788"/>
      <c r="G13" s="788">
        <f>D13</f>
        <v>2220451.1100000003</v>
      </c>
      <c r="H13" s="788"/>
      <c r="I13" s="788"/>
      <c r="J13" s="768">
        <f>'Ед. поставщик п.5 ч.1'!V2</f>
        <v>83266.579999999987</v>
      </c>
      <c r="K13" s="770"/>
      <c r="L13" s="769"/>
      <c r="M13" s="788">
        <f t="shared" si="0"/>
        <v>0</v>
      </c>
      <c r="N13" s="788"/>
    </row>
    <row r="14" spans="1:14" ht="45.75" customHeight="1" thickBot="1" x14ac:dyDescent="0.3">
      <c r="A14" s="812" t="s">
        <v>52</v>
      </c>
      <c r="B14" s="813"/>
      <c r="C14" s="814"/>
      <c r="D14" s="768">
        <f>'Ед.поставщик за искл. п.4,5 ч.1'!G2</f>
        <v>587944.5</v>
      </c>
      <c r="E14" s="770"/>
      <c r="F14" s="769"/>
      <c r="G14" s="768">
        <f>D14</f>
        <v>587944.5</v>
      </c>
      <c r="H14" s="770"/>
      <c r="I14" s="769"/>
      <c r="J14" s="768">
        <f>'Ед.поставщик за искл. п.4,5 ч.1'!T2</f>
        <v>0</v>
      </c>
      <c r="K14" s="770"/>
      <c r="L14" s="769"/>
      <c r="M14" s="788">
        <f t="shared" si="0"/>
        <v>0</v>
      </c>
      <c r="N14" s="788"/>
    </row>
    <row r="15" spans="1:14" ht="21" thickBot="1" x14ac:dyDescent="0.3">
      <c r="A15" s="789" t="s">
        <v>146</v>
      </c>
      <c r="B15" s="790"/>
      <c r="C15" s="791"/>
      <c r="D15" s="788">
        <f>SUM(D9:D14)</f>
        <v>6243678.8900000006</v>
      </c>
      <c r="E15" s="788"/>
      <c r="F15" s="788"/>
      <c r="G15" s="768">
        <f>SUM(G9:G14)</f>
        <v>5766367.1699999999</v>
      </c>
      <c r="H15" s="770"/>
      <c r="I15" s="769"/>
      <c r="J15" s="768">
        <f>SUM(J9:J14)</f>
        <v>239120.13</v>
      </c>
      <c r="K15" s="770"/>
      <c r="L15" s="769"/>
      <c r="M15" s="788">
        <f t="shared" si="0"/>
        <v>477311.72000000067</v>
      </c>
      <c r="N15" s="788"/>
    </row>
    <row r="18" spans="1:12" ht="15.75" thickBot="1" x14ac:dyDescent="0.3"/>
    <row r="19" spans="1:12" ht="23.25" customHeight="1" x14ac:dyDescent="0.25">
      <c r="A19" s="800" t="s">
        <v>35</v>
      </c>
      <c r="B19" s="801"/>
      <c r="C19" s="802"/>
      <c r="D19" s="80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4200721.0639999993</v>
      </c>
      <c r="E19" s="807"/>
      <c r="F19" s="807"/>
      <c r="G19" s="808"/>
      <c r="I19" s="15"/>
      <c r="J19" s="15"/>
      <c r="K19" s="15"/>
      <c r="L19" s="15"/>
    </row>
    <row r="20" spans="1:12" ht="24" customHeight="1" thickBot="1" x14ac:dyDescent="0.3">
      <c r="A20" s="803"/>
      <c r="B20" s="804"/>
      <c r="C20" s="805"/>
      <c r="D20" s="809"/>
      <c r="E20" s="810"/>
      <c r="F20" s="810"/>
      <c r="G20" s="811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54"/>
  <sheetViews>
    <sheetView showGridLines="0" topLeftCell="K1" zoomScale="50" zoomScaleNormal="50" workbookViewId="0">
      <pane ySplit="8" topLeftCell="A51" activePane="bottomLeft" state="frozen"/>
      <selection activeCell="I1" sqref="I1"/>
      <selection pane="bottomLeft" activeCell="M52" sqref="M52:M53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SUM(H9:H9996)</f>
        <v>1315821.04</v>
      </c>
      <c r="K2" s="871"/>
      <c r="L2" s="871"/>
      <c r="M2" s="871"/>
      <c r="N2" s="872" t="s">
        <v>137</v>
      </c>
      <c r="O2" s="874"/>
      <c r="P2" s="66">
        <f>SUM(P9:P9996)</f>
        <v>599153.6</v>
      </c>
      <c r="R2" s="65"/>
      <c r="S2" s="872" t="s">
        <v>45</v>
      </c>
      <c r="T2" s="873"/>
      <c r="U2" s="874"/>
      <c r="V2" s="67">
        <f>SUM(V9:V9996)</f>
        <v>150500.07</v>
      </c>
    </row>
    <row r="3" spans="1:24" x14ac:dyDescent="0.25">
      <c r="A3" s="871"/>
      <c r="B3" s="871"/>
      <c r="C3" s="871"/>
      <c r="D3" s="871"/>
      <c r="E3" s="871"/>
      <c r="N3" s="65"/>
    </row>
    <row r="4" spans="1:24" ht="39.950000000000003" customHeight="1" x14ac:dyDescent="0.25">
      <c r="J4" s="875"/>
      <c r="K4" s="875"/>
      <c r="M4" s="875"/>
      <c r="N4" s="875"/>
      <c r="O4" s="875"/>
      <c r="P4" s="875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878">
        <v>1</v>
      </c>
      <c r="B9" s="861" t="s">
        <v>56</v>
      </c>
      <c r="C9" s="861" t="s">
        <v>147</v>
      </c>
      <c r="D9" s="861" t="s">
        <v>158</v>
      </c>
      <c r="E9" s="863" t="s">
        <v>190</v>
      </c>
      <c r="F9" s="865">
        <v>45288</v>
      </c>
      <c r="G9" s="861" t="s">
        <v>215</v>
      </c>
      <c r="H9" s="867">
        <v>70000</v>
      </c>
      <c r="I9" s="869">
        <f>IF(X9 = 2, H9 + SUM(S9:S10) - SUM(T9:T10) - SUM(P9:P10) - V9,0)</f>
        <v>0</v>
      </c>
      <c r="J9" s="861" t="s">
        <v>193</v>
      </c>
      <c r="K9" s="861" t="s">
        <v>191</v>
      </c>
      <c r="L9" s="861" t="s">
        <v>147</v>
      </c>
      <c r="M9" s="861" t="s">
        <v>192</v>
      </c>
      <c r="N9" s="167">
        <v>45322</v>
      </c>
      <c r="O9" s="865" t="s">
        <v>214</v>
      </c>
      <c r="P9" s="160">
        <v>21567</v>
      </c>
      <c r="Q9" s="161">
        <v>45328</v>
      </c>
      <c r="R9" s="162"/>
      <c r="S9" s="163"/>
      <c r="T9" s="163"/>
      <c r="U9" s="867" t="s">
        <v>322</v>
      </c>
      <c r="V9" s="876">
        <v>16082.5</v>
      </c>
      <c r="W9" s="859"/>
      <c r="X9" s="14">
        <v>2</v>
      </c>
    </row>
    <row r="10" spans="1:24" s="110" customFormat="1" x14ac:dyDescent="0.25">
      <c r="A10" s="879"/>
      <c r="B10" s="862"/>
      <c r="C10" s="862"/>
      <c r="D10" s="862"/>
      <c r="E10" s="864"/>
      <c r="F10" s="866"/>
      <c r="G10" s="862"/>
      <c r="H10" s="868"/>
      <c r="I10" s="870"/>
      <c r="J10" s="862"/>
      <c r="K10" s="862"/>
      <c r="L10" s="862"/>
      <c r="M10" s="862"/>
      <c r="N10" s="168">
        <v>45351</v>
      </c>
      <c r="O10" s="866"/>
      <c r="P10" s="193">
        <v>32350.5</v>
      </c>
      <c r="Q10" s="165">
        <v>45362</v>
      </c>
      <c r="R10" s="166"/>
      <c r="S10" s="164"/>
      <c r="T10" s="164"/>
      <c r="U10" s="868"/>
      <c r="V10" s="877"/>
      <c r="W10" s="860"/>
      <c r="X10" s="110">
        <v>2</v>
      </c>
    </row>
    <row r="11" spans="1:24" s="80" customFormat="1" ht="90" customHeight="1" x14ac:dyDescent="0.25">
      <c r="A11" s="200">
        <v>2</v>
      </c>
      <c r="B11" s="196" t="s">
        <v>56</v>
      </c>
      <c r="C11" s="196" t="s">
        <v>147</v>
      </c>
      <c r="D11" s="196" t="s">
        <v>158</v>
      </c>
      <c r="E11" s="228">
        <v>1</v>
      </c>
      <c r="F11" s="202">
        <v>45383</v>
      </c>
      <c r="G11" s="196" t="s">
        <v>238</v>
      </c>
      <c r="H11" s="198">
        <v>15000</v>
      </c>
      <c r="I11" s="195">
        <f>IF(X11 = 72, H11 + SUM(S11:S11) - SUM(T11:T11) - SUM(P11:P11) - V11,0)</f>
        <v>11500</v>
      </c>
      <c r="J11" s="196" t="s">
        <v>237</v>
      </c>
      <c r="K11" s="196" t="s">
        <v>236</v>
      </c>
      <c r="L11" s="196" t="s">
        <v>147</v>
      </c>
      <c r="M11" s="196" t="s">
        <v>239</v>
      </c>
      <c r="N11" s="202">
        <v>45383</v>
      </c>
      <c r="O11" s="202" t="s">
        <v>240</v>
      </c>
      <c r="P11" s="238">
        <v>3500</v>
      </c>
      <c r="Q11" s="197">
        <v>45385</v>
      </c>
      <c r="R11" s="196"/>
      <c r="S11" s="198"/>
      <c r="T11" s="198"/>
      <c r="U11" s="198"/>
      <c r="V11" s="201"/>
      <c r="W11" s="199"/>
      <c r="X11" s="80">
        <v>72</v>
      </c>
    </row>
    <row r="12" spans="1:24" s="80" customFormat="1" ht="93.75" x14ac:dyDescent="0.25">
      <c r="A12" s="208">
        <v>3</v>
      </c>
      <c r="B12" s="204" t="s">
        <v>56</v>
      </c>
      <c r="C12" s="204" t="s">
        <v>147</v>
      </c>
      <c r="D12" s="211" t="s">
        <v>158</v>
      </c>
      <c r="E12" s="228">
        <v>25</v>
      </c>
      <c r="F12" s="209">
        <v>45392</v>
      </c>
      <c r="G12" s="204" t="s">
        <v>269</v>
      </c>
      <c r="H12" s="206">
        <v>1585</v>
      </c>
      <c r="I12" s="203">
        <f>IF(X12 = 73, H12 + SUM(S12:S12) - SUM(T12:T12) - SUM(P12:P12) - V12,0)</f>
        <v>0</v>
      </c>
      <c r="J12" s="204" t="s">
        <v>241</v>
      </c>
      <c r="K12" s="204" t="s">
        <v>242</v>
      </c>
      <c r="L12" s="204" t="s">
        <v>147</v>
      </c>
      <c r="M12" s="204" t="s">
        <v>243</v>
      </c>
      <c r="N12" s="209">
        <v>45407</v>
      </c>
      <c r="O12" s="210" t="s">
        <v>214</v>
      </c>
      <c r="P12" s="238">
        <v>1585</v>
      </c>
      <c r="Q12" s="205">
        <v>45407</v>
      </c>
      <c r="R12" s="204"/>
      <c r="S12" s="206"/>
      <c r="T12" s="206"/>
      <c r="U12" s="206"/>
      <c r="V12" s="201"/>
      <c r="W12" s="207"/>
      <c r="X12" s="80">
        <v>73</v>
      </c>
    </row>
    <row r="13" spans="1:24" s="80" customFormat="1" ht="90" customHeight="1" x14ac:dyDescent="0.25">
      <c r="A13" s="880">
        <v>4</v>
      </c>
      <c r="B13" s="853" t="s">
        <v>56</v>
      </c>
      <c r="C13" s="853" t="s">
        <v>147</v>
      </c>
      <c r="D13" s="853" t="s">
        <v>158</v>
      </c>
      <c r="E13" s="889" t="s">
        <v>249</v>
      </c>
      <c r="F13" s="883">
        <v>45351</v>
      </c>
      <c r="G13" s="853" t="s">
        <v>215</v>
      </c>
      <c r="H13" s="886">
        <v>183649.91</v>
      </c>
      <c r="I13" s="850">
        <f>IF(X13 = 74, H13 + SUM(S13:S16) - SUM(T13:T16) - SUM(P13:P16) - V13,0)</f>
        <v>0</v>
      </c>
      <c r="J13" s="853" t="s">
        <v>193</v>
      </c>
      <c r="K13" s="853" t="s">
        <v>191</v>
      </c>
      <c r="L13" s="853" t="s">
        <v>147</v>
      </c>
      <c r="M13" s="853" t="s">
        <v>250</v>
      </c>
      <c r="N13" s="381">
        <v>45382</v>
      </c>
      <c r="O13" s="883" t="s">
        <v>214</v>
      </c>
      <c r="P13" s="370">
        <v>22594</v>
      </c>
      <c r="Q13" s="371">
        <v>45390</v>
      </c>
      <c r="R13" s="372"/>
      <c r="S13" s="373"/>
      <c r="T13" s="373"/>
      <c r="U13" s="886" t="s">
        <v>430</v>
      </c>
      <c r="V13" s="844">
        <v>101025.91</v>
      </c>
      <c r="W13" s="847"/>
      <c r="X13" s="80">
        <v>74</v>
      </c>
    </row>
    <row r="14" spans="1:24" s="110" customFormat="1" x14ac:dyDescent="0.25">
      <c r="A14" s="881"/>
      <c r="B14" s="854"/>
      <c r="C14" s="854"/>
      <c r="D14" s="854"/>
      <c r="E14" s="890"/>
      <c r="F14" s="884"/>
      <c r="G14" s="854"/>
      <c r="H14" s="887"/>
      <c r="I14" s="851"/>
      <c r="J14" s="854"/>
      <c r="K14" s="854"/>
      <c r="L14" s="854"/>
      <c r="M14" s="854"/>
      <c r="N14" s="382">
        <v>45412</v>
      </c>
      <c r="O14" s="884"/>
      <c r="P14" s="374">
        <v>27775</v>
      </c>
      <c r="Q14" s="375">
        <v>45419</v>
      </c>
      <c r="R14" s="376"/>
      <c r="S14" s="377"/>
      <c r="T14" s="377"/>
      <c r="U14" s="887"/>
      <c r="V14" s="845"/>
      <c r="W14" s="848"/>
      <c r="X14" s="110">
        <v>74</v>
      </c>
    </row>
    <row r="15" spans="1:24" s="110" customFormat="1" x14ac:dyDescent="0.25">
      <c r="A15" s="881"/>
      <c r="B15" s="854"/>
      <c r="C15" s="854"/>
      <c r="D15" s="854"/>
      <c r="E15" s="890"/>
      <c r="F15" s="884"/>
      <c r="G15" s="854"/>
      <c r="H15" s="887"/>
      <c r="I15" s="851"/>
      <c r="J15" s="854"/>
      <c r="K15" s="854"/>
      <c r="L15" s="854"/>
      <c r="M15" s="854"/>
      <c r="N15" s="382">
        <v>45443</v>
      </c>
      <c r="O15" s="884"/>
      <c r="P15" s="374">
        <v>20150.5</v>
      </c>
      <c r="Q15" s="375">
        <v>45450</v>
      </c>
      <c r="R15" s="376"/>
      <c r="S15" s="377"/>
      <c r="T15" s="377"/>
      <c r="U15" s="887"/>
      <c r="V15" s="845"/>
      <c r="W15" s="848"/>
      <c r="X15" s="110">
        <v>74</v>
      </c>
    </row>
    <row r="16" spans="1:24" s="110" customFormat="1" x14ac:dyDescent="0.25">
      <c r="A16" s="882"/>
      <c r="B16" s="855"/>
      <c r="C16" s="855"/>
      <c r="D16" s="855"/>
      <c r="E16" s="891"/>
      <c r="F16" s="885"/>
      <c r="G16" s="855"/>
      <c r="H16" s="888"/>
      <c r="I16" s="852"/>
      <c r="J16" s="855"/>
      <c r="K16" s="855"/>
      <c r="L16" s="855"/>
      <c r="M16" s="855"/>
      <c r="N16" s="383">
        <v>45473</v>
      </c>
      <c r="O16" s="885"/>
      <c r="P16" s="477">
        <v>12104.5</v>
      </c>
      <c r="Q16" s="379">
        <v>45481</v>
      </c>
      <c r="R16" s="380"/>
      <c r="S16" s="378"/>
      <c r="T16" s="378"/>
      <c r="U16" s="888"/>
      <c r="V16" s="846"/>
      <c r="W16" s="849"/>
      <c r="X16" s="110">
        <v>74</v>
      </c>
    </row>
    <row r="17" spans="1:24" s="80" customFormat="1" ht="75" x14ac:dyDescent="0.25">
      <c r="A17" s="213">
        <v>5</v>
      </c>
      <c r="B17" s="212" t="s">
        <v>56</v>
      </c>
      <c r="C17" s="215" t="s">
        <v>147</v>
      </c>
      <c r="D17" s="212" t="s">
        <v>158</v>
      </c>
      <c r="E17" s="229">
        <v>1021</v>
      </c>
      <c r="F17" s="227">
        <v>45400</v>
      </c>
      <c r="G17" s="215" t="s">
        <v>251</v>
      </c>
      <c r="H17" s="214">
        <v>3000</v>
      </c>
      <c r="I17" s="218">
        <f>IF(X17 = 75, H17 + SUM(S17:S17) - SUM(T17:T17) - SUM(P17:P17) - V17,0)</f>
        <v>0</v>
      </c>
      <c r="J17" s="215" t="s">
        <v>252</v>
      </c>
      <c r="K17" s="215" t="s">
        <v>253</v>
      </c>
      <c r="L17" s="215" t="s">
        <v>147</v>
      </c>
      <c r="M17" s="215" t="s">
        <v>256</v>
      </c>
      <c r="N17" s="227">
        <v>45400</v>
      </c>
      <c r="O17" s="227" t="s">
        <v>268</v>
      </c>
      <c r="P17" s="239">
        <v>3000</v>
      </c>
      <c r="Q17" s="217">
        <v>45406</v>
      </c>
      <c r="R17" s="215"/>
      <c r="S17" s="214"/>
      <c r="T17" s="214"/>
      <c r="U17" s="214"/>
      <c r="V17" s="226"/>
      <c r="W17" s="216"/>
      <c r="X17" s="80">
        <v>75</v>
      </c>
    </row>
    <row r="18" spans="1:24" s="80" customFormat="1" ht="75" x14ac:dyDescent="0.25">
      <c r="A18" s="225">
        <v>6</v>
      </c>
      <c r="B18" s="223" t="s">
        <v>56</v>
      </c>
      <c r="C18" s="222" t="s">
        <v>147</v>
      </c>
      <c r="D18" s="223" t="s">
        <v>158</v>
      </c>
      <c r="E18" s="229">
        <v>102</v>
      </c>
      <c r="F18" s="230">
        <v>45399</v>
      </c>
      <c r="G18" s="222" t="s">
        <v>254</v>
      </c>
      <c r="H18" s="220">
        <v>4500</v>
      </c>
      <c r="I18" s="221">
        <f>IF(X18 = 76, H18 + SUM(S18:S18) - SUM(T18:T18) - SUM(P18:P18) - V18,0)</f>
        <v>0</v>
      </c>
      <c r="J18" s="222" t="s">
        <v>255</v>
      </c>
      <c r="K18" s="222" t="s">
        <v>182</v>
      </c>
      <c r="L18" s="222" t="s">
        <v>147</v>
      </c>
      <c r="M18" s="222" t="s">
        <v>257</v>
      </c>
      <c r="N18" s="230">
        <v>45399</v>
      </c>
      <c r="O18" s="227" t="s">
        <v>302</v>
      </c>
      <c r="P18" s="239">
        <v>4500</v>
      </c>
      <c r="Q18" s="219">
        <v>45405</v>
      </c>
      <c r="R18" s="222"/>
      <c r="S18" s="220"/>
      <c r="T18" s="220"/>
      <c r="U18" s="220"/>
      <c r="V18" s="226"/>
      <c r="W18" s="224"/>
      <c r="X18" s="80">
        <v>76</v>
      </c>
    </row>
    <row r="19" spans="1:24" s="80" customFormat="1" ht="75" x14ac:dyDescent="0.25">
      <c r="A19" s="225">
        <v>7</v>
      </c>
      <c r="B19" s="223" t="s">
        <v>56</v>
      </c>
      <c r="C19" s="222" t="s">
        <v>147</v>
      </c>
      <c r="D19" s="223" t="s">
        <v>158</v>
      </c>
      <c r="E19" s="229">
        <v>3086</v>
      </c>
      <c r="F19" s="230">
        <v>45400</v>
      </c>
      <c r="G19" s="222" t="s">
        <v>258</v>
      </c>
      <c r="H19" s="220">
        <v>8000</v>
      </c>
      <c r="I19" s="221">
        <f>IF(X19 = 77, H19 + SUM(S19:S19) - SUM(T19:T19) - SUM(P19:P19) - V19,0)</f>
        <v>0</v>
      </c>
      <c r="J19" s="222" t="s">
        <v>259</v>
      </c>
      <c r="K19" s="222" t="s">
        <v>260</v>
      </c>
      <c r="L19" s="222" t="s">
        <v>147</v>
      </c>
      <c r="M19" s="222" t="s">
        <v>261</v>
      </c>
      <c r="N19" s="230">
        <v>45400</v>
      </c>
      <c r="O19" s="230" t="s">
        <v>302</v>
      </c>
      <c r="P19" s="239">
        <v>8000</v>
      </c>
      <c r="Q19" s="219">
        <v>45401</v>
      </c>
      <c r="R19" s="222"/>
      <c r="S19" s="220"/>
      <c r="T19" s="220"/>
      <c r="U19" s="220"/>
      <c r="V19" s="226"/>
      <c r="W19" s="224"/>
      <c r="X19" s="80">
        <v>77</v>
      </c>
    </row>
    <row r="20" spans="1:24" s="80" customFormat="1" ht="75" x14ac:dyDescent="0.25">
      <c r="A20" s="237">
        <v>8</v>
      </c>
      <c r="B20" s="231" t="s">
        <v>56</v>
      </c>
      <c r="C20" s="232" t="s">
        <v>147</v>
      </c>
      <c r="D20" s="231" t="s">
        <v>158</v>
      </c>
      <c r="E20" s="229">
        <v>52</v>
      </c>
      <c r="F20" s="249">
        <v>45400</v>
      </c>
      <c r="G20" s="232" t="s">
        <v>267</v>
      </c>
      <c r="H20" s="233">
        <v>8900</v>
      </c>
      <c r="I20" s="236">
        <f>IF(X20 = 78, H20 + SUM(S20:S20) - SUM(T20:T20) - SUM(P20:P20) - V20,0)</f>
        <v>0</v>
      </c>
      <c r="J20" s="232" t="s">
        <v>264</v>
      </c>
      <c r="K20" s="232" t="s">
        <v>265</v>
      </c>
      <c r="L20" s="232" t="s">
        <v>147</v>
      </c>
      <c r="M20" s="232" t="s">
        <v>266</v>
      </c>
      <c r="N20" s="249">
        <v>45400</v>
      </c>
      <c r="O20" s="241" t="s">
        <v>302</v>
      </c>
      <c r="P20" s="239">
        <v>8900</v>
      </c>
      <c r="Q20" s="235">
        <v>45405</v>
      </c>
      <c r="R20" s="232"/>
      <c r="S20" s="233"/>
      <c r="T20" s="233"/>
      <c r="U20" s="233"/>
      <c r="V20" s="226"/>
      <c r="W20" s="234"/>
      <c r="X20" s="80">
        <v>78</v>
      </c>
    </row>
    <row r="21" spans="1:24" s="80" customFormat="1" ht="75" x14ac:dyDescent="0.25">
      <c r="A21" s="237">
        <v>9</v>
      </c>
      <c r="B21" s="251" t="s">
        <v>56</v>
      </c>
      <c r="C21" s="232" t="s">
        <v>147</v>
      </c>
      <c r="D21" s="251" t="s">
        <v>158</v>
      </c>
      <c r="E21" s="229" t="s">
        <v>270</v>
      </c>
      <c r="F21" s="249">
        <v>45407</v>
      </c>
      <c r="G21" s="232" t="s">
        <v>271</v>
      </c>
      <c r="H21" s="233">
        <v>3000</v>
      </c>
      <c r="I21" s="236">
        <f>IF(X21 = 79, H21 + SUM(S21:S21) - SUM(T21:T21) - SUM(P21:P21) - V21,0)</f>
        <v>0</v>
      </c>
      <c r="J21" s="232" t="s">
        <v>272</v>
      </c>
      <c r="K21" s="232" t="s">
        <v>273</v>
      </c>
      <c r="L21" s="232" t="s">
        <v>147</v>
      </c>
      <c r="M21" s="232" t="s">
        <v>274</v>
      </c>
      <c r="N21" s="249">
        <v>45407</v>
      </c>
      <c r="O21" s="252" t="s">
        <v>302</v>
      </c>
      <c r="P21" s="239">
        <v>3000</v>
      </c>
      <c r="Q21" s="235">
        <v>45415</v>
      </c>
      <c r="R21" s="232"/>
      <c r="S21" s="233"/>
      <c r="T21" s="233"/>
      <c r="U21" s="233"/>
      <c r="V21" s="226"/>
      <c r="W21" s="234"/>
      <c r="X21" s="80">
        <v>79</v>
      </c>
    </row>
    <row r="22" spans="1:24" s="80" customFormat="1" ht="93.75" x14ac:dyDescent="0.25">
      <c r="A22" s="237">
        <v>10</v>
      </c>
      <c r="B22" s="251" t="s">
        <v>56</v>
      </c>
      <c r="C22" s="232" t="s">
        <v>147</v>
      </c>
      <c r="D22" s="251" t="s">
        <v>158</v>
      </c>
      <c r="E22" s="229" t="s">
        <v>282</v>
      </c>
      <c r="F22" s="249">
        <v>45378</v>
      </c>
      <c r="G22" s="232" t="s">
        <v>332</v>
      </c>
      <c r="H22" s="233">
        <v>4265.5</v>
      </c>
      <c r="I22" s="236">
        <f>IF(X22 = 80, H22 + SUM(S22:S22) - SUM(T22:T22) - SUM(P22:P22) - V22,0)</f>
        <v>0</v>
      </c>
      <c r="J22" s="232" t="s">
        <v>283</v>
      </c>
      <c r="K22" s="232" t="s">
        <v>284</v>
      </c>
      <c r="L22" s="232" t="s">
        <v>147</v>
      </c>
      <c r="M22" s="232" t="s">
        <v>285</v>
      </c>
      <c r="N22" s="249">
        <v>45405</v>
      </c>
      <c r="O22" s="252" t="s">
        <v>303</v>
      </c>
      <c r="P22" s="239">
        <v>4265.5</v>
      </c>
      <c r="Q22" s="235">
        <v>45435</v>
      </c>
      <c r="R22" s="232"/>
      <c r="S22" s="233"/>
      <c r="T22" s="233"/>
      <c r="U22" s="233"/>
      <c r="V22" s="226"/>
      <c r="W22" s="234"/>
      <c r="X22" s="80">
        <v>80</v>
      </c>
    </row>
    <row r="23" spans="1:24" s="80" customFormat="1" ht="75" x14ac:dyDescent="0.25">
      <c r="A23" s="247">
        <v>11</v>
      </c>
      <c r="B23" s="251" t="s">
        <v>56</v>
      </c>
      <c r="C23" s="246" t="s">
        <v>147</v>
      </c>
      <c r="D23" s="251" t="s">
        <v>158</v>
      </c>
      <c r="E23" s="229" t="s">
        <v>286</v>
      </c>
      <c r="F23" s="250">
        <v>45371</v>
      </c>
      <c r="G23" s="246" t="s">
        <v>287</v>
      </c>
      <c r="H23" s="244">
        <v>7000</v>
      </c>
      <c r="I23" s="245">
        <f>IF(X23 = 81, H23 + SUM(S23:S23) - SUM(T23:T23) - SUM(P23:P23) - V23,0)</f>
        <v>0</v>
      </c>
      <c r="J23" s="246" t="s">
        <v>288</v>
      </c>
      <c r="K23" s="246" t="s">
        <v>289</v>
      </c>
      <c r="L23" s="246" t="s">
        <v>147</v>
      </c>
      <c r="M23" s="246" t="s">
        <v>290</v>
      </c>
      <c r="N23" s="250">
        <v>45436</v>
      </c>
      <c r="O23" s="252" t="s">
        <v>302</v>
      </c>
      <c r="P23" s="239">
        <v>7000</v>
      </c>
      <c r="Q23" s="243">
        <v>45446</v>
      </c>
      <c r="R23" s="246"/>
      <c r="S23" s="244"/>
      <c r="T23" s="244"/>
      <c r="U23" s="244"/>
      <c r="V23" s="226"/>
      <c r="W23" s="248"/>
      <c r="X23" s="80">
        <v>81</v>
      </c>
    </row>
    <row r="24" spans="1:24" s="80" customFormat="1" ht="75" x14ac:dyDescent="0.25">
      <c r="A24" s="327">
        <v>12</v>
      </c>
      <c r="B24" s="251" t="s">
        <v>56</v>
      </c>
      <c r="C24" s="329" t="s">
        <v>147</v>
      </c>
      <c r="D24" s="251" t="s">
        <v>158</v>
      </c>
      <c r="E24" s="333" t="s">
        <v>196</v>
      </c>
      <c r="F24" s="335">
        <v>45433</v>
      </c>
      <c r="G24" s="329" t="s">
        <v>299</v>
      </c>
      <c r="H24" s="328">
        <v>800</v>
      </c>
      <c r="I24" s="332">
        <f>IF(X24 = 82, H24 + SUM(S24:S24) - SUM(T24:T24) - SUM(P24:P24) - V24,0)</f>
        <v>0</v>
      </c>
      <c r="J24" s="329" t="s">
        <v>300</v>
      </c>
      <c r="K24" s="329" t="s">
        <v>301</v>
      </c>
      <c r="L24" s="329" t="s">
        <v>147</v>
      </c>
      <c r="M24" s="329" t="s">
        <v>290</v>
      </c>
      <c r="N24" s="335">
        <v>45436</v>
      </c>
      <c r="O24" s="252" t="s">
        <v>302</v>
      </c>
      <c r="P24" s="364">
        <v>800</v>
      </c>
      <c r="Q24" s="331">
        <v>45450</v>
      </c>
      <c r="R24" s="329"/>
      <c r="S24" s="328"/>
      <c r="T24" s="328"/>
      <c r="U24" s="328"/>
      <c r="V24" s="334"/>
      <c r="W24" s="330"/>
      <c r="X24" s="80">
        <v>82</v>
      </c>
    </row>
    <row r="25" spans="1:24" s="80" customFormat="1" ht="72" customHeight="1" x14ac:dyDescent="0.25">
      <c r="A25" s="917">
        <v>13</v>
      </c>
      <c r="B25" s="923" t="s">
        <v>56</v>
      </c>
      <c r="C25" s="923" t="s">
        <v>147</v>
      </c>
      <c r="D25" s="923" t="s">
        <v>158</v>
      </c>
      <c r="E25" s="927">
        <v>34550724</v>
      </c>
      <c r="F25" s="919">
        <v>45474</v>
      </c>
      <c r="G25" s="923" t="s">
        <v>215</v>
      </c>
      <c r="H25" s="921">
        <v>71210.16</v>
      </c>
      <c r="I25" s="929">
        <f>IF(X25 = 83, H25 + SUM(S25:S26) - SUM(T25:T26) - SUM(P25:P26) - V25,0)</f>
        <v>0</v>
      </c>
      <c r="J25" s="923" t="s">
        <v>193</v>
      </c>
      <c r="K25" s="923" t="s">
        <v>308</v>
      </c>
      <c r="L25" s="923" t="s">
        <v>147</v>
      </c>
      <c r="M25" s="923" t="s">
        <v>309</v>
      </c>
      <c r="N25" s="602">
        <v>45504</v>
      </c>
      <c r="O25" s="919" t="s">
        <v>302</v>
      </c>
      <c r="P25" s="591">
        <v>3198</v>
      </c>
      <c r="Q25" s="592">
        <v>45510</v>
      </c>
      <c r="R25" s="593"/>
      <c r="S25" s="594"/>
      <c r="T25" s="594"/>
      <c r="U25" s="921" t="s">
        <v>419</v>
      </c>
      <c r="V25" s="925">
        <v>33391.660000000003</v>
      </c>
      <c r="W25" s="842"/>
      <c r="X25" s="80">
        <v>83</v>
      </c>
    </row>
    <row r="26" spans="1:24" s="110" customFormat="1" x14ac:dyDescent="0.25">
      <c r="A26" s="918"/>
      <c r="B26" s="924"/>
      <c r="C26" s="924"/>
      <c r="D26" s="924"/>
      <c r="E26" s="928"/>
      <c r="F26" s="920"/>
      <c r="G26" s="924"/>
      <c r="H26" s="922"/>
      <c r="I26" s="930"/>
      <c r="J26" s="924"/>
      <c r="K26" s="924"/>
      <c r="L26" s="924"/>
      <c r="M26" s="924"/>
      <c r="N26" s="603">
        <v>45565</v>
      </c>
      <c r="O26" s="920"/>
      <c r="P26" s="742">
        <v>34620.5</v>
      </c>
      <c r="Q26" s="599">
        <v>45572</v>
      </c>
      <c r="R26" s="600"/>
      <c r="S26" s="598"/>
      <c r="T26" s="598"/>
      <c r="U26" s="922"/>
      <c r="V26" s="926"/>
      <c r="W26" s="843"/>
      <c r="X26" s="110">
        <v>83</v>
      </c>
    </row>
    <row r="27" spans="1:24" s="80" customFormat="1" ht="75" x14ac:dyDescent="0.25">
      <c r="A27" s="390">
        <v>14</v>
      </c>
      <c r="B27" s="251" t="s">
        <v>56</v>
      </c>
      <c r="C27" s="384" t="s">
        <v>147</v>
      </c>
      <c r="D27" s="251" t="s">
        <v>158</v>
      </c>
      <c r="E27" s="385" t="s">
        <v>326</v>
      </c>
      <c r="F27" s="399">
        <v>45478</v>
      </c>
      <c r="G27" s="384" t="s">
        <v>327</v>
      </c>
      <c r="H27" s="386">
        <v>18311</v>
      </c>
      <c r="I27" s="389">
        <f>IF(X27 = 84, H27 + SUM(S27:S27) - SUM(T27:T27) - SUM(P27:P27) - V27,0)</f>
        <v>0</v>
      </c>
      <c r="J27" s="384" t="s">
        <v>328</v>
      </c>
      <c r="K27" s="384" t="s">
        <v>333</v>
      </c>
      <c r="L27" s="384" t="s">
        <v>147</v>
      </c>
      <c r="M27" s="384" t="s">
        <v>334</v>
      </c>
      <c r="N27" s="399">
        <v>45482</v>
      </c>
      <c r="O27" s="252" t="s">
        <v>302</v>
      </c>
      <c r="P27" s="477">
        <v>18311</v>
      </c>
      <c r="Q27" s="398">
        <v>45484</v>
      </c>
      <c r="R27" s="384"/>
      <c r="S27" s="386"/>
      <c r="T27" s="386"/>
      <c r="U27" s="386"/>
      <c r="V27" s="387"/>
      <c r="W27" s="388"/>
      <c r="X27" s="80">
        <v>84</v>
      </c>
    </row>
    <row r="28" spans="1:24" s="80" customFormat="1" ht="93.75" x14ac:dyDescent="0.25">
      <c r="A28" s="391">
        <v>15</v>
      </c>
      <c r="B28" s="251" t="s">
        <v>56</v>
      </c>
      <c r="C28" s="392" t="s">
        <v>147</v>
      </c>
      <c r="D28" s="251" t="s">
        <v>158</v>
      </c>
      <c r="E28" s="397">
        <v>4.416666666666667</v>
      </c>
      <c r="F28" s="400">
        <v>45450</v>
      </c>
      <c r="G28" s="392" t="s">
        <v>329</v>
      </c>
      <c r="H28" s="393">
        <v>78016</v>
      </c>
      <c r="I28" s="396">
        <f>IF(X28 = 85, H28 + SUM(S28:S28) - SUM(T28:T28) - SUM(P28:P28) - V28,0)</f>
        <v>0</v>
      </c>
      <c r="J28" s="392" t="s">
        <v>330</v>
      </c>
      <c r="K28" s="392" t="s">
        <v>331</v>
      </c>
      <c r="L28" s="392" t="s">
        <v>147</v>
      </c>
      <c r="M28" s="392" t="s">
        <v>358</v>
      </c>
      <c r="N28" s="400">
        <v>45496</v>
      </c>
      <c r="O28" s="252" t="s">
        <v>361</v>
      </c>
      <c r="P28" s="477">
        <v>78016</v>
      </c>
      <c r="Q28" s="398">
        <v>45499</v>
      </c>
      <c r="R28" s="392"/>
      <c r="S28" s="393"/>
      <c r="T28" s="393"/>
      <c r="U28" s="393"/>
      <c r="V28" s="394"/>
      <c r="W28" s="395"/>
      <c r="X28" s="80">
        <v>85</v>
      </c>
    </row>
    <row r="29" spans="1:24" s="80" customFormat="1" ht="225" x14ac:dyDescent="0.25">
      <c r="A29" s="411">
        <v>16</v>
      </c>
      <c r="B29" s="251" t="s">
        <v>56</v>
      </c>
      <c r="C29" s="402" t="s">
        <v>147</v>
      </c>
      <c r="D29" s="251" t="s">
        <v>158</v>
      </c>
      <c r="E29" s="412" t="s">
        <v>359</v>
      </c>
      <c r="F29" s="414" t="s">
        <v>335</v>
      </c>
      <c r="G29" s="402" t="s">
        <v>336</v>
      </c>
      <c r="H29" s="404">
        <v>33000</v>
      </c>
      <c r="I29" s="405">
        <f>IF(X29 = 86, H29 + SUM(S29:S29) - SUM(T29:T29) - SUM(P29:P29) - V29,0)</f>
        <v>0</v>
      </c>
      <c r="J29" s="402" t="s">
        <v>337</v>
      </c>
      <c r="K29" s="402" t="s">
        <v>338</v>
      </c>
      <c r="L29" s="402" t="s">
        <v>147</v>
      </c>
      <c r="M29" s="402" t="s">
        <v>339</v>
      </c>
      <c r="N29" s="414">
        <v>45479</v>
      </c>
      <c r="O29" s="414" t="s">
        <v>302</v>
      </c>
      <c r="P29" s="478">
        <v>33000</v>
      </c>
      <c r="Q29" s="403">
        <v>45484</v>
      </c>
      <c r="R29" s="402"/>
      <c r="S29" s="404"/>
      <c r="T29" s="404"/>
      <c r="U29" s="404"/>
      <c r="V29" s="413"/>
      <c r="W29" s="401"/>
      <c r="X29" s="80">
        <v>86</v>
      </c>
    </row>
    <row r="30" spans="1:24" s="80" customFormat="1" ht="75" x14ac:dyDescent="0.25">
      <c r="A30" s="411">
        <v>17</v>
      </c>
      <c r="B30" s="406" t="s">
        <v>56</v>
      </c>
      <c r="C30" s="406" t="s">
        <v>147</v>
      </c>
      <c r="D30" s="406" t="s">
        <v>158</v>
      </c>
      <c r="E30" s="412">
        <v>13</v>
      </c>
      <c r="F30" s="421">
        <v>45483</v>
      </c>
      <c r="G30" s="406" t="s">
        <v>340</v>
      </c>
      <c r="H30" s="409">
        <v>30000</v>
      </c>
      <c r="I30" s="410">
        <f>IF(X30 = 87, H30 + SUM(S30:S30) - SUM(T30:T30) - SUM(P30:P30) - V30,0)</f>
        <v>0</v>
      </c>
      <c r="J30" s="406" t="s">
        <v>341</v>
      </c>
      <c r="K30" s="406" t="s">
        <v>342</v>
      </c>
      <c r="L30" s="406" t="s">
        <v>147</v>
      </c>
      <c r="M30" s="406" t="s">
        <v>343</v>
      </c>
      <c r="N30" s="421">
        <v>45483</v>
      </c>
      <c r="O30" s="421" t="s">
        <v>302</v>
      </c>
      <c r="P30" s="478">
        <v>30000</v>
      </c>
      <c r="Q30" s="408">
        <v>45484</v>
      </c>
      <c r="R30" s="406"/>
      <c r="S30" s="409"/>
      <c r="T30" s="409"/>
      <c r="U30" s="409"/>
      <c r="V30" s="413"/>
      <c r="W30" s="407"/>
      <c r="X30" s="80">
        <v>87</v>
      </c>
    </row>
    <row r="31" spans="1:24" s="80" customFormat="1" ht="75" x14ac:dyDescent="0.25">
      <c r="A31" s="411">
        <v>18</v>
      </c>
      <c r="B31" s="430" t="s">
        <v>56</v>
      </c>
      <c r="C31" s="430" t="s">
        <v>147</v>
      </c>
      <c r="D31" s="417" t="s">
        <v>158</v>
      </c>
      <c r="E31" s="412">
        <v>14</v>
      </c>
      <c r="F31" s="422">
        <v>45484</v>
      </c>
      <c r="G31" s="417" t="s">
        <v>347</v>
      </c>
      <c r="H31" s="419">
        <v>28846.5</v>
      </c>
      <c r="I31" s="420">
        <f>IF(X31 = 89, H31 + SUM(S31:S31) - SUM(T31:T31) - SUM(P31:P31) - V31,0)</f>
        <v>0</v>
      </c>
      <c r="J31" s="417" t="s">
        <v>341</v>
      </c>
      <c r="K31" s="417" t="s">
        <v>342</v>
      </c>
      <c r="L31" s="417" t="s">
        <v>147</v>
      </c>
      <c r="M31" s="417" t="s">
        <v>343</v>
      </c>
      <c r="N31" s="422">
        <v>45484</v>
      </c>
      <c r="O31" s="421" t="s">
        <v>302</v>
      </c>
      <c r="P31" s="478">
        <v>28846.5</v>
      </c>
      <c r="Q31" s="418">
        <v>45484</v>
      </c>
      <c r="R31" s="417"/>
      <c r="S31" s="419"/>
      <c r="T31" s="419"/>
      <c r="U31" s="419"/>
      <c r="V31" s="413"/>
      <c r="W31" s="416"/>
      <c r="X31" s="80">
        <v>89</v>
      </c>
    </row>
    <row r="32" spans="1:24" s="80" customFormat="1" ht="131.25" x14ac:dyDescent="0.25">
      <c r="A32" s="436">
        <v>19</v>
      </c>
      <c r="B32" s="430" t="s">
        <v>56</v>
      </c>
      <c r="C32" s="430" t="s">
        <v>147</v>
      </c>
      <c r="D32" s="430" t="s">
        <v>158</v>
      </c>
      <c r="E32" s="442" t="s">
        <v>351</v>
      </c>
      <c r="F32" s="444">
        <v>45464</v>
      </c>
      <c r="G32" s="434" t="s">
        <v>352</v>
      </c>
      <c r="H32" s="432">
        <v>6600</v>
      </c>
      <c r="I32" s="437">
        <f>IF(X32 = 91, H32 + SUM(S32:S32) - SUM(T32:T32) - SUM(P32:P32) - V32,0)</f>
        <v>0</v>
      </c>
      <c r="J32" s="434" t="s">
        <v>353</v>
      </c>
      <c r="K32" s="434" t="s">
        <v>357</v>
      </c>
      <c r="L32" s="434" t="s">
        <v>147</v>
      </c>
      <c r="M32" s="434" t="s">
        <v>355</v>
      </c>
      <c r="N32" s="444">
        <v>45485</v>
      </c>
      <c r="O32" s="435" t="s">
        <v>354</v>
      </c>
      <c r="P32" s="479">
        <v>6600</v>
      </c>
      <c r="Q32" s="433">
        <v>45492</v>
      </c>
      <c r="R32" s="434"/>
      <c r="S32" s="432"/>
      <c r="T32" s="432"/>
      <c r="U32" s="432"/>
      <c r="V32" s="443"/>
      <c r="W32" s="441"/>
      <c r="X32" s="80">
        <v>91</v>
      </c>
    </row>
    <row r="33" spans="1:24" s="80" customFormat="1" ht="93.75" x14ac:dyDescent="0.25">
      <c r="A33" s="436">
        <v>20</v>
      </c>
      <c r="B33" s="430" t="s">
        <v>56</v>
      </c>
      <c r="C33" s="430" t="s">
        <v>147</v>
      </c>
      <c r="D33" s="430" t="s">
        <v>158</v>
      </c>
      <c r="E33" s="442">
        <v>10</v>
      </c>
      <c r="F33" s="444">
        <v>45484</v>
      </c>
      <c r="G33" s="434" t="s">
        <v>344</v>
      </c>
      <c r="H33" s="432">
        <v>31000</v>
      </c>
      <c r="I33" s="437">
        <f>IF(X33 = 92, H33 + SUM(S33:S33) - SUM(T33:T33) - SUM(P33:P33) - V33,0)</f>
        <v>0</v>
      </c>
      <c r="J33" s="434" t="s">
        <v>345</v>
      </c>
      <c r="K33" s="434" t="s">
        <v>346</v>
      </c>
      <c r="L33" s="434" t="s">
        <v>147</v>
      </c>
      <c r="M33" s="434" t="s">
        <v>343</v>
      </c>
      <c r="N33" s="444">
        <v>45484</v>
      </c>
      <c r="O33" s="444" t="s">
        <v>356</v>
      </c>
      <c r="P33" s="479">
        <v>31000</v>
      </c>
      <c r="Q33" s="433">
        <v>45484</v>
      </c>
      <c r="R33" s="434"/>
      <c r="S33" s="432"/>
      <c r="T33" s="432"/>
      <c r="U33" s="432"/>
      <c r="V33" s="443"/>
      <c r="W33" s="441"/>
      <c r="X33" s="80">
        <v>92</v>
      </c>
    </row>
    <row r="34" spans="1:24" s="80" customFormat="1" ht="93.75" x14ac:dyDescent="0.25">
      <c r="A34" s="436">
        <v>21</v>
      </c>
      <c r="B34" s="445" t="s">
        <v>56</v>
      </c>
      <c r="C34" s="434" t="s">
        <v>147</v>
      </c>
      <c r="D34" s="445" t="s">
        <v>158</v>
      </c>
      <c r="E34" s="442" t="s">
        <v>360</v>
      </c>
      <c r="F34" s="448">
        <v>45450</v>
      </c>
      <c r="G34" s="434" t="s">
        <v>329</v>
      </c>
      <c r="H34" s="432">
        <v>7342</v>
      </c>
      <c r="I34" s="437">
        <f>IF(X34 = 93, H34 + SUM(S34:S34) - SUM(T34:T34) - SUM(P34:P34) - V34,0)</f>
        <v>0</v>
      </c>
      <c r="J34" s="434" t="s">
        <v>330</v>
      </c>
      <c r="K34" s="434" t="s">
        <v>331</v>
      </c>
      <c r="L34" s="434" t="s">
        <v>147</v>
      </c>
      <c r="M34" s="434" t="s">
        <v>358</v>
      </c>
      <c r="N34" s="448">
        <v>45496</v>
      </c>
      <c r="O34" s="448" t="s">
        <v>361</v>
      </c>
      <c r="P34" s="479">
        <v>7342</v>
      </c>
      <c r="Q34" s="433">
        <v>45502</v>
      </c>
      <c r="R34" s="434"/>
      <c r="S34" s="432"/>
      <c r="T34" s="432"/>
      <c r="U34" s="432"/>
      <c r="V34" s="443"/>
      <c r="W34" s="441"/>
      <c r="X34" s="80">
        <v>93</v>
      </c>
    </row>
    <row r="35" spans="1:24" s="80" customFormat="1" ht="93.75" x14ac:dyDescent="0.25">
      <c r="A35" s="451">
        <v>22</v>
      </c>
      <c r="B35" s="450" t="s">
        <v>56</v>
      </c>
      <c r="C35" s="452" t="s">
        <v>147</v>
      </c>
      <c r="D35" s="450" t="s">
        <v>158</v>
      </c>
      <c r="E35" s="464" t="s">
        <v>366</v>
      </c>
      <c r="F35" s="466">
        <v>45489</v>
      </c>
      <c r="G35" s="452" t="s">
        <v>367</v>
      </c>
      <c r="H35" s="454">
        <v>4950</v>
      </c>
      <c r="I35" s="455">
        <f>IF(X35 = 94, H35 + SUM(S35:S35) - SUM(T35:T35) - SUM(P35:P35) - V35,0)</f>
        <v>0</v>
      </c>
      <c r="J35" s="452" t="s">
        <v>368</v>
      </c>
      <c r="K35" s="452" t="s">
        <v>369</v>
      </c>
      <c r="L35" s="452" t="s">
        <v>147</v>
      </c>
      <c r="M35" s="452" t="s">
        <v>370</v>
      </c>
      <c r="N35" s="466">
        <v>45489</v>
      </c>
      <c r="O35" s="466" t="s">
        <v>354</v>
      </c>
      <c r="P35" s="480">
        <v>4950</v>
      </c>
      <c r="Q35" s="453">
        <v>45499</v>
      </c>
      <c r="R35" s="452"/>
      <c r="S35" s="454"/>
      <c r="T35" s="454"/>
      <c r="U35" s="454"/>
      <c r="V35" s="465"/>
      <c r="W35" s="456"/>
      <c r="X35" s="80">
        <v>94</v>
      </c>
    </row>
    <row r="36" spans="1:24" s="80" customFormat="1" ht="93.75" x14ac:dyDescent="0.25">
      <c r="A36" s="457">
        <v>23</v>
      </c>
      <c r="B36" s="463" t="s">
        <v>56</v>
      </c>
      <c r="C36" s="459" t="s">
        <v>147</v>
      </c>
      <c r="D36" s="463" t="s">
        <v>158</v>
      </c>
      <c r="E36" s="464">
        <v>1144</v>
      </c>
      <c r="F36" s="474">
        <v>45489</v>
      </c>
      <c r="G36" s="459" t="s">
        <v>371</v>
      </c>
      <c r="H36" s="458">
        <v>1000</v>
      </c>
      <c r="I36" s="462">
        <f>IF(X36 = 95, H36 + SUM(S36:S36) - SUM(T36:T36) - SUM(P36:P36) - V36,0)</f>
        <v>0</v>
      </c>
      <c r="J36" s="459" t="s">
        <v>372</v>
      </c>
      <c r="K36" s="459" t="s">
        <v>373</v>
      </c>
      <c r="L36" s="459" t="s">
        <v>147</v>
      </c>
      <c r="M36" s="459" t="s">
        <v>374</v>
      </c>
      <c r="N36" s="474">
        <v>45489</v>
      </c>
      <c r="O36" s="466" t="s">
        <v>354</v>
      </c>
      <c r="P36" s="480">
        <v>1000</v>
      </c>
      <c r="Q36" s="461">
        <v>45499</v>
      </c>
      <c r="R36" s="459"/>
      <c r="S36" s="458"/>
      <c r="T36" s="458"/>
      <c r="U36" s="458"/>
      <c r="V36" s="465"/>
      <c r="W36" s="460"/>
      <c r="X36" s="80">
        <v>95</v>
      </c>
    </row>
    <row r="37" spans="1:24" s="80" customFormat="1" ht="93.75" x14ac:dyDescent="0.25">
      <c r="A37" s="468">
        <v>24</v>
      </c>
      <c r="B37" s="467" t="s">
        <v>56</v>
      </c>
      <c r="C37" s="470" t="s">
        <v>147</v>
      </c>
      <c r="D37" s="467" t="s">
        <v>158</v>
      </c>
      <c r="E37" s="464">
        <v>531</v>
      </c>
      <c r="F37" s="475">
        <v>45492</v>
      </c>
      <c r="G37" s="470" t="s">
        <v>375</v>
      </c>
      <c r="H37" s="469">
        <v>15299.3</v>
      </c>
      <c r="I37" s="473">
        <f>IF(X37 = 96, H37 + SUM(S37:S37) - SUM(T37:T37) - SUM(P37:P37) - V37,0)</f>
        <v>0</v>
      </c>
      <c r="J37" s="470" t="s">
        <v>376</v>
      </c>
      <c r="K37" s="470" t="s">
        <v>377</v>
      </c>
      <c r="L37" s="470" t="s">
        <v>147</v>
      </c>
      <c r="M37" s="470" t="s">
        <v>378</v>
      </c>
      <c r="N37" s="475">
        <v>45492</v>
      </c>
      <c r="O37" s="475" t="s">
        <v>361</v>
      </c>
      <c r="P37" s="480">
        <v>15299.3</v>
      </c>
      <c r="Q37" s="472">
        <v>45499</v>
      </c>
      <c r="R37" s="470"/>
      <c r="S37" s="469"/>
      <c r="T37" s="469"/>
      <c r="U37" s="469"/>
      <c r="V37" s="465"/>
      <c r="W37" s="471"/>
      <c r="X37" s="80">
        <v>96</v>
      </c>
    </row>
    <row r="38" spans="1:24" s="80" customFormat="1" ht="90" customHeight="1" x14ac:dyDescent="0.25">
      <c r="A38" s="931">
        <v>25</v>
      </c>
      <c r="B38" s="892" t="s">
        <v>56</v>
      </c>
      <c r="C38" s="892" t="s">
        <v>147</v>
      </c>
      <c r="D38" s="892" t="s">
        <v>158</v>
      </c>
      <c r="E38" s="898">
        <v>210009817619</v>
      </c>
      <c r="F38" s="901">
        <v>45481</v>
      </c>
      <c r="G38" s="892" t="s">
        <v>385</v>
      </c>
      <c r="H38" s="856">
        <v>3294</v>
      </c>
      <c r="I38" s="904">
        <f>IF(X38 = 97, H38 + SUM(S38:S40) - SUM(T38:T40) - SUM(P38:P40) - V38,0)</f>
        <v>3096</v>
      </c>
      <c r="J38" s="892" t="s">
        <v>386</v>
      </c>
      <c r="K38" s="892" t="s">
        <v>387</v>
      </c>
      <c r="L38" s="892" t="s">
        <v>147</v>
      </c>
      <c r="M38" s="892" t="s">
        <v>388</v>
      </c>
      <c r="N38" s="630">
        <v>45504</v>
      </c>
      <c r="O38" s="901" t="s">
        <v>361</v>
      </c>
      <c r="P38" s="619">
        <v>66</v>
      </c>
      <c r="Q38" s="620">
        <v>45524</v>
      </c>
      <c r="R38" s="621"/>
      <c r="S38" s="622"/>
      <c r="T38" s="622"/>
      <c r="U38" s="856"/>
      <c r="V38" s="895"/>
      <c r="W38" s="839"/>
      <c r="X38" s="80">
        <v>97</v>
      </c>
    </row>
    <row r="39" spans="1:24" s="110" customFormat="1" x14ac:dyDescent="0.25">
      <c r="A39" s="932"/>
      <c r="B39" s="893"/>
      <c r="C39" s="893"/>
      <c r="D39" s="893"/>
      <c r="E39" s="899"/>
      <c r="F39" s="902"/>
      <c r="G39" s="893"/>
      <c r="H39" s="857"/>
      <c r="I39" s="905"/>
      <c r="J39" s="893"/>
      <c r="K39" s="893"/>
      <c r="L39" s="893"/>
      <c r="M39" s="893"/>
      <c r="N39" s="631">
        <v>45535</v>
      </c>
      <c r="O39" s="902"/>
      <c r="P39" s="623">
        <v>66</v>
      </c>
      <c r="Q39" s="624">
        <v>45551</v>
      </c>
      <c r="R39" s="625"/>
      <c r="S39" s="626"/>
      <c r="T39" s="626"/>
      <c r="U39" s="857"/>
      <c r="V39" s="896"/>
      <c r="W39" s="840"/>
      <c r="X39" s="110">
        <v>97</v>
      </c>
    </row>
    <row r="40" spans="1:24" s="110" customFormat="1" x14ac:dyDescent="0.25">
      <c r="A40" s="933"/>
      <c r="B40" s="894"/>
      <c r="C40" s="894"/>
      <c r="D40" s="894"/>
      <c r="E40" s="900"/>
      <c r="F40" s="903"/>
      <c r="G40" s="894"/>
      <c r="H40" s="858"/>
      <c r="I40" s="906"/>
      <c r="J40" s="894"/>
      <c r="K40" s="894"/>
      <c r="L40" s="894"/>
      <c r="M40" s="894"/>
      <c r="N40" s="632">
        <v>45565</v>
      </c>
      <c r="O40" s="903"/>
      <c r="P40" s="743">
        <v>66</v>
      </c>
      <c r="Q40" s="628">
        <v>45579</v>
      </c>
      <c r="R40" s="629"/>
      <c r="S40" s="627"/>
      <c r="T40" s="627"/>
      <c r="U40" s="858"/>
      <c r="V40" s="897"/>
      <c r="W40" s="841"/>
      <c r="X40" s="110">
        <v>97</v>
      </c>
    </row>
    <row r="41" spans="1:24" s="80" customFormat="1" ht="93.75" x14ac:dyDescent="0.25">
      <c r="A41" s="507">
        <v>26</v>
      </c>
      <c r="B41" s="481" t="s">
        <v>56</v>
      </c>
      <c r="C41" s="510" t="s">
        <v>147</v>
      </c>
      <c r="D41" s="481" t="s">
        <v>158</v>
      </c>
      <c r="E41" s="508">
        <v>3</v>
      </c>
      <c r="F41" s="515">
        <v>45504</v>
      </c>
      <c r="G41" s="510" t="s">
        <v>389</v>
      </c>
      <c r="H41" s="513">
        <v>11809</v>
      </c>
      <c r="I41" s="514">
        <f>IF(X41 = 98, H41 + SUM(S41:S41) - SUM(T41:T41) - SUM(P41:P41) - V41,0)</f>
        <v>0</v>
      </c>
      <c r="J41" s="510" t="s">
        <v>341</v>
      </c>
      <c r="K41" s="510" t="s">
        <v>342</v>
      </c>
      <c r="L41" s="510" t="s">
        <v>147</v>
      </c>
      <c r="M41" s="510" t="s">
        <v>343</v>
      </c>
      <c r="N41" s="515">
        <v>45504</v>
      </c>
      <c r="O41" s="515" t="s">
        <v>356</v>
      </c>
      <c r="P41" s="525">
        <v>11809</v>
      </c>
      <c r="Q41" s="512">
        <v>45510</v>
      </c>
      <c r="R41" s="510"/>
      <c r="S41" s="513"/>
      <c r="T41" s="513"/>
      <c r="U41" s="513"/>
      <c r="V41" s="509"/>
      <c r="W41" s="511"/>
      <c r="X41" s="80">
        <v>98</v>
      </c>
    </row>
    <row r="42" spans="1:24" s="80" customFormat="1" ht="93.75" x14ac:dyDescent="0.25">
      <c r="A42" s="518">
        <v>27</v>
      </c>
      <c r="B42" s="481" t="s">
        <v>56</v>
      </c>
      <c r="C42" s="519" t="s">
        <v>147</v>
      </c>
      <c r="D42" s="481" t="s">
        <v>158</v>
      </c>
      <c r="E42" s="519" t="s">
        <v>393</v>
      </c>
      <c r="F42" s="528">
        <v>45516</v>
      </c>
      <c r="G42" s="519" t="s">
        <v>390</v>
      </c>
      <c r="H42" s="521">
        <v>15848</v>
      </c>
      <c r="I42" s="522">
        <f>IF(X42 = 99, H42 + SUM(S42:S42) - SUM(T42:T42) - SUM(P42:P42) - V42,0)</f>
        <v>0</v>
      </c>
      <c r="J42" s="519" t="s">
        <v>345</v>
      </c>
      <c r="K42" s="519" t="s">
        <v>346</v>
      </c>
      <c r="L42" s="519" t="s">
        <v>147</v>
      </c>
      <c r="M42" s="516" t="s">
        <v>343</v>
      </c>
      <c r="N42" s="528">
        <v>45523</v>
      </c>
      <c r="O42" s="517" t="s">
        <v>356</v>
      </c>
      <c r="P42" s="523">
        <v>15848</v>
      </c>
      <c r="Q42" s="520">
        <v>45525</v>
      </c>
      <c r="R42" s="519"/>
      <c r="S42" s="521"/>
      <c r="T42" s="521"/>
      <c r="U42" s="521"/>
      <c r="V42" s="527"/>
      <c r="W42" s="524"/>
      <c r="X42" s="80">
        <v>99</v>
      </c>
    </row>
    <row r="43" spans="1:24" s="80" customFormat="1" ht="93.75" x14ac:dyDescent="0.25">
      <c r="A43" s="534">
        <v>28</v>
      </c>
      <c r="B43" s="481" t="s">
        <v>56</v>
      </c>
      <c r="C43" s="529" t="s">
        <v>147</v>
      </c>
      <c r="D43" s="481" t="s">
        <v>158</v>
      </c>
      <c r="E43" s="535">
        <v>15</v>
      </c>
      <c r="F43" s="537">
        <v>45531</v>
      </c>
      <c r="G43" s="529" t="s">
        <v>390</v>
      </c>
      <c r="H43" s="531">
        <v>4562</v>
      </c>
      <c r="I43" s="532">
        <f>IF(X43 = 100, H43 + SUM(S43:S43) - SUM(T43:T43) - SUM(P43:P43) - V43,0)</f>
        <v>0</v>
      </c>
      <c r="J43" s="529" t="s">
        <v>341</v>
      </c>
      <c r="K43" s="529" t="s">
        <v>342</v>
      </c>
      <c r="L43" s="529" t="s">
        <v>147</v>
      </c>
      <c r="M43" s="516" t="s">
        <v>343</v>
      </c>
      <c r="N43" s="537">
        <v>45531</v>
      </c>
      <c r="O43" s="517" t="s">
        <v>356</v>
      </c>
      <c r="P43" s="556">
        <v>4562</v>
      </c>
      <c r="Q43" s="530">
        <v>45540</v>
      </c>
      <c r="R43" s="529"/>
      <c r="S43" s="531"/>
      <c r="T43" s="531"/>
      <c r="U43" s="531"/>
      <c r="V43" s="536"/>
      <c r="W43" s="533"/>
      <c r="X43" s="80">
        <v>100</v>
      </c>
    </row>
    <row r="44" spans="1:24" s="80" customFormat="1" ht="93.75" x14ac:dyDescent="0.25">
      <c r="A44" s="534">
        <v>29</v>
      </c>
      <c r="B44" s="481" t="s">
        <v>56</v>
      </c>
      <c r="C44" s="538" t="s">
        <v>147</v>
      </c>
      <c r="D44" s="481" t="s">
        <v>158</v>
      </c>
      <c r="E44" s="543" t="s">
        <v>392</v>
      </c>
      <c r="F44" s="548">
        <v>45531</v>
      </c>
      <c r="G44" s="538" t="s">
        <v>390</v>
      </c>
      <c r="H44" s="541">
        <v>7157</v>
      </c>
      <c r="I44" s="542">
        <f>IF(X44 = 101, H44 + SUM(S44:S44) - SUM(T44:T44) - SUM(P44:P44) - V44,0)</f>
        <v>0</v>
      </c>
      <c r="J44" s="538" t="s">
        <v>345</v>
      </c>
      <c r="K44" s="538" t="s">
        <v>346</v>
      </c>
      <c r="L44" s="538" t="s">
        <v>147</v>
      </c>
      <c r="M44" s="516" t="s">
        <v>343</v>
      </c>
      <c r="N44" s="548">
        <v>45531</v>
      </c>
      <c r="O44" s="517" t="s">
        <v>356</v>
      </c>
      <c r="P44" s="556">
        <v>7157</v>
      </c>
      <c r="Q44" s="540">
        <v>45538</v>
      </c>
      <c r="R44" s="538"/>
      <c r="S44" s="541"/>
      <c r="T44" s="541"/>
      <c r="U44" s="541"/>
      <c r="V44" s="536"/>
      <c r="W44" s="539"/>
      <c r="X44" s="80">
        <v>101</v>
      </c>
    </row>
    <row r="45" spans="1:24" s="80" customFormat="1" ht="93.75" x14ac:dyDescent="0.25">
      <c r="A45" s="534">
        <v>30</v>
      </c>
      <c r="B45" s="481" t="s">
        <v>56</v>
      </c>
      <c r="C45" s="543" t="s">
        <v>147</v>
      </c>
      <c r="D45" s="481" t="s">
        <v>158</v>
      </c>
      <c r="E45" s="535" t="s">
        <v>394</v>
      </c>
      <c r="F45" s="554">
        <v>45533</v>
      </c>
      <c r="G45" s="543" t="s">
        <v>395</v>
      </c>
      <c r="H45" s="546">
        <v>19000</v>
      </c>
      <c r="I45" s="547">
        <f>IF(X45 = 102, H45 + SUM(S45:S45) - SUM(T45:T45) - SUM(P45:P45) - V45,0)</f>
        <v>0</v>
      </c>
      <c r="J45" s="543" t="s">
        <v>396</v>
      </c>
      <c r="K45" s="543" t="s">
        <v>397</v>
      </c>
      <c r="L45" s="543" t="s">
        <v>147</v>
      </c>
      <c r="M45" s="516" t="s">
        <v>343</v>
      </c>
      <c r="N45" s="554">
        <v>45533</v>
      </c>
      <c r="O45" s="517" t="s">
        <v>356</v>
      </c>
      <c r="P45" s="556">
        <v>19000</v>
      </c>
      <c r="Q45" s="545">
        <v>45540</v>
      </c>
      <c r="R45" s="543"/>
      <c r="S45" s="546"/>
      <c r="T45" s="546"/>
      <c r="U45" s="546"/>
      <c r="V45" s="536"/>
      <c r="W45" s="544"/>
      <c r="X45" s="80">
        <v>102</v>
      </c>
    </row>
    <row r="46" spans="1:24" s="80" customFormat="1" ht="93.75" x14ac:dyDescent="0.25">
      <c r="A46" s="534">
        <v>31</v>
      </c>
      <c r="B46" s="481" t="s">
        <v>56</v>
      </c>
      <c r="C46" s="549" t="s">
        <v>147</v>
      </c>
      <c r="D46" s="481" t="s">
        <v>158</v>
      </c>
      <c r="E46" s="535">
        <v>7882.73</v>
      </c>
      <c r="F46" s="555">
        <v>45535</v>
      </c>
      <c r="G46" s="549" t="s">
        <v>398</v>
      </c>
      <c r="H46" s="552">
        <v>7882.73</v>
      </c>
      <c r="I46" s="553">
        <f>IF(X46 = 103, H46 + SUM(S46:S46) - SUM(T46:T46) - SUM(P46:P46) - V46,0)</f>
        <v>0</v>
      </c>
      <c r="J46" s="549" t="s">
        <v>399</v>
      </c>
      <c r="K46" s="549" t="s">
        <v>400</v>
      </c>
      <c r="L46" s="549" t="s">
        <v>147</v>
      </c>
      <c r="M46" s="516" t="s">
        <v>343</v>
      </c>
      <c r="N46" s="555">
        <v>45535</v>
      </c>
      <c r="O46" s="517" t="s">
        <v>356</v>
      </c>
      <c r="P46" s="556">
        <v>7882.73</v>
      </c>
      <c r="Q46" s="551">
        <v>45540</v>
      </c>
      <c r="R46" s="549"/>
      <c r="S46" s="552"/>
      <c r="T46" s="552"/>
      <c r="U46" s="552"/>
      <c r="V46" s="536"/>
      <c r="W46" s="550"/>
      <c r="X46" s="80">
        <v>103</v>
      </c>
    </row>
    <row r="47" spans="1:24" s="80" customFormat="1" ht="409.6" customHeight="1" x14ac:dyDescent="0.25">
      <c r="A47" s="815">
        <v>32</v>
      </c>
      <c r="B47" s="824" t="s">
        <v>56</v>
      </c>
      <c r="C47" s="824" t="s">
        <v>147</v>
      </c>
      <c r="D47" s="824" t="s">
        <v>158</v>
      </c>
      <c r="E47" s="833">
        <v>23070500320</v>
      </c>
      <c r="F47" s="818">
        <v>45536</v>
      </c>
      <c r="G47" s="824" t="s">
        <v>151</v>
      </c>
      <c r="H47" s="821">
        <v>599000</v>
      </c>
      <c r="I47" s="836">
        <f>IF(X47 = 104, H47 + SUM(S47:S50) - SUM(T47:T50) - SUM(P47:P50) - V47,0)</f>
        <v>551570.73</v>
      </c>
      <c r="J47" s="824" t="s">
        <v>417</v>
      </c>
      <c r="K47" s="824" t="s">
        <v>152</v>
      </c>
      <c r="L47" s="824" t="s">
        <v>147</v>
      </c>
      <c r="M47" s="824" t="s">
        <v>418</v>
      </c>
      <c r="N47" s="644">
        <v>45536</v>
      </c>
      <c r="O47" s="818" t="s">
        <v>153</v>
      </c>
      <c r="P47" s="633">
        <v>6645.68</v>
      </c>
      <c r="Q47" s="634">
        <v>45537</v>
      </c>
      <c r="R47" s="635"/>
      <c r="S47" s="636"/>
      <c r="T47" s="636"/>
      <c r="U47" s="821"/>
      <c r="V47" s="827"/>
      <c r="W47" s="830"/>
      <c r="X47" s="80">
        <v>104</v>
      </c>
    </row>
    <row r="48" spans="1:24" s="110" customFormat="1" x14ac:dyDescent="0.25">
      <c r="A48" s="816"/>
      <c r="B48" s="825"/>
      <c r="C48" s="825"/>
      <c r="D48" s="825"/>
      <c r="E48" s="834"/>
      <c r="F48" s="819"/>
      <c r="G48" s="825"/>
      <c r="H48" s="822"/>
      <c r="I48" s="837"/>
      <c r="J48" s="825"/>
      <c r="K48" s="825"/>
      <c r="L48" s="825"/>
      <c r="M48" s="825"/>
      <c r="N48" s="645">
        <v>45536</v>
      </c>
      <c r="O48" s="819"/>
      <c r="P48" s="637">
        <v>9672.64</v>
      </c>
      <c r="Q48" s="638">
        <v>45551</v>
      </c>
      <c r="R48" s="639"/>
      <c r="S48" s="640"/>
      <c r="T48" s="640"/>
      <c r="U48" s="822"/>
      <c r="V48" s="828"/>
      <c r="W48" s="831"/>
      <c r="X48" s="110">
        <v>104</v>
      </c>
    </row>
    <row r="49" spans="1:24" s="110" customFormat="1" x14ac:dyDescent="0.25">
      <c r="A49" s="816"/>
      <c r="B49" s="825"/>
      <c r="C49" s="825"/>
      <c r="D49" s="825"/>
      <c r="E49" s="834"/>
      <c r="F49" s="819"/>
      <c r="G49" s="825"/>
      <c r="H49" s="822"/>
      <c r="I49" s="837"/>
      <c r="J49" s="825"/>
      <c r="K49" s="825"/>
      <c r="L49" s="825"/>
      <c r="M49" s="825"/>
      <c r="N49" s="645">
        <v>45566</v>
      </c>
      <c r="O49" s="819"/>
      <c r="P49" s="637">
        <v>17777.689999999999</v>
      </c>
      <c r="Q49" s="638"/>
      <c r="R49" s="639"/>
      <c r="S49" s="640"/>
      <c r="T49" s="640"/>
      <c r="U49" s="822"/>
      <c r="V49" s="828"/>
      <c r="W49" s="831"/>
      <c r="X49" s="110">
        <v>104</v>
      </c>
    </row>
    <row r="50" spans="1:24" s="110" customFormat="1" x14ac:dyDescent="0.25">
      <c r="A50" s="817"/>
      <c r="B50" s="826"/>
      <c r="C50" s="826"/>
      <c r="D50" s="826"/>
      <c r="E50" s="835"/>
      <c r="F50" s="820"/>
      <c r="G50" s="826"/>
      <c r="H50" s="823"/>
      <c r="I50" s="838"/>
      <c r="J50" s="826"/>
      <c r="K50" s="826"/>
      <c r="L50" s="826"/>
      <c r="M50" s="826"/>
      <c r="N50" s="646">
        <v>45597</v>
      </c>
      <c r="O50" s="820"/>
      <c r="P50" s="641">
        <v>13333.26</v>
      </c>
      <c r="Q50" s="642"/>
      <c r="R50" s="643"/>
      <c r="S50" s="641"/>
      <c r="T50" s="641"/>
      <c r="U50" s="823"/>
      <c r="V50" s="829"/>
      <c r="W50" s="832"/>
      <c r="X50" s="110">
        <v>104</v>
      </c>
    </row>
    <row r="51" spans="1:24" s="80" customFormat="1" ht="93.75" x14ac:dyDescent="0.25">
      <c r="A51" s="666">
        <v>33</v>
      </c>
      <c r="B51" s="663" t="s">
        <v>56</v>
      </c>
      <c r="C51" s="663" t="s">
        <v>147</v>
      </c>
      <c r="D51" s="663" t="s">
        <v>158</v>
      </c>
      <c r="E51" s="667" t="s">
        <v>424</v>
      </c>
      <c r="F51" s="669">
        <v>45580</v>
      </c>
      <c r="G51" s="663" t="s">
        <v>299</v>
      </c>
      <c r="H51" s="661">
        <v>2400</v>
      </c>
      <c r="I51" s="665">
        <f>IF(X51 = 105, H51 + SUM(S51:S51) - SUM(T51:T51) - SUM(P51:P51) - V51,0)</f>
        <v>0</v>
      </c>
      <c r="J51" s="663" t="s">
        <v>421</v>
      </c>
      <c r="K51" s="663" t="s">
        <v>422</v>
      </c>
      <c r="L51" s="663" t="s">
        <v>147</v>
      </c>
      <c r="M51" s="663" t="s">
        <v>423</v>
      </c>
      <c r="N51" s="669">
        <v>45582</v>
      </c>
      <c r="O51" s="669" t="s">
        <v>354</v>
      </c>
      <c r="P51" s="744">
        <v>2400</v>
      </c>
      <c r="Q51" s="664">
        <v>45595</v>
      </c>
      <c r="R51" s="663"/>
      <c r="S51" s="661"/>
      <c r="T51" s="661"/>
      <c r="U51" s="661"/>
      <c r="V51" s="668"/>
      <c r="W51" s="662"/>
      <c r="X51" s="80">
        <v>105</v>
      </c>
    </row>
    <row r="52" spans="1:24" s="80" customFormat="1" ht="90" customHeight="1" x14ac:dyDescent="0.25">
      <c r="A52" s="907">
        <v>34</v>
      </c>
      <c r="B52" s="913" t="s">
        <v>56</v>
      </c>
      <c r="C52" s="913" t="s">
        <v>147</v>
      </c>
      <c r="D52" s="913" t="s">
        <v>158</v>
      </c>
      <c r="E52" s="936" t="s">
        <v>425</v>
      </c>
      <c r="F52" s="909">
        <v>45592</v>
      </c>
      <c r="G52" s="913" t="s">
        <v>426</v>
      </c>
      <c r="H52" s="911">
        <v>9592.94</v>
      </c>
      <c r="I52" s="938">
        <f>IF(X52 = 106, H52 + SUM(S52:S53) - SUM(T52:T53) - SUM(P52:P53) - V52,0)</f>
        <v>0.63999999999941792</v>
      </c>
      <c r="J52" s="913" t="s">
        <v>427</v>
      </c>
      <c r="K52" s="913" t="s">
        <v>428</v>
      </c>
      <c r="L52" s="913" t="s">
        <v>147</v>
      </c>
      <c r="M52" s="913" t="s">
        <v>429</v>
      </c>
      <c r="N52" s="706">
        <v>45593</v>
      </c>
      <c r="O52" s="909" t="s">
        <v>354</v>
      </c>
      <c r="P52" s="707">
        <v>8355.2000000000007</v>
      </c>
      <c r="Q52" s="708"/>
      <c r="R52" s="709"/>
      <c r="S52" s="707"/>
      <c r="T52" s="707"/>
      <c r="U52" s="911"/>
      <c r="V52" s="915"/>
      <c r="W52" s="934"/>
      <c r="X52" s="80">
        <v>106</v>
      </c>
    </row>
    <row r="53" spans="1:24" s="110" customFormat="1" x14ac:dyDescent="0.25">
      <c r="A53" s="908"/>
      <c r="B53" s="914"/>
      <c r="C53" s="914"/>
      <c r="D53" s="914"/>
      <c r="E53" s="937"/>
      <c r="F53" s="910"/>
      <c r="G53" s="914"/>
      <c r="H53" s="912"/>
      <c r="I53" s="939"/>
      <c r="J53" s="914"/>
      <c r="K53" s="914"/>
      <c r="L53" s="914"/>
      <c r="M53" s="914"/>
      <c r="N53" s="710">
        <v>45593</v>
      </c>
      <c r="O53" s="910"/>
      <c r="P53" s="711">
        <v>1237.0999999999999</v>
      </c>
      <c r="Q53" s="712"/>
      <c r="R53" s="713"/>
      <c r="S53" s="711"/>
      <c r="T53" s="711"/>
      <c r="U53" s="912"/>
      <c r="V53" s="916"/>
      <c r="W53" s="935"/>
      <c r="X53" s="110">
        <v>106</v>
      </c>
    </row>
    <row r="54" spans="1:24" ht="37.5" hidden="1" x14ac:dyDescent="0.25">
      <c r="A54" s="101"/>
      <c r="B54" s="102" t="s">
        <v>56</v>
      </c>
      <c r="C54" s="102" t="s">
        <v>147</v>
      </c>
      <c r="D54" s="102"/>
      <c r="E54" s="415"/>
      <c r="F54" s="106"/>
      <c r="G54" s="102"/>
      <c r="H54" s="107"/>
      <c r="I54" s="108">
        <f>IF(X54 = 72, H54 + SUM(S54:S54) - SUM(T54:T54) - SUM(P54:P54) - V54,0)</f>
        <v>0</v>
      </c>
      <c r="J54" s="102"/>
      <c r="K54" s="102"/>
      <c r="L54" s="102"/>
      <c r="M54" s="406"/>
      <c r="N54" s="106"/>
      <c r="O54" s="421"/>
      <c r="P54" s="107"/>
      <c r="Q54" s="103"/>
      <c r="R54" s="105"/>
      <c r="S54" s="107"/>
      <c r="T54" s="107"/>
      <c r="U54" s="107"/>
      <c r="V54" s="104"/>
      <c r="W54" s="105"/>
      <c r="X54" s="2">
        <v>107</v>
      </c>
    </row>
  </sheetData>
  <sheetProtection password="EB34" sheet="1" objects="1" scenarios="1" formatCells="0" formatColumns="0" formatRows="0"/>
  <mergeCells count="109">
    <mergeCell ref="W52:W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A52:A53"/>
    <mergeCell ref="O52:O53"/>
    <mergeCell ref="U52:U53"/>
    <mergeCell ref="B52:B53"/>
    <mergeCell ref="V52:V53"/>
    <mergeCell ref="C52:C53"/>
    <mergeCell ref="A25:A26"/>
    <mergeCell ref="O25:O26"/>
    <mergeCell ref="U25:U26"/>
    <mergeCell ref="B25:B26"/>
    <mergeCell ref="V25:V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A38:A40"/>
    <mergeCell ref="O38:O40"/>
    <mergeCell ref="B38:B40"/>
    <mergeCell ref="V38:V40"/>
    <mergeCell ref="C38:C40"/>
    <mergeCell ref="D38:D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A13:A16"/>
    <mergeCell ref="B13:B16"/>
    <mergeCell ref="C13:C16"/>
    <mergeCell ref="O13:O16"/>
    <mergeCell ref="U13:U16"/>
    <mergeCell ref="D13:D16"/>
    <mergeCell ref="E13:E16"/>
    <mergeCell ref="F13:F16"/>
    <mergeCell ref="G13:G16"/>
    <mergeCell ref="H13:H16"/>
    <mergeCell ref="A3:E3"/>
    <mergeCell ref="S2:U2"/>
    <mergeCell ref="N2:O2"/>
    <mergeCell ref="J4:K4"/>
    <mergeCell ref="M4:N4"/>
    <mergeCell ref="O4:P4"/>
    <mergeCell ref="K2:M2"/>
    <mergeCell ref="V9:V10"/>
    <mergeCell ref="C9:C10"/>
    <mergeCell ref="A9:A10"/>
    <mergeCell ref="O9:O10"/>
    <mergeCell ref="U9:U10"/>
    <mergeCell ref="B9:B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W38:W40"/>
    <mergeCell ref="W25:W26"/>
    <mergeCell ref="V13:V16"/>
    <mergeCell ref="W13:W16"/>
    <mergeCell ref="I13:I16"/>
    <mergeCell ref="J13:J16"/>
    <mergeCell ref="K13:K16"/>
    <mergeCell ref="L13:L16"/>
    <mergeCell ref="M13:M16"/>
    <mergeCell ref="U38:U40"/>
    <mergeCell ref="A47:A50"/>
    <mergeCell ref="O47:O50"/>
    <mergeCell ref="U47:U50"/>
    <mergeCell ref="B47:B50"/>
    <mergeCell ref="V47:V50"/>
    <mergeCell ref="C47:C50"/>
    <mergeCell ref="W47:W50"/>
    <mergeCell ref="D47:D50"/>
    <mergeCell ref="E47:E50"/>
    <mergeCell ref="F47:F50"/>
    <mergeCell ref="G47:G50"/>
    <mergeCell ref="H47:H50"/>
    <mergeCell ref="I47:I50"/>
    <mergeCell ref="J47:J50"/>
    <mergeCell ref="K47:K50"/>
    <mergeCell ref="L47:L50"/>
    <mergeCell ref="M47:M5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50"/>
  <sheetViews>
    <sheetView showGridLines="0" topLeftCell="G1" zoomScale="50" zoomScaleNormal="50" workbookViewId="0">
      <pane ySplit="8" topLeftCell="A27" activePane="bottomLeft" state="frozen"/>
      <selection pane="bottomLeft" activeCell="P27" sqref="P27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1134" t="s">
        <v>24</v>
      </c>
      <c r="G2" s="1135"/>
      <c r="H2" s="75">
        <f>SUM(H9:H9999)</f>
        <v>2220451.1100000003</v>
      </c>
      <c r="I2" s="65"/>
      <c r="N2" s="872" t="s">
        <v>137</v>
      </c>
      <c r="O2" s="874"/>
      <c r="P2" s="66">
        <f>SUM(P9:P9999)</f>
        <v>1834404.6240000001</v>
      </c>
      <c r="R2" s="65"/>
      <c r="S2" s="872" t="s">
        <v>45</v>
      </c>
      <c r="T2" s="873"/>
      <c r="U2" s="874"/>
      <c r="V2" s="67">
        <f>SUM(V9:V9999)</f>
        <v>83266.579999999987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1172">
        <v>1</v>
      </c>
      <c r="B9" s="1175" t="s">
        <v>56</v>
      </c>
      <c r="C9" s="1175" t="s">
        <v>147</v>
      </c>
      <c r="D9" s="1175" t="s">
        <v>160</v>
      </c>
      <c r="E9" s="1175" t="s">
        <v>195</v>
      </c>
      <c r="F9" s="1178">
        <v>45289</v>
      </c>
      <c r="G9" s="1193" t="s">
        <v>148</v>
      </c>
      <c r="H9" s="1151">
        <v>186161.96</v>
      </c>
      <c r="I9" s="1196">
        <f>IF(X9 = 1, H9 + SUM(S9:S16) - SUM(T9:T16) - SUM(P9:P16) - V9,0)</f>
        <v>35614.589999999997</v>
      </c>
      <c r="J9" s="1199">
        <v>2308070396</v>
      </c>
      <c r="K9" s="1202" t="s">
        <v>149</v>
      </c>
      <c r="L9" s="1175" t="s">
        <v>147</v>
      </c>
      <c r="M9" s="1175" t="s">
        <v>175</v>
      </c>
      <c r="N9" s="266">
        <v>45300</v>
      </c>
      <c r="O9" s="1178" t="s">
        <v>159</v>
      </c>
      <c r="P9" s="254">
        <v>23384.94</v>
      </c>
      <c r="Q9" s="255">
        <v>45320</v>
      </c>
      <c r="R9" s="256"/>
      <c r="S9" s="257"/>
      <c r="T9" s="258"/>
      <c r="U9" s="1151"/>
      <c r="V9" s="1154"/>
      <c r="W9" s="1136"/>
      <c r="X9" s="80">
        <v>1</v>
      </c>
    </row>
    <row r="10" spans="1:24" s="110" customFormat="1" x14ac:dyDescent="0.25">
      <c r="A10" s="1173"/>
      <c r="B10" s="1176"/>
      <c r="C10" s="1176"/>
      <c r="D10" s="1176"/>
      <c r="E10" s="1176"/>
      <c r="F10" s="1179"/>
      <c r="G10" s="1194"/>
      <c r="H10" s="1152"/>
      <c r="I10" s="1197"/>
      <c r="J10" s="1200"/>
      <c r="K10" s="1203"/>
      <c r="L10" s="1176"/>
      <c r="M10" s="1176"/>
      <c r="N10" s="267">
        <v>45322</v>
      </c>
      <c r="O10" s="1179"/>
      <c r="P10" s="259">
        <v>45807.29</v>
      </c>
      <c r="Q10" s="260">
        <v>45334</v>
      </c>
      <c r="R10" s="261"/>
      <c r="S10" s="262"/>
      <c r="T10" s="262"/>
      <c r="U10" s="1152"/>
      <c r="V10" s="1155"/>
      <c r="W10" s="1137"/>
      <c r="X10" s="110">
        <v>1</v>
      </c>
    </row>
    <row r="11" spans="1:24" s="110" customFormat="1" x14ac:dyDescent="0.25">
      <c r="A11" s="1173"/>
      <c r="B11" s="1176"/>
      <c r="C11" s="1176"/>
      <c r="D11" s="1176"/>
      <c r="E11" s="1176"/>
      <c r="F11" s="1179"/>
      <c r="G11" s="1194"/>
      <c r="H11" s="1152"/>
      <c r="I11" s="1197"/>
      <c r="J11" s="1200"/>
      <c r="K11" s="1203"/>
      <c r="L11" s="1176"/>
      <c r="M11" s="1176"/>
      <c r="N11" s="267">
        <v>45323</v>
      </c>
      <c r="O11" s="1179"/>
      <c r="P11" s="259">
        <v>7936.09</v>
      </c>
      <c r="Q11" s="260">
        <v>45327</v>
      </c>
      <c r="R11" s="261"/>
      <c r="S11" s="262"/>
      <c r="T11" s="262"/>
      <c r="U11" s="1152"/>
      <c r="V11" s="1155"/>
      <c r="W11" s="1137"/>
      <c r="X11" s="110">
        <v>1</v>
      </c>
    </row>
    <row r="12" spans="1:24" s="110" customFormat="1" x14ac:dyDescent="0.25">
      <c r="A12" s="1173"/>
      <c r="B12" s="1176"/>
      <c r="C12" s="1176"/>
      <c r="D12" s="1176"/>
      <c r="E12" s="1176"/>
      <c r="F12" s="1179"/>
      <c r="G12" s="1194"/>
      <c r="H12" s="1152"/>
      <c r="I12" s="1197"/>
      <c r="J12" s="1200"/>
      <c r="K12" s="1203"/>
      <c r="L12" s="1176"/>
      <c r="M12" s="1176"/>
      <c r="N12" s="267">
        <v>45351</v>
      </c>
      <c r="O12" s="1179"/>
      <c r="P12" s="259">
        <v>22190.18</v>
      </c>
      <c r="Q12" s="260">
        <v>45363</v>
      </c>
      <c r="R12" s="261"/>
      <c r="S12" s="262"/>
      <c r="T12" s="262"/>
      <c r="U12" s="1152"/>
      <c r="V12" s="1155"/>
      <c r="W12" s="1137"/>
      <c r="X12" s="110">
        <v>1</v>
      </c>
    </row>
    <row r="13" spans="1:24" s="110" customFormat="1" x14ac:dyDescent="0.25">
      <c r="A13" s="1173"/>
      <c r="B13" s="1176"/>
      <c r="C13" s="1176"/>
      <c r="D13" s="1176"/>
      <c r="E13" s="1176"/>
      <c r="F13" s="1179"/>
      <c r="G13" s="1194"/>
      <c r="H13" s="1152"/>
      <c r="I13" s="1197"/>
      <c r="J13" s="1200"/>
      <c r="K13" s="1203"/>
      <c r="L13" s="1176"/>
      <c r="M13" s="1176"/>
      <c r="N13" s="267">
        <v>45352</v>
      </c>
      <c r="O13" s="1179"/>
      <c r="P13" s="259">
        <v>5957.8</v>
      </c>
      <c r="Q13" s="260">
        <v>45363</v>
      </c>
      <c r="R13" s="261"/>
      <c r="S13" s="262"/>
      <c r="T13" s="262"/>
      <c r="U13" s="1152"/>
      <c r="V13" s="1155"/>
      <c r="W13" s="1137"/>
      <c r="X13" s="110">
        <v>1</v>
      </c>
    </row>
    <row r="14" spans="1:24" s="110" customFormat="1" x14ac:dyDescent="0.25">
      <c r="A14" s="1173"/>
      <c r="B14" s="1176"/>
      <c r="C14" s="1176"/>
      <c r="D14" s="1176"/>
      <c r="E14" s="1176"/>
      <c r="F14" s="1179"/>
      <c r="G14" s="1194"/>
      <c r="H14" s="1152"/>
      <c r="I14" s="1197"/>
      <c r="J14" s="1200"/>
      <c r="K14" s="1203"/>
      <c r="L14" s="1176"/>
      <c r="M14" s="1176"/>
      <c r="N14" s="267">
        <v>45382</v>
      </c>
      <c r="O14" s="1179"/>
      <c r="P14" s="259">
        <v>16667.91</v>
      </c>
      <c r="Q14" s="260">
        <v>45393</v>
      </c>
      <c r="R14" s="261"/>
      <c r="S14" s="262"/>
      <c r="T14" s="262"/>
      <c r="U14" s="1152"/>
      <c r="V14" s="1155"/>
      <c r="W14" s="1137"/>
      <c r="X14" s="110">
        <v>1</v>
      </c>
    </row>
    <row r="15" spans="1:24" s="110" customFormat="1" x14ac:dyDescent="0.25">
      <c r="A15" s="1173"/>
      <c r="B15" s="1176"/>
      <c r="C15" s="1176"/>
      <c r="D15" s="1176"/>
      <c r="E15" s="1176"/>
      <c r="F15" s="1179"/>
      <c r="G15" s="1194"/>
      <c r="H15" s="1152"/>
      <c r="I15" s="1197"/>
      <c r="J15" s="1200"/>
      <c r="K15" s="1203"/>
      <c r="L15" s="1176"/>
      <c r="M15" s="1176"/>
      <c r="N15" s="267">
        <v>45383</v>
      </c>
      <c r="O15" s="1179"/>
      <c r="P15" s="259">
        <v>7498.37</v>
      </c>
      <c r="Q15" s="260">
        <v>45385</v>
      </c>
      <c r="R15" s="261"/>
      <c r="S15" s="262"/>
      <c r="T15" s="262"/>
      <c r="U15" s="1152"/>
      <c r="V15" s="1155"/>
      <c r="W15" s="1137"/>
      <c r="X15" s="110">
        <v>1</v>
      </c>
    </row>
    <row r="16" spans="1:24" s="110" customFormat="1" x14ac:dyDescent="0.25">
      <c r="A16" s="1174"/>
      <c r="B16" s="1177"/>
      <c r="C16" s="1177"/>
      <c r="D16" s="1177"/>
      <c r="E16" s="1177"/>
      <c r="F16" s="1180"/>
      <c r="G16" s="1195"/>
      <c r="H16" s="1153"/>
      <c r="I16" s="1198"/>
      <c r="J16" s="1201"/>
      <c r="K16" s="1204"/>
      <c r="L16" s="1177"/>
      <c r="M16" s="1177"/>
      <c r="N16" s="268">
        <v>45412</v>
      </c>
      <c r="O16" s="1180"/>
      <c r="P16" s="300">
        <v>21104.79</v>
      </c>
      <c r="Q16" s="264">
        <v>45427</v>
      </c>
      <c r="R16" s="265"/>
      <c r="S16" s="263"/>
      <c r="T16" s="263"/>
      <c r="U16" s="1153"/>
      <c r="V16" s="1156"/>
      <c r="W16" s="1138"/>
      <c r="X16" s="110">
        <v>1</v>
      </c>
    </row>
    <row r="17" spans="1:24" s="80" customFormat="1" ht="395.45" customHeight="1" x14ac:dyDescent="0.25">
      <c r="A17" s="1312">
        <v>2</v>
      </c>
      <c r="B17" s="1318" t="s">
        <v>56</v>
      </c>
      <c r="C17" s="1318" t="s">
        <v>147</v>
      </c>
      <c r="D17" s="1318" t="s">
        <v>160</v>
      </c>
      <c r="E17" s="1318" t="s">
        <v>150</v>
      </c>
      <c r="F17" s="1314">
        <v>45289</v>
      </c>
      <c r="G17" s="1324" t="s">
        <v>151</v>
      </c>
      <c r="H17" s="1326">
        <v>599000</v>
      </c>
      <c r="I17" s="1328">
        <f>IF(X17 = 2, H17 + SUM(S17:S34) - SUM(T17:T34) - SUM(P17:P34) - V17,0)</f>
        <v>5142.1400000001304</v>
      </c>
      <c r="J17" s="1330">
        <v>2308119595</v>
      </c>
      <c r="K17" s="1332" t="s">
        <v>152</v>
      </c>
      <c r="L17" s="1318" t="s">
        <v>147</v>
      </c>
      <c r="M17" s="1318" t="s">
        <v>175</v>
      </c>
      <c r="N17" s="761">
        <v>45292</v>
      </c>
      <c r="O17" s="1314"/>
      <c r="P17" s="752">
        <v>19127.439999999999</v>
      </c>
      <c r="Q17" s="753">
        <v>45309</v>
      </c>
      <c r="R17" s="754"/>
      <c r="S17" s="755"/>
      <c r="T17" s="756"/>
      <c r="U17" s="1316"/>
      <c r="V17" s="1320"/>
      <c r="W17" s="1322"/>
      <c r="X17" s="80">
        <v>2</v>
      </c>
    </row>
    <row r="18" spans="1:24" s="110" customFormat="1" x14ac:dyDescent="0.25">
      <c r="A18" s="1313"/>
      <c r="B18" s="1319"/>
      <c r="C18" s="1319"/>
      <c r="D18" s="1319"/>
      <c r="E18" s="1319"/>
      <c r="F18" s="1315"/>
      <c r="G18" s="1325"/>
      <c r="H18" s="1327"/>
      <c r="I18" s="1329"/>
      <c r="J18" s="1331"/>
      <c r="K18" s="1333"/>
      <c r="L18" s="1319"/>
      <c r="M18" s="1319"/>
      <c r="N18" s="762">
        <v>45292</v>
      </c>
      <c r="O18" s="1315"/>
      <c r="P18" s="757">
        <v>58498.75</v>
      </c>
      <c r="Q18" s="758">
        <v>45309</v>
      </c>
      <c r="R18" s="759"/>
      <c r="S18" s="760"/>
      <c r="T18" s="760"/>
      <c r="U18" s="1317"/>
      <c r="V18" s="1321"/>
      <c r="W18" s="1323"/>
      <c r="X18" s="110">
        <v>2</v>
      </c>
    </row>
    <row r="19" spans="1:24" s="110" customFormat="1" x14ac:dyDescent="0.25">
      <c r="A19" s="1313"/>
      <c r="B19" s="1319"/>
      <c r="C19" s="1319"/>
      <c r="D19" s="1319"/>
      <c r="E19" s="1319"/>
      <c r="F19" s="1315"/>
      <c r="G19" s="1325"/>
      <c r="H19" s="1327"/>
      <c r="I19" s="1329"/>
      <c r="J19" s="1331"/>
      <c r="K19" s="1333"/>
      <c r="L19" s="1319"/>
      <c r="M19" s="1319"/>
      <c r="N19" s="762">
        <v>45322</v>
      </c>
      <c r="O19" s="1315"/>
      <c r="P19" s="757">
        <v>64640.95</v>
      </c>
      <c r="Q19" s="758">
        <v>45337</v>
      </c>
      <c r="R19" s="759"/>
      <c r="S19" s="760"/>
      <c r="T19" s="760"/>
      <c r="U19" s="1317"/>
      <c r="V19" s="1321"/>
      <c r="W19" s="1323"/>
      <c r="X19" s="110">
        <v>2</v>
      </c>
    </row>
    <row r="20" spans="1:24" s="110" customFormat="1" x14ac:dyDescent="0.25">
      <c r="A20" s="1313"/>
      <c r="B20" s="1319"/>
      <c r="C20" s="1319"/>
      <c r="D20" s="1319"/>
      <c r="E20" s="1319"/>
      <c r="F20" s="1315"/>
      <c r="G20" s="1325"/>
      <c r="H20" s="1327"/>
      <c r="I20" s="1329"/>
      <c r="J20" s="1331"/>
      <c r="K20" s="1333"/>
      <c r="L20" s="1319"/>
      <c r="M20" s="1319"/>
      <c r="N20" s="762">
        <v>45323</v>
      </c>
      <c r="O20" s="1315"/>
      <c r="P20" s="757">
        <v>43874.06</v>
      </c>
      <c r="Q20" s="758">
        <v>45323</v>
      </c>
      <c r="R20" s="759"/>
      <c r="S20" s="760"/>
      <c r="T20" s="760"/>
      <c r="U20" s="1317"/>
      <c r="V20" s="1321"/>
      <c r="W20" s="1323"/>
      <c r="X20" s="110">
        <v>2</v>
      </c>
    </row>
    <row r="21" spans="1:24" s="110" customFormat="1" x14ac:dyDescent="0.25">
      <c r="A21" s="1313"/>
      <c r="B21" s="1319"/>
      <c r="C21" s="1319"/>
      <c r="D21" s="1319"/>
      <c r="E21" s="1319"/>
      <c r="F21" s="1315"/>
      <c r="G21" s="1325"/>
      <c r="H21" s="1327"/>
      <c r="I21" s="1329"/>
      <c r="J21" s="1331"/>
      <c r="K21" s="1333"/>
      <c r="L21" s="1319"/>
      <c r="M21" s="1319"/>
      <c r="N21" s="762">
        <v>45323</v>
      </c>
      <c r="O21" s="1315"/>
      <c r="P21" s="757">
        <v>62638.09</v>
      </c>
      <c r="Q21" s="758">
        <v>45337</v>
      </c>
      <c r="R21" s="759"/>
      <c r="S21" s="760"/>
      <c r="T21" s="760"/>
      <c r="U21" s="1317"/>
      <c r="V21" s="1321"/>
      <c r="W21" s="1323"/>
      <c r="X21" s="110">
        <v>2</v>
      </c>
    </row>
    <row r="22" spans="1:24" s="110" customFormat="1" x14ac:dyDescent="0.25">
      <c r="A22" s="1313"/>
      <c r="B22" s="1319"/>
      <c r="C22" s="1319"/>
      <c r="D22" s="1319"/>
      <c r="E22" s="1319"/>
      <c r="F22" s="1315"/>
      <c r="G22" s="1325"/>
      <c r="H22" s="1327"/>
      <c r="I22" s="1329"/>
      <c r="J22" s="1331"/>
      <c r="K22" s="1333"/>
      <c r="L22" s="1319"/>
      <c r="M22" s="1319"/>
      <c r="N22" s="762">
        <v>45351</v>
      </c>
      <c r="O22" s="1315"/>
      <c r="P22" s="757">
        <v>27216.2</v>
      </c>
      <c r="Q22" s="758">
        <v>45365</v>
      </c>
      <c r="R22" s="759"/>
      <c r="S22" s="760"/>
      <c r="T22" s="760"/>
      <c r="U22" s="1317"/>
      <c r="V22" s="1321"/>
      <c r="W22" s="1323"/>
      <c r="X22" s="110">
        <v>2</v>
      </c>
    </row>
    <row r="23" spans="1:24" s="110" customFormat="1" x14ac:dyDescent="0.25">
      <c r="A23" s="1313"/>
      <c r="B23" s="1319"/>
      <c r="C23" s="1319"/>
      <c r="D23" s="1319"/>
      <c r="E23" s="1319"/>
      <c r="F23" s="1315"/>
      <c r="G23" s="1325"/>
      <c r="H23" s="1327"/>
      <c r="I23" s="1329"/>
      <c r="J23" s="1331"/>
      <c r="K23" s="1333"/>
      <c r="L23" s="1319"/>
      <c r="M23" s="1319"/>
      <c r="N23" s="762">
        <v>45352</v>
      </c>
      <c r="O23" s="1315"/>
      <c r="P23" s="757">
        <v>46978.57</v>
      </c>
      <c r="Q23" s="758">
        <v>45352</v>
      </c>
      <c r="R23" s="759"/>
      <c r="S23" s="760"/>
      <c r="T23" s="760"/>
      <c r="U23" s="1317"/>
      <c r="V23" s="1321"/>
      <c r="W23" s="1323"/>
      <c r="X23" s="110">
        <v>2</v>
      </c>
    </row>
    <row r="24" spans="1:24" s="110" customFormat="1" x14ac:dyDescent="0.25">
      <c r="A24" s="1313"/>
      <c r="B24" s="1319"/>
      <c r="C24" s="1319"/>
      <c r="D24" s="1319"/>
      <c r="E24" s="1319"/>
      <c r="F24" s="1315"/>
      <c r="G24" s="1325"/>
      <c r="H24" s="1327"/>
      <c r="I24" s="1329"/>
      <c r="J24" s="1331"/>
      <c r="K24" s="1333"/>
      <c r="L24" s="1319"/>
      <c r="M24" s="1319"/>
      <c r="N24" s="762">
        <v>45352</v>
      </c>
      <c r="O24" s="1315"/>
      <c r="P24" s="757">
        <v>58728.04</v>
      </c>
      <c r="Q24" s="758">
        <v>45365</v>
      </c>
      <c r="R24" s="759"/>
      <c r="S24" s="760"/>
      <c r="T24" s="760"/>
      <c r="U24" s="1317"/>
      <c r="V24" s="1321"/>
      <c r="W24" s="1323"/>
      <c r="X24" s="110">
        <v>2</v>
      </c>
    </row>
    <row r="25" spans="1:24" s="110" customFormat="1" x14ac:dyDescent="0.25">
      <c r="A25" s="1313"/>
      <c r="B25" s="1319"/>
      <c r="C25" s="1319"/>
      <c r="D25" s="1319"/>
      <c r="E25" s="1319"/>
      <c r="F25" s="1315"/>
      <c r="G25" s="1325"/>
      <c r="H25" s="1327"/>
      <c r="I25" s="1329"/>
      <c r="J25" s="1331"/>
      <c r="K25" s="1333"/>
      <c r="L25" s="1319"/>
      <c r="M25" s="1319"/>
      <c r="N25" s="762">
        <v>45382</v>
      </c>
      <c r="O25" s="1315"/>
      <c r="P25" s="757">
        <v>1422.68</v>
      </c>
      <c r="Q25" s="758">
        <v>45398</v>
      </c>
      <c r="R25" s="759"/>
      <c r="S25" s="760"/>
      <c r="T25" s="760"/>
      <c r="U25" s="1317"/>
      <c r="V25" s="1321"/>
      <c r="W25" s="1323"/>
      <c r="X25" s="110">
        <v>2</v>
      </c>
    </row>
    <row r="26" spans="1:24" s="110" customFormat="1" x14ac:dyDescent="0.25">
      <c r="A26" s="1313"/>
      <c r="B26" s="1319"/>
      <c r="C26" s="1319"/>
      <c r="D26" s="1319"/>
      <c r="E26" s="1319"/>
      <c r="F26" s="1315"/>
      <c r="G26" s="1325"/>
      <c r="H26" s="1327"/>
      <c r="I26" s="1329"/>
      <c r="J26" s="1331"/>
      <c r="K26" s="1333"/>
      <c r="L26" s="1319"/>
      <c r="M26" s="1319"/>
      <c r="N26" s="762">
        <v>45383</v>
      </c>
      <c r="O26" s="1315"/>
      <c r="P26" s="757">
        <v>44046.02</v>
      </c>
      <c r="Q26" s="758">
        <v>45383</v>
      </c>
      <c r="R26" s="759"/>
      <c r="S26" s="760"/>
      <c r="T26" s="760"/>
      <c r="U26" s="1317"/>
      <c r="V26" s="1321"/>
      <c r="W26" s="1323"/>
      <c r="X26" s="110">
        <v>2</v>
      </c>
    </row>
    <row r="27" spans="1:24" s="110" customFormat="1" x14ac:dyDescent="0.25">
      <c r="A27" s="1313"/>
      <c r="B27" s="1319"/>
      <c r="C27" s="1319"/>
      <c r="D27" s="1319"/>
      <c r="E27" s="1319"/>
      <c r="F27" s="1315"/>
      <c r="G27" s="1325"/>
      <c r="H27" s="1327"/>
      <c r="I27" s="1329"/>
      <c r="J27" s="1331"/>
      <c r="K27" s="1333"/>
      <c r="L27" s="1319"/>
      <c r="M27" s="1319"/>
      <c r="N27" s="762">
        <v>45383</v>
      </c>
      <c r="O27" s="1315"/>
      <c r="P27" s="757">
        <v>47195.78</v>
      </c>
      <c r="Q27" s="758">
        <v>45398</v>
      </c>
      <c r="R27" s="759"/>
      <c r="S27" s="760"/>
      <c r="T27" s="760"/>
      <c r="U27" s="1317"/>
      <c r="V27" s="1321"/>
      <c r="W27" s="1323"/>
      <c r="X27" s="110">
        <v>2</v>
      </c>
    </row>
    <row r="28" spans="1:24" s="110" customFormat="1" x14ac:dyDescent="0.25">
      <c r="A28" s="1313"/>
      <c r="B28" s="1319"/>
      <c r="C28" s="1319"/>
      <c r="D28" s="1319"/>
      <c r="E28" s="1319"/>
      <c r="F28" s="1315"/>
      <c r="G28" s="1325"/>
      <c r="H28" s="1327"/>
      <c r="I28" s="1329"/>
      <c r="J28" s="1331"/>
      <c r="K28" s="1333"/>
      <c r="L28" s="1319"/>
      <c r="M28" s="1319"/>
      <c r="N28" s="762">
        <v>45413</v>
      </c>
      <c r="O28" s="1315"/>
      <c r="P28" s="757">
        <v>35396.839999999997</v>
      </c>
      <c r="Q28" s="758">
        <v>45415</v>
      </c>
      <c r="R28" s="759"/>
      <c r="S28" s="760"/>
      <c r="T28" s="760"/>
      <c r="U28" s="1317"/>
      <c r="V28" s="1321"/>
      <c r="W28" s="1323"/>
      <c r="X28" s="110">
        <v>2</v>
      </c>
    </row>
    <row r="29" spans="1:24" s="110" customFormat="1" x14ac:dyDescent="0.25">
      <c r="A29" s="1313"/>
      <c r="B29" s="1319"/>
      <c r="C29" s="1319"/>
      <c r="D29" s="1319"/>
      <c r="E29" s="1319"/>
      <c r="F29" s="1315"/>
      <c r="G29" s="1325"/>
      <c r="H29" s="1327"/>
      <c r="I29" s="1329"/>
      <c r="J29" s="1331"/>
      <c r="K29" s="1333"/>
      <c r="L29" s="1319"/>
      <c r="M29" s="1319"/>
      <c r="N29" s="762">
        <v>45413</v>
      </c>
      <c r="O29" s="1315"/>
      <c r="P29" s="757">
        <v>16003.2</v>
      </c>
      <c r="Q29" s="758">
        <v>45428</v>
      </c>
      <c r="R29" s="759"/>
      <c r="S29" s="760"/>
      <c r="T29" s="760"/>
      <c r="U29" s="1317"/>
      <c r="V29" s="1321"/>
      <c r="W29" s="1323"/>
      <c r="X29" s="110">
        <v>2</v>
      </c>
    </row>
    <row r="30" spans="1:24" s="110" customFormat="1" x14ac:dyDescent="0.25">
      <c r="A30" s="1313"/>
      <c r="B30" s="1319"/>
      <c r="C30" s="1319"/>
      <c r="D30" s="1319"/>
      <c r="E30" s="1319"/>
      <c r="F30" s="1315"/>
      <c r="G30" s="1325"/>
      <c r="H30" s="1327"/>
      <c r="I30" s="1329"/>
      <c r="J30" s="1331"/>
      <c r="K30" s="1333"/>
      <c r="L30" s="1319"/>
      <c r="M30" s="1319"/>
      <c r="N30" s="762">
        <v>45444</v>
      </c>
      <c r="O30" s="1315"/>
      <c r="P30" s="757">
        <v>11999.1</v>
      </c>
      <c r="Q30" s="758">
        <v>45446</v>
      </c>
      <c r="R30" s="759"/>
      <c r="S30" s="760"/>
      <c r="T30" s="760"/>
      <c r="U30" s="1317"/>
      <c r="V30" s="1321"/>
      <c r="W30" s="1323"/>
      <c r="X30" s="110">
        <v>2</v>
      </c>
    </row>
    <row r="31" spans="1:24" s="110" customFormat="1" x14ac:dyDescent="0.25">
      <c r="A31" s="1313"/>
      <c r="B31" s="1319"/>
      <c r="C31" s="1319"/>
      <c r="D31" s="1319"/>
      <c r="E31" s="1319"/>
      <c r="F31" s="1315"/>
      <c r="G31" s="1325"/>
      <c r="H31" s="1327"/>
      <c r="I31" s="1329"/>
      <c r="J31" s="1331"/>
      <c r="K31" s="1333"/>
      <c r="L31" s="1319"/>
      <c r="M31" s="1319"/>
      <c r="N31" s="762">
        <v>45444</v>
      </c>
      <c r="O31" s="1315"/>
      <c r="P31" s="757">
        <v>18119.52</v>
      </c>
      <c r="Q31" s="758">
        <v>45460</v>
      </c>
      <c r="R31" s="759"/>
      <c r="S31" s="760"/>
      <c r="T31" s="760"/>
      <c r="U31" s="1317"/>
      <c r="V31" s="1321"/>
      <c r="W31" s="1323"/>
      <c r="X31" s="110">
        <v>2</v>
      </c>
    </row>
    <row r="32" spans="1:24" s="110" customFormat="1" x14ac:dyDescent="0.25">
      <c r="A32" s="1313"/>
      <c r="B32" s="1319"/>
      <c r="C32" s="1319"/>
      <c r="D32" s="1319"/>
      <c r="E32" s="1319"/>
      <c r="F32" s="1315"/>
      <c r="G32" s="1325"/>
      <c r="H32" s="1327"/>
      <c r="I32" s="1329"/>
      <c r="J32" s="1331"/>
      <c r="K32" s="1333"/>
      <c r="L32" s="1319"/>
      <c r="M32" s="1319"/>
      <c r="N32" s="762">
        <v>45474</v>
      </c>
      <c r="O32" s="1315"/>
      <c r="P32" s="757">
        <v>14414.53</v>
      </c>
      <c r="Q32" s="758">
        <v>45475</v>
      </c>
      <c r="R32" s="759"/>
      <c r="S32" s="760"/>
      <c r="T32" s="760"/>
      <c r="U32" s="1317"/>
      <c r="V32" s="1321"/>
      <c r="W32" s="1323"/>
      <c r="X32" s="110">
        <v>2</v>
      </c>
    </row>
    <row r="33" spans="1:24" s="110" customFormat="1" x14ac:dyDescent="0.25">
      <c r="A33" s="1313"/>
      <c r="B33" s="1319"/>
      <c r="C33" s="1319"/>
      <c r="D33" s="1319"/>
      <c r="E33" s="1319"/>
      <c r="F33" s="1315"/>
      <c r="G33" s="1325"/>
      <c r="H33" s="1327"/>
      <c r="I33" s="1329"/>
      <c r="J33" s="1331"/>
      <c r="K33" s="1333"/>
      <c r="L33" s="1319"/>
      <c r="M33" s="1319"/>
      <c r="N33" s="762">
        <v>45474</v>
      </c>
      <c r="O33" s="1315"/>
      <c r="P33" s="757">
        <v>13461.77</v>
      </c>
      <c r="Q33" s="758">
        <v>45488</v>
      </c>
      <c r="R33" s="759"/>
      <c r="S33" s="760"/>
      <c r="T33" s="760"/>
      <c r="U33" s="1317"/>
      <c r="V33" s="1321"/>
      <c r="W33" s="1323"/>
      <c r="X33" s="110">
        <v>2</v>
      </c>
    </row>
    <row r="34" spans="1:24" s="110" customFormat="1" x14ac:dyDescent="0.25">
      <c r="A34" s="1313"/>
      <c r="B34" s="1319"/>
      <c r="C34" s="1319"/>
      <c r="D34" s="1319"/>
      <c r="E34" s="1319"/>
      <c r="F34" s="1315"/>
      <c r="G34" s="1325"/>
      <c r="H34" s="1327"/>
      <c r="I34" s="1329"/>
      <c r="J34" s="1331"/>
      <c r="K34" s="1333"/>
      <c r="L34" s="1319"/>
      <c r="M34" s="1319"/>
      <c r="N34" s="762">
        <v>45505</v>
      </c>
      <c r="O34" s="1315"/>
      <c r="P34" s="757">
        <v>10096.32</v>
      </c>
      <c r="Q34" s="758">
        <v>45505</v>
      </c>
      <c r="R34" s="759"/>
      <c r="S34" s="760"/>
      <c r="T34" s="760"/>
      <c r="U34" s="1317"/>
      <c r="V34" s="1321"/>
      <c r="W34" s="1323"/>
      <c r="X34" s="110">
        <v>2</v>
      </c>
    </row>
    <row r="35" spans="1:24" s="80" customFormat="1" ht="63.6" customHeight="1" x14ac:dyDescent="0.25">
      <c r="A35" s="1181">
        <v>3</v>
      </c>
      <c r="B35" s="1109" t="s">
        <v>56</v>
      </c>
      <c r="C35" s="1109" t="s">
        <v>147</v>
      </c>
      <c r="D35" s="1109" t="s">
        <v>158</v>
      </c>
      <c r="E35" s="1109" t="s">
        <v>176</v>
      </c>
      <c r="F35" s="1067">
        <v>45289</v>
      </c>
      <c r="G35" s="1070" t="s">
        <v>177</v>
      </c>
      <c r="H35" s="1142">
        <v>22628.22</v>
      </c>
      <c r="I35" s="1187">
        <f>IF(X35 = 33, H35 + SUM(S35:S40) - SUM(T35:T40) - SUM(P35:P40) - V35,0)</f>
        <v>3.637978807091713E-12</v>
      </c>
      <c r="J35" s="1190">
        <v>2308131994</v>
      </c>
      <c r="K35" s="1184" t="s">
        <v>178</v>
      </c>
      <c r="L35" s="1109" t="s">
        <v>147</v>
      </c>
      <c r="M35" s="1109" t="s">
        <v>175</v>
      </c>
      <c r="N35" s="349">
        <v>45322</v>
      </c>
      <c r="O35" s="1067" t="s">
        <v>179</v>
      </c>
      <c r="P35" s="338">
        <v>3771.37</v>
      </c>
      <c r="Q35" s="339">
        <v>45327</v>
      </c>
      <c r="R35" s="340"/>
      <c r="S35" s="341"/>
      <c r="T35" s="341"/>
      <c r="U35" s="1142"/>
      <c r="V35" s="1106"/>
      <c r="W35" s="1145"/>
      <c r="X35" s="80">
        <v>33</v>
      </c>
    </row>
    <row r="36" spans="1:24" s="110" customFormat="1" x14ac:dyDescent="0.25">
      <c r="A36" s="1182"/>
      <c r="B36" s="1110"/>
      <c r="C36" s="1110"/>
      <c r="D36" s="1110"/>
      <c r="E36" s="1110"/>
      <c r="F36" s="1068"/>
      <c r="G36" s="1071"/>
      <c r="H36" s="1143"/>
      <c r="I36" s="1188"/>
      <c r="J36" s="1191"/>
      <c r="K36" s="1185"/>
      <c r="L36" s="1110"/>
      <c r="M36" s="1110"/>
      <c r="N36" s="350">
        <v>45351</v>
      </c>
      <c r="O36" s="1068"/>
      <c r="P36" s="342">
        <v>3771.37</v>
      </c>
      <c r="Q36" s="343">
        <v>45363</v>
      </c>
      <c r="R36" s="344"/>
      <c r="S36" s="345"/>
      <c r="T36" s="345"/>
      <c r="U36" s="1143"/>
      <c r="V36" s="1107"/>
      <c r="W36" s="1146"/>
      <c r="X36" s="110">
        <v>33</v>
      </c>
    </row>
    <row r="37" spans="1:24" s="110" customFormat="1" x14ac:dyDescent="0.25">
      <c r="A37" s="1182"/>
      <c r="B37" s="1110"/>
      <c r="C37" s="1110"/>
      <c r="D37" s="1110"/>
      <c r="E37" s="1110"/>
      <c r="F37" s="1068"/>
      <c r="G37" s="1071"/>
      <c r="H37" s="1143"/>
      <c r="I37" s="1188"/>
      <c r="J37" s="1191"/>
      <c r="K37" s="1185"/>
      <c r="L37" s="1110"/>
      <c r="M37" s="1110"/>
      <c r="N37" s="350">
        <v>45382</v>
      </c>
      <c r="O37" s="1068"/>
      <c r="P37" s="342">
        <v>3771.37</v>
      </c>
      <c r="Q37" s="343">
        <v>45385</v>
      </c>
      <c r="R37" s="344"/>
      <c r="S37" s="345"/>
      <c r="T37" s="345"/>
      <c r="U37" s="1143"/>
      <c r="V37" s="1107"/>
      <c r="W37" s="1146"/>
      <c r="X37" s="110">
        <v>33</v>
      </c>
    </row>
    <row r="38" spans="1:24" s="110" customFormat="1" x14ac:dyDescent="0.25">
      <c r="A38" s="1182"/>
      <c r="B38" s="1110"/>
      <c r="C38" s="1110"/>
      <c r="D38" s="1110"/>
      <c r="E38" s="1110"/>
      <c r="F38" s="1068"/>
      <c r="G38" s="1071"/>
      <c r="H38" s="1143"/>
      <c r="I38" s="1188"/>
      <c r="J38" s="1191"/>
      <c r="K38" s="1185"/>
      <c r="L38" s="1110"/>
      <c r="M38" s="1110"/>
      <c r="N38" s="350">
        <v>45412</v>
      </c>
      <c r="O38" s="1068"/>
      <c r="P38" s="342">
        <v>3771.37</v>
      </c>
      <c r="Q38" s="343">
        <v>45419</v>
      </c>
      <c r="R38" s="344"/>
      <c r="S38" s="345"/>
      <c r="T38" s="345"/>
      <c r="U38" s="1143"/>
      <c r="V38" s="1107"/>
      <c r="W38" s="1146"/>
      <c r="X38" s="110">
        <v>33</v>
      </c>
    </row>
    <row r="39" spans="1:24" s="110" customFormat="1" x14ac:dyDescent="0.25">
      <c r="A39" s="1182"/>
      <c r="B39" s="1110"/>
      <c r="C39" s="1110"/>
      <c r="D39" s="1110"/>
      <c r="E39" s="1110"/>
      <c r="F39" s="1068"/>
      <c r="G39" s="1071"/>
      <c r="H39" s="1143"/>
      <c r="I39" s="1188"/>
      <c r="J39" s="1191"/>
      <c r="K39" s="1185"/>
      <c r="L39" s="1110"/>
      <c r="M39" s="1110"/>
      <c r="N39" s="350">
        <v>45443</v>
      </c>
      <c r="O39" s="1068"/>
      <c r="P39" s="342">
        <v>3771.37</v>
      </c>
      <c r="Q39" s="343">
        <v>45454</v>
      </c>
      <c r="R39" s="344"/>
      <c r="S39" s="345"/>
      <c r="T39" s="345"/>
      <c r="U39" s="1143"/>
      <c r="V39" s="1107"/>
      <c r="W39" s="1146"/>
      <c r="X39" s="110">
        <v>33</v>
      </c>
    </row>
    <row r="40" spans="1:24" s="110" customFormat="1" x14ac:dyDescent="0.25">
      <c r="A40" s="1183"/>
      <c r="B40" s="1111"/>
      <c r="C40" s="1111"/>
      <c r="D40" s="1111"/>
      <c r="E40" s="1111"/>
      <c r="F40" s="1069"/>
      <c r="G40" s="1072"/>
      <c r="H40" s="1144"/>
      <c r="I40" s="1189"/>
      <c r="J40" s="1192"/>
      <c r="K40" s="1186"/>
      <c r="L40" s="1111"/>
      <c r="M40" s="1111"/>
      <c r="N40" s="351">
        <v>45473</v>
      </c>
      <c r="O40" s="1069"/>
      <c r="P40" s="476">
        <v>3771.37</v>
      </c>
      <c r="Q40" s="347">
        <v>45477</v>
      </c>
      <c r="R40" s="348"/>
      <c r="S40" s="346"/>
      <c r="T40" s="346"/>
      <c r="U40" s="1144"/>
      <c r="V40" s="1108"/>
      <c r="W40" s="1147"/>
      <c r="X40" s="110">
        <v>33</v>
      </c>
    </row>
    <row r="41" spans="1:24" s="80" customFormat="1" ht="54" customHeight="1" x14ac:dyDescent="0.25">
      <c r="A41" s="1008">
        <v>4</v>
      </c>
      <c r="B41" s="1166" t="s">
        <v>56</v>
      </c>
      <c r="C41" s="1166" t="s">
        <v>147</v>
      </c>
      <c r="D41" s="1166" t="s">
        <v>158</v>
      </c>
      <c r="E41" s="1166" t="s">
        <v>180</v>
      </c>
      <c r="F41" s="1157">
        <v>45289</v>
      </c>
      <c r="G41" s="1282" t="s">
        <v>181</v>
      </c>
      <c r="H41" s="1160">
        <v>24000</v>
      </c>
      <c r="I41" s="1285">
        <f>IF(X41 = 34, H41 + SUM(S41:S50) - SUM(T41:T50) - SUM(P41:P50) - V41,0)</f>
        <v>4000</v>
      </c>
      <c r="J41" s="1288">
        <v>2353002302</v>
      </c>
      <c r="K41" s="1291" t="s">
        <v>182</v>
      </c>
      <c r="L41" s="1166" t="s">
        <v>147</v>
      </c>
      <c r="M41" s="1166" t="s">
        <v>175</v>
      </c>
      <c r="N41" s="681">
        <v>45322</v>
      </c>
      <c r="O41" s="1157" t="s">
        <v>183</v>
      </c>
      <c r="P41" s="670">
        <v>2000</v>
      </c>
      <c r="Q41" s="671">
        <v>45327</v>
      </c>
      <c r="R41" s="672"/>
      <c r="S41" s="673"/>
      <c r="T41" s="673"/>
      <c r="U41" s="1160"/>
      <c r="V41" s="1279"/>
      <c r="W41" s="1163"/>
      <c r="X41" s="80">
        <v>34</v>
      </c>
    </row>
    <row r="42" spans="1:24" s="110" customFormat="1" x14ac:dyDescent="0.25">
      <c r="A42" s="1009"/>
      <c r="B42" s="1167"/>
      <c r="C42" s="1167"/>
      <c r="D42" s="1167"/>
      <c r="E42" s="1167"/>
      <c r="F42" s="1158"/>
      <c r="G42" s="1283"/>
      <c r="H42" s="1161"/>
      <c r="I42" s="1286"/>
      <c r="J42" s="1289"/>
      <c r="K42" s="1292"/>
      <c r="L42" s="1167"/>
      <c r="M42" s="1167"/>
      <c r="N42" s="682">
        <v>45351</v>
      </c>
      <c r="O42" s="1158"/>
      <c r="P42" s="674">
        <v>2000</v>
      </c>
      <c r="Q42" s="675">
        <v>45351</v>
      </c>
      <c r="R42" s="676"/>
      <c r="S42" s="677"/>
      <c r="T42" s="677"/>
      <c r="U42" s="1161"/>
      <c r="V42" s="1280"/>
      <c r="W42" s="1164"/>
      <c r="X42" s="110">
        <v>34</v>
      </c>
    </row>
    <row r="43" spans="1:24" s="110" customFormat="1" x14ac:dyDescent="0.25">
      <c r="A43" s="1009"/>
      <c r="B43" s="1167"/>
      <c r="C43" s="1167"/>
      <c r="D43" s="1167"/>
      <c r="E43" s="1167"/>
      <c r="F43" s="1158"/>
      <c r="G43" s="1283"/>
      <c r="H43" s="1161"/>
      <c r="I43" s="1286"/>
      <c r="J43" s="1289"/>
      <c r="K43" s="1292"/>
      <c r="L43" s="1167"/>
      <c r="M43" s="1167"/>
      <c r="N43" s="682">
        <v>45382</v>
      </c>
      <c r="O43" s="1158"/>
      <c r="P43" s="674">
        <v>2000</v>
      </c>
      <c r="Q43" s="675">
        <v>45385</v>
      </c>
      <c r="R43" s="676"/>
      <c r="S43" s="677"/>
      <c r="T43" s="677"/>
      <c r="U43" s="1161"/>
      <c r="V43" s="1280"/>
      <c r="W43" s="1164"/>
      <c r="X43" s="110">
        <v>34</v>
      </c>
    </row>
    <row r="44" spans="1:24" s="110" customFormat="1" x14ac:dyDescent="0.25">
      <c r="A44" s="1009"/>
      <c r="B44" s="1167"/>
      <c r="C44" s="1167"/>
      <c r="D44" s="1167"/>
      <c r="E44" s="1167"/>
      <c r="F44" s="1158"/>
      <c r="G44" s="1283"/>
      <c r="H44" s="1161"/>
      <c r="I44" s="1286"/>
      <c r="J44" s="1289"/>
      <c r="K44" s="1292"/>
      <c r="L44" s="1167"/>
      <c r="M44" s="1167"/>
      <c r="N44" s="682">
        <v>45412</v>
      </c>
      <c r="O44" s="1158"/>
      <c r="P44" s="674">
        <v>2000</v>
      </c>
      <c r="Q44" s="675">
        <v>45419</v>
      </c>
      <c r="R44" s="676"/>
      <c r="S44" s="677"/>
      <c r="T44" s="677"/>
      <c r="U44" s="1161"/>
      <c r="V44" s="1280"/>
      <c r="W44" s="1164"/>
      <c r="X44" s="110">
        <v>34</v>
      </c>
    </row>
    <row r="45" spans="1:24" s="110" customFormat="1" x14ac:dyDescent="0.25">
      <c r="A45" s="1009"/>
      <c r="B45" s="1167"/>
      <c r="C45" s="1167"/>
      <c r="D45" s="1167"/>
      <c r="E45" s="1167"/>
      <c r="F45" s="1158"/>
      <c r="G45" s="1283"/>
      <c r="H45" s="1161"/>
      <c r="I45" s="1286"/>
      <c r="J45" s="1289"/>
      <c r="K45" s="1292"/>
      <c r="L45" s="1167"/>
      <c r="M45" s="1167"/>
      <c r="N45" s="682">
        <v>45443</v>
      </c>
      <c r="O45" s="1158"/>
      <c r="P45" s="674">
        <v>2000</v>
      </c>
      <c r="Q45" s="675">
        <v>45448</v>
      </c>
      <c r="R45" s="676"/>
      <c r="S45" s="677"/>
      <c r="T45" s="677"/>
      <c r="U45" s="1161"/>
      <c r="V45" s="1280"/>
      <c r="W45" s="1164"/>
      <c r="X45" s="110">
        <v>34</v>
      </c>
    </row>
    <row r="46" spans="1:24" s="110" customFormat="1" x14ac:dyDescent="0.25">
      <c r="A46" s="1009"/>
      <c r="B46" s="1167"/>
      <c r="C46" s="1167"/>
      <c r="D46" s="1167"/>
      <c r="E46" s="1167"/>
      <c r="F46" s="1158"/>
      <c r="G46" s="1283"/>
      <c r="H46" s="1161"/>
      <c r="I46" s="1286"/>
      <c r="J46" s="1289"/>
      <c r="K46" s="1292"/>
      <c r="L46" s="1167"/>
      <c r="M46" s="1167"/>
      <c r="N46" s="682">
        <v>45473</v>
      </c>
      <c r="O46" s="1158"/>
      <c r="P46" s="674">
        <v>2000</v>
      </c>
      <c r="Q46" s="675">
        <v>45477</v>
      </c>
      <c r="R46" s="676"/>
      <c r="S46" s="677"/>
      <c r="T46" s="677"/>
      <c r="U46" s="1161"/>
      <c r="V46" s="1280"/>
      <c r="W46" s="1164"/>
      <c r="X46" s="110">
        <v>34</v>
      </c>
    </row>
    <row r="47" spans="1:24" s="110" customFormat="1" x14ac:dyDescent="0.25">
      <c r="A47" s="1009"/>
      <c r="B47" s="1167"/>
      <c r="C47" s="1167"/>
      <c r="D47" s="1167"/>
      <c r="E47" s="1167"/>
      <c r="F47" s="1158"/>
      <c r="G47" s="1283"/>
      <c r="H47" s="1161"/>
      <c r="I47" s="1286"/>
      <c r="J47" s="1289"/>
      <c r="K47" s="1292"/>
      <c r="L47" s="1167"/>
      <c r="M47" s="1167"/>
      <c r="N47" s="682">
        <v>45504</v>
      </c>
      <c r="O47" s="1158"/>
      <c r="P47" s="674">
        <v>2000</v>
      </c>
      <c r="Q47" s="675">
        <v>45505</v>
      </c>
      <c r="R47" s="676"/>
      <c r="S47" s="677"/>
      <c r="T47" s="677"/>
      <c r="U47" s="1161"/>
      <c r="V47" s="1280"/>
      <c r="W47" s="1164"/>
      <c r="X47" s="110">
        <v>34</v>
      </c>
    </row>
    <row r="48" spans="1:24" s="110" customFormat="1" x14ac:dyDescent="0.25">
      <c r="A48" s="1009"/>
      <c r="B48" s="1167"/>
      <c r="C48" s="1167"/>
      <c r="D48" s="1167"/>
      <c r="E48" s="1167"/>
      <c r="F48" s="1158"/>
      <c r="G48" s="1283"/>
      <c r="H48" s="1161"/>
      <c r="I48" s="1286"/>
      <c r="J48" s="1289"/>
      <c r="K48" s="1292"/>
      <c r="L48" s="1167"/>
      <c r="M48" s="1167"/>
      <c r="N48" s="682">
        <v>45535</v>
      </c>
      <c r="O48" s="1158"/>
      <c r="P48" s="674">
        <v>2000</v>
      </c>
      <c r="Q48" s="675">
        <v>45539</v>
      </c>
      <c r="R48" s="676"/>
      <c r="S48" s="677"/>
      <c r="T48" s="677"/>
      <c r="U48" s="1161"/>
      <c r="V48" s="1280"/>
      <c r="W48" s="1164"/>
      <c r="X48" s="110">
        <v>34</v>
      </c>
    </row>
    <row r="49" spans="1:24" s="110" customFormat="1" x14ac:dyDescent="0.25">
      <c r="A49" s="1009"/>
      <c r="B49" s="1167"/>
      <c r="C49" s="1167"/>
      <c r="D49" s="1167"/>
      <c r="E49" s="1167"/>
      <c r="F49" s="1158"/>
      <c r="G49" s="1283"/>
      <c r="H49" s="1161"/>
      <c r="I49" s="1286"/>
      <c r="J49" s="1289"/>
      <c r="K49" s="1292"/>
      <c r="L49" s="1167"/>
      <c r="M49" s="1167"/>
      <c r="N49" s="682">
        <v>45565</v>
      </c>
      <c r="O49" s="1158"/>
      <c r="P49" s="674">
        <v>2000</v>
      </c>
      <c r="Q49" s="675">
        <v>45568</v>
      </c>
      <c r="R49" s="676"/>
      <c r="S49" s="677"/>
      <c r="T49" s="677"/>
      <c r="U49" s="1161"/>
      <c r="V49" s="1280"/>
      <c r="W49" s="1164"/>
      <c r="X49" s="110">
        <v>34</v>
      </c>
    </row>
    <row r="50" spans="1:24" s="110" customFormat="1" x14ac:dyDescent="0.25">
      <c r="A50" s="1010"/>
      <c r="B50" s="1168"/>
      <c r="C50" s="1168"/>
      <c r="D50" s="1168"/>
      <c r="E50" s="1168"/>
      <c r="F50" s="1159"/>
      <c r="G50" s="1284"/>
      <c r="H50" s="1162"/>
      <c r="I50" s="1287"/>
      <c r="J50" s="1290"/>
      <c r="K50" s="1293"/>
      <c r="L50" s="1168"/>
      <c r="M50" s="1168"/>
      <c r="N50" s="683">
        <v>45596</v>
      </c>
      <c r="O50" s="1159"/>
      <c r="P50" s="678">
        <v>2000</v>
      </c>
      <c r="Q50" s="679"/>
      <c r="R50" s="680"/>
      <c r="S50" s="678"/>
      <c r="T50" s="678"/>
      <c r="U50" s="1162"/>
      <c r="V50" s="1281"/>
      <c r="W50" s="1165"/>
      <c r="X50" s="110">
        <v>34</v>
      </c>
    </row>
    <row r="51" spans="1:24" s="80" customFormat="1" ht="72" customHeight="1" x14ac:dyDescent="0.25">
      <c r="A51" s="1008">
        <v>5</v>
      </c>
      <c r="B51" s="1166" t="s">
        <v>56</v>
      </c>
      <c r="C51" s="1166" t="s">
        <v>147</v>
      </c>
      <c r="D51" s="1166" t="s">
        <v>158</v>
      </c>
      <c r="E51" s="1166" t="s">
        <v>184</v>
      </c>
      <c r="F51" s="1157">
        <v>45289</v>
      </c>
      <c r="G51" s="1282" t="s">
        <v>185</v>
      </c>
      <c r="H51" s="1160">
        <v>36000</v>
      </c>
      <c r="I51" s="1285">
        <f>IF(X51 = 35, H51 + SUM(S51:S60) - SUM(T51:T60) - SUM(P51:P60) - V51,0)</f>
        <v>6000</v>
      </c>
      <c r="J51" s="1288">
        <v>2353002302</v>
      </c>
      <c r="K51" s="1291" t="s">
        <v>182</v>
      </c>
      <c r="L51" s="1166" t="s">
        <v>147</v>
      </c>
      <c r="M51" s="1166" t="s">
        <v>175</v>
      </c>
      <c r="N51" s="681">
        <v>45322</v>
      </c>
      <c r="O51" s="1157" t="s">
        <v>203</v>
      </c>
      <c r="P51" s="670">
        <v>3000</v>
      </c>
      <c r="Q51" s="671">
        <v>45327</v>
      </c>
      <c r="R51" s="672"/>
      <c r="S51" s="673"/>
      <c r="T51" s="673"/>
      <c r="U51" s="1160"/>
      <c r="V51" s="1279"/>
      <c r="W51" s="1163"/>
      <c r="X51" s="80">
        <v>35</v>
      </c>
    </row>
    <row r="52" spans="1:24" s="110" customFormat="1" x14ac:dyDescent="0.25">
      <c r="A52" s="1009"/>
      <c r="B52" s="1167"/>
      <c r="C52" s="1167"/>
      <c r="D52" s="1167"/>
      <c r="E52" s="1167"/>
      <c r="F52" s="1158"/>
      <c r="G52" s="1283"/>
      <c r="H52" s="1161"/>
      <c r="I52" s="1286"/>
      <c r="J52" s="1289"/>
      <c r="K52" s="1292"/>
      <c r="L52" s="1167"/>
      <c r="M52" s="1167"/>
      <c r="N52" s="682">
        <v>45351</v>
      </c>
      <c r="O52" s="1158"/>
      <c r="P52" s="674">
        <v>3000</v>
      </c>
      <c r="Q52" s="675">
        <v>45351</v>
      </c>
      <c r="R52" s="676"/>
      <c r="S52" s="677"/>
      <c r="T52" s="677"/>
      <c r="U52" s="1161"/>
      <c r="V52" s="1280"/>
      <c r="W52" s="1164"/>
      <c r="X52" s="110">
        <v>35</v>
      </c>
    </row>
    <row r="53" spans="1:24" s="110" customFormat="1" x14ac:dyDescent="0.25">
      <c r="A53" s="1009"/>
      <c r="B53" s="1167"/>
      <c r="C53" s="1167"/>
      <c r="D53" s="1167"/>
      <c r="E53" s="1167"/>
      <c r="F53" s="1158"/>
      <c r="G53" s="1283"/>
      <c r="H53" s="1161"/>
      <c r="I53" s="1286"/>
      <c r="J53" s="1289"/>
      <c r="K53" s="1292"/>
      <c r="L53" s="1167"/>
      <c r="M53" s="1167"/>
      <c r="N53" s="682">
        <v>45382</v>
      </c>
      <c r="O53" s="1158"/>
      <c r="P53" s="674">
        <v>3000</v>
      </c>
      <c r="Q53" s="675">
        <v>38080</v>
      </c>
      <c r="R53" s="676"/>
      <c r="S53" s="677"/>
      <c r="T53" s="677"/>
      <c r="U53" s="1161"/>
      <c r="V53" s="1280"/>
      <c r="W53" s="1164"/>
      <c r="X53" s="110">
        <v>35</v>
      </c>
    </row>
    <row r="54" spans="1:24" s="110" customFormat="1" x14ac:dyDescent="0.25">
      <c r="A54" s="1009"/>
      <c r="B54" s="1167"/>
      <c r="C54" s="1167"/>
      <c r="D54" s="1167"/>
      <c r="E54" s="1167"/>
      <c r="F54" s="1158"/>
      <c r="G54" s="1283"/>
      <c r="H54" s="1161"/>
      <c r="I54" s="1286"/>
      <c r="J54" s="1289"/>
      <c r="K54" s="1292"/>
      <c r="L54" s="1167"/>
      <c r="M54" s="1167"/>
      <c r="N54" s="682">
        <v>45412</v>
      </c>
      <c r="O54" s="1158"/>
      <c r="P54" s="674">
        <v>3000</v>
      </c>
      <c r="Q54" s="675">
        <v>45419</v>
      </c>
      <c r="R54" s="676"/>
      <c r="S54" s="677"/>
      <c r="T54" s="677"/>
      <c r="U54" s="1161"/>
      <c r="V54" s="1280"/>
      <c r="W54" s="1164"/>
      <c r="X54" s="110">
        <v>35</v>
      </c>
    </row>
    <row r="55" spans="1:24" s="110" customFormat="1" x14ac:dyDescent="0.25">
      <c r="A55" s="1009"/>
      <c r="B55" s="1167"/>
      <c r="C55" s="1167"/>
      <c r="D55" s="1167"/>
      <c r="E55" s="1167"/>
      <c r="F55" s="1158"/>
      <c r="G55" s="1283"/>
      <c r="H55" s="1161"/>
      <c r="I55" s="1286"/>
      <c r="J55" s="1289"/>
      <c r="K55" s="1292"/>
      <c r="L55" s="1167"/>
      <c r="M55" s="1167"/>
      <c r="N55" s="682">
        <v>45443</v>
      </c>
      <c r="O55" s="1158"/>
      <c r="P55" s="674">
        <v>3000</v>
      </c>
      <c r="Q55" s="675">
        <v>45448</v>
      </c>
      <c r="R55" s="676"/>
      <c r="S55" s="677"/>
      <c r="T55" s="677"/>
      <c r="U55" s="1161"/>
      <c r="V55" s="1280"/>
      <c r="W55" s="1164"/>
      <c r="X55" s="110">
        <v>35</v>
      </c>
    </row>
    <row r="56" spans="1:24" s="110" customFormat="1" x14ac:dyDescent="0.25">
      <c r="A56" s="1009"/>
      <c r="B56" s="1167"/>
      <c r="C56" s="1167"/>
      <c r="D56" s="1167"/>
      <c r="E56" s="1167"/>
      <c r="F56" s="1158"/>
      <c r="G56" s="1283"/>
      <c r="H56" s="1161"/>
      <c r="I56" s="1286"/>
      <c r="J56" s="1289"/>
      <c r="K56" s="1292"/>
      <c r="L56" s="1167"/>
      <c r="M56" s="1167"/>
      <c r="N56" s="682">
        <v>45473</v>
      </c>
      <c r="O56" s="1158"/>
      <c r="P56" s="674">
        <v>3000</v>
      </c>
      <c r="Q56" s="675">
        <v>45446</v>
      </c>
      <c r="R56" s="676"/>
      <c r="S56" s="677"/>
      <c r="T56" s="677"/>
      <c r="U56" s="1161"/>
      <c r="V56" s="1280"/>
      <c r="W56" s="1164"/>
      <c r="X56" s="110">
        <v>35</v>
      </c>
    </row>
    <row r="57" spans="1:24" s="110" customFormat="1" x14ac:dyDescent="0.25">
      <c r="A57" s="1009"/>
      <c r="B57" s="1167"/>
      <c r="C57" s="1167"/>
      <c r="D57" s="1167"/>
      <c r="E57" s="1167"/>
      <c r="F57" s="1158"/>
      <c r="G57" s="1283"/>
      <c r="H57" s="1161"/>
      <c r="I57" s="1286"/>
      <c r="J57" s="1289"/>
      <c r="K57" s="1292"/>
      <c r="L57" s="1167"/>
      <c r="M57" s="1167"/>
      <c r="N57" s="682" t="s">
        <v>365</v>
      </c>
      <c r="O57" s="1158"/>
      <c r="P57" s="674">
        <v>3000</v>
      </c>
      <c r="Q57" s="675">
        <v>45505</v>
      </c>
      <c r="R57" s="676"/>
      <c r="S57" s="677"/>
      <c r="T57" s="677"/>
      <c r="U57" s="1161"/>
      <c r="V57" s="1280"/>
      <c r="W57" s="1164"/>
      <c r="X57" s="110">
        <v>35</v>
      </c>
    </row>
    <row r="58" spans="1:24" s="110" customFormat="1" x14ac:dyDescent="0.25">
      <c r="A58" s="1009"/>
      <c r="B58" s="1167"/>
      <c r="C58" s="1167"/>
      <c r="D58" s="1167"/>
      <c r="E58" s="1167"/>
      <c r="F58" s="1158"/>
      <c r="G58" s="1283"/>
      <c r="H58" s="1161"/>
      <c r="I58" s="1286"/>
      <c r="J58" s="1289"/>
      <c r="K58" s="1292"/>
      <c r="L58" s="1167"/>
      <c r="M58" s="1167"/>
      <c r="N58" s="682">
        <v>45535</v>
      </c>
      <c r="O58" s="1158"/>
      <c r="P58" s="674">
        <v>3000</v>
      </c>
      <c r="Q58" s="675">
        <v>45539</v>
      </c>
      <c r="R58" s="676"/>
      <c r="S58" s="677"/>
      <c r="T58" s="677"/>
      <c r="U58" s="1161"/>
      <c r="V58" s="1280"/>
      <c r="W58" s="1164"/>
      <c r="X58" s="110">
        <v>35</v>
      </c>
    </row>
    <row r="59" spans="1:24" s="110" customFormat="1" x14ac:dyDescent="0.25">
      <c r="A59" s="1009"/>
      <c r="B59" s="1167"/>
      <c r="C59" s="1167"/>
      <c r="D59" s="1167"/>
      <c r="E59" s="1167"/>
      <c r="F59" s="1158"/>
      <c r="G59" s="1283"/>
      <c r="H59" s="1161"/>
      <c r="I59" s="1286"/>
      <c r="J59" s="1289"/>
      <c r="K59" s="1292"/>
      <c r="L59" s="1167"/>
      <c r="M59" s="1167"/>
      <c r="N59" s="682">
        <v>45565</v>
      </c>
      <c r="O59" s="1158"/>
      <c r="P59" s="674">
        <v>3000</v>
      </c>
      <c r="Q59" s="675">
        <v>45568</v>
      </c>
      <c r="R59" s="676"/>
      <c r="S59" s="677"/>
      <c r="T59" s="677"/>
      <c r="U59" s="1161"/>
      <c r="V59" s="1280"/>
      <c r="W59" s="1164"/>
      <c r="X59" s="110">
        <v>35</v>
      </c>
    </row>
    <row r="60" spans="1:24" s="110" customFormat="1" x14ac:dyDescent="0.25">
      <c r="A60" s="1010"/>
      <c r="B60" s="1168"/>
      <c r="C60" s="1168"/>
      <c r="D60" s="1168"/>
      <c r="E60" s="1168"/>
      <c r="F60" s="1159"/>
      <c r="G60" s="1284"/>
      <c r="H60" s="1162"/>
      <c r="I60" s="1287"/>
      <c r="J60" s="1290"/>
      <c r="K60" s="1293"/>
      <c r="L60" s="1168"/>
      <c r="M60" s="1168"/>
      <c r="N60" s="683">
        <v>45596</v>
      </c>
      <c r="O60" s="1159"/>
      <c r="P60" s="678">
        <v>3000</v>
      </c>
      <c r="Q60" s="679"/>
      <c r="R60" s="680"/>
      <c r="S60" s="678"/>
      <c r="T60" s="678"/>
      <c r="U60" s="1162"/>
      <c r="V60" s="1281"/>
      <c r="W60" s="1165"/>
      <c r="X60" s="110">
        <v>35</v>
      </c>
    </row>
    <row r="61" spans="1:24" s="80" customFormat="1" ht="90" customHeight="1" x14ac:dyDescent="0.25">
      <c r="A61" s="1008">
        <v>6</v>
      </c>
      <c r="B61" s="1166" t="s">
        <v>56</v>
      </c>
      <c r="C61" s="1166" t="s">
        <v>147</v>
      </c>
      <c r="D61" s="1166" t="s">
        <v>158</v>
      </c>
      <c r="E61" s="1166" t="s">
        <v>186</v>
      </c>
      <c r="F61" s="1157">
        <v>45289</v>
      </c>
      <c r="G61" s="1282" t="s">
        <v>187</v>
      </c>
      <c r="H61" s="1160">
        <v>27406.080000000002</v>
      </c>
      <c r="I61" s="1285">
        <f>IF(X61 = 36, H61 + SUM(S61:S70) - SUM(T61:T70) - SUM(P61:P70) - V61,0)</f>
        <v>4567.68</v>
      </c>
      <c r="J61" s="1288">
        <v>2310163739</v>
      </c>
      <c r="K61" s="1291" t="s">
        <v>188</v>
      </c>
      <c r="L61" s="1166" t="s">
        <v>147</v>
      </c>
      <c r="M61" s="1166" t="s">
        <v>175</v>
      </c>
      <c r="N61" s="681">
        <v>45322</v>
      </c>
      <c r="O61" s="1157" t="s">
        <v>189</v>
      </c>
      <c r="P61" s="670">
        <v>2283.84</v>
      </c>
      <c r="Q61" s="671">
        <v>45334</v>
      </c>
      <c r="R61" s="672"/>
      <c r="S61" s="673"/>
      <c r="T61" s="673"/>
      <c r="U61" s="1160"/>
      <c r="V61" s="1279"/>
      <c r="W61" s="1163"/>
      <c r="X61" s="80">
        <v>36</v>
      </c>
    </row>
    <row r="62" spans="1:24" s="110" customFormat="1" x14ac:dyDescent="0.25">
      <c r="A62" s="1009"/>
      <c r="B62" s="1167"/>
      <c r="C62" s="1167"/>
      <c r="D62" s="1167"/>
      <c r="E62" s="1167"/>
      <c r="F62" s="1158"/>
      <c r="G62" s="1283"/>
      <c r="H62" s="1161"/>
      <c r="I62" s="1286"/>
      <c r="J62" s="1289"/>
      <c r="K62" s="1292"/>
      <c r="L62" s="1167"/>
      <c r="M62" s="1167"/>
      <c r="N62" s="682">
        <v>45351</v>
      </c>
      <c r="O62" s="1158"/>
      <c r="P62" s="674">
        <v>2283.84</v>
      </c>
      <c r="Q62" s="675">
        <v>45351</v>
      </c>
      <c r="R62" s="676"/>
      <c r="S62" s="677"/>
      <c r="T62" s="677"/>
      <c r="U62" s="1161"/>
      <c r="V62" s="1280"/>
      <c r="W62" s="1164"/>
      <c r="X62" s="110">
        <v>36</v>
      </c>
    </row>
    <row r="63" spans="1:24" s="110" customFormat="1" x14ac:dyDescent="0.25">
      <c r="A63" s="1009"/>
      <c r="B63" s="1167"/>
      <c r="C63" s="1167"/>
      <c r="D63" s="1167"/>
      <c r="E63" s="1167"/>
      <c r="F63" s="1158"/>
      <c r="G63" s="1283"/>
      <c r="H63" s="1161"/>
      <c r="I63" s="1286"/>
      <c r="J63" s="1289"/>
      <c r="K63" s="1292"/>
      <c r="L63" s="1167"/>
      <c r="M63" s="1167"/>
      <c r="N63" s="682">
        <v>45380</v>
      </c>
      <c r="O63" s="1158"/>
      <c r="P63" s="674">
        <v>2283.84</v>
      </c>
      <c r="Q63" s="675">
        <v>45385</v>
      </c>
      <c r="R63" s="676"/>
      <c r="S63" s="677"/>
      <c r="T63" s="677"/>
      <c r="U63" s="1161"/>
      <c r="V63" s="1280"/>
      <c r="W63" s="1164"/>
      <c r="X63" s="110">
        <v>36</v>
      </c>
    </row>
    <row r="64" spans="1:24" s="110" customFormat="1" x14ac:dyDescent="0.25">
      <c r="A64" s="1009"/>
      <c r="B64" s="1167"/>
      <c r="C64" s="1167"/>
      <c r="D64" s="1167"/>
      <c r="E64" s="1167"/>
      <c r="F64" s="1158"/>
      <c r="G64" s="1283"/>
      <c r="H64" s="1161"/>
      <c r="I64" s="1286"/>
      <c r="J64" s="1289"/>
      <c r="K64" s="1292"/>
      <c r="L64" s="1167"/>
      <c r="M64" s="1167"/>
      <c r="N64" s="682">
        <v>45409</v>
      </c>
      <c r="O64" s="1158"/>
      <c r="P64" s="674">
        <v>2283.84</v>
      </c>
      <c r="Q64" s="675">
        <v>45419</v>
      </c>
      <c r="R64" s="676"/>
      <c r="S64" s="677"/>
      <c r="T64" s="677"/>
      <c r="U64" s="1161"/>
      <c r="V64" s="1280"/>
      <c r="W64" s="1164"/>
      <c r="X64" s="110">
        <v>36</v>
      </c>
    </row>
    <row r="65" spans="1:24" s="110" customFormat="1" x14ac:dyDescent="0.25">
      <c r="A65" s="1009"/>
      <c r="B65" s="1167"/>
      <c r="C65" s="1167"/>
      <c r="D65" s="1167"/>
      <c r="E65" s="1167"/>
      <c r="F65" s="1158"/>
      <c r="G65" s="1283"/>
      <c r="H65" s="1161"/>
      <c r="I65" s="1286"/>
      <c r="J65" s="1289"/>
      <c r="K65" s="1292"/>
      <c r="L65" s="1167"/>
      <c r="M65" s="1167"/>
      <c r="N65" s="682">
        <v>45443</v>
      </c>
      <c r="O65" s="1158"/>
      <c r="P65" s="674">
        <v>2283.84</v>
      </c>
      <c r="Q65" s="675">
        <v>45448</v>
      </c>
      <c r="R65" s="676"/>
      <c r="S65" s="677"/>
      <c r="T65" s="677"/>
      <c r="U65" s="1161"/>
      <c r="V65" s="1280"/>
      <c r="W65" s="1164"/>
      <c r="X65" s="110">
        <v>36</v>
      </c>
    </row>
    <row r="66" spans="1:24" s="110" customFormat="1" x14ac:dyDescent="0.25">
      <c r="A66" s="1009"/>
      <c r="B66" s="1167"/>
      <c r="C66" s="1167"/>
      <c r="D66" s="1167"/>
      <c r="E66" s="1167"/>
      <c r="F66" s="1158"/>
      <c r="G66" s="1283"/>
      <c r="H66" s="1161"/>
      <c r="I66" s="1286"/>
      <c r="J66" s="1289"/>
      <c r="K66" s="1292"/>
      <c r="L66" s="1167"/>
      <c r="M66" s="1167"/>
      <c r="N66" s="682">
        <v>45471</v>
      </c>
      <c r="O66" s="1158"/>
      <c r="P66" s="674">
        <v>2283.84</v>
      </c>
      <c r="Q66" s="675">
        <v>45477</v>
      </c>
      <c r="R66" s="676"/>
      <c r="S66" s="677"/>
      <c r="T66" s="677"/>
      <c r="U66" s="1161"/>
      <c r="V66" s="1280"/>
      <c r="W66" s="1164"/>
      <c r="X66" s="110">
        <v>36</v>
      </c>
    </row>
    <row r="67" spans="1:24" s="110" customFormat="1" x14ac:dyDescent="0.25">
      <c r="A67" s="1009"/>
      <c r="B67" s="1167"/>
      <c r="C67" s="1167"/>
      <c r="D67" s="1167"/>
      <c r="E67" s="1167"/>
      <c r="F67" s="1158"/>
      <c r="G67" s="1283"/>
      <c r="H67" s="1161"/>
      <c r="I67" s="1286"/>
      <c r="J67" s="1289"/>
      <c r="K67" s="1292"/>
      <c r="L67" s="1167"/>
      <c r="M67" s="1167"/>
      <c r="N67" s="682">
        <v>45504</v>
      </c>
      <c r="O67" s="1158"/>
      <c r="P67" s="674">
        <v>2283.84</v>
      </c>
      <c r="Q67" s="675">
        <v>45505</v>
      </c>
      <c r="R67" s="676"/>
      <c r="S67" s="677"/>
      <c r="T67" s="677"/>
      <c r="U67" s="1161"/>
      <c r="V67" s="1280"/>
      <c r="W67" s="1164"/>
      <c r="X67" s="110">
        <v>36</v>
      </c>
    </row>
    <row r="68" spans="1:24" s="110" customFormat="1" x14ac:dyDescent="0.25">
      <c r="A68" s="1009"/>
      <c r="B68" s="1167"/>
      <c r="C68" s="1167"/>
      <c r="D68" s="1167"/>
      <c r="E68" s="1167"/>
      <c r="F68" s="1158"/>
      <c r="G68" s="1283"/>
      <c r="H68" s="1161"/>
      <c r="I68" s="1286"/>
      <c r="J68" s="1289"/>
      <c r="K68" s="1292"/>
      <c r="L68" s="1167"/>
      <c r="M68" s="1167"/>
      <c r="N68" s="682">
        <v>45534</v>
      </c>
      <c r="O68" s="1158"/>
      <c r="P68" s="674">
        <v>2283.84</v>
      </c>
      <c r="Q68" s="675">
        <v>45545</v>
      </c>
      <c r="R68" s="676"/>
      <c r="S68" s="677"/>
      <c r="T68" s="677"/>
      <c r="U68" s="1161"/>
      <c r="V68" s="1280"/>
      <c r="W68" s="1164"/>
      <c r="X68" s="110">
        <v>36</v>
      </c>
    </row>
    <row r="69" spans="1:24" s="110" customFormat="1" x14ac:dyDescent="0.25">
      <c r="A69" s="1009"/>
      <c r="B69" s="1167"/>
      <c r="C69" s="1167"/>
      <c r="D69" s="1167"/>
      <c r="E69" s="1167"/>
      <c r="F69" s="1158"/>
      <c r="G69" s="1283"/>
      <c r="H69" s="1161"/>
      <c r="I69" s="1286"/>
      <c r="J69" s="1289"/>
      <c r="K69" s="1292"/>
      <c r="L69" s="1167"/>
      <c r="M69" s="1167"/>
      <c r="N69" s="682">
        <v>45565</v>
      </c>
      <c r="O69" s="1158"/>
      <c r="P69" s="674">
        <v>2283.84</v>
      </c>
      <c r="Q69" s="675">
        <v>45568</v>
      </c>
      <c r="R69" s="676"/>
      <c r="S69" s="677"/>
      <c r="T69" s="677"/>
      <c r="U69" s="1161"/>
      <c r="V69" s="1280"/>
      <c r="W69" s="1164"/>
      <c r="X69" s="110">
        <v>36</v>
      </c>
    </row>
    <row r="70" spans="1:24" s="110" customFormat="1" x14ac:dyDescent="0.25">
      <c r="A70" s="1010"/>
      <c r="B70" s="1168"/>
      <c r="C70" s="1168"/>
      <c r="D70" s="1168"/>
      <c r="E70" s="1168"/>
      <c r="F70" s="1159"/>
      <c r="G70" s="1284"/>
      <c r="H70" s="1162"/>
      <c r="I70" s="1287"/>
      <c r="J70" s="1290"/>
      <c r="K70" s="1293"/>
      <c r="L70" s="1168"/>
      <c r="M70" s="1168"/>
      <c r="N70" s="683">
        <v>45596</v>
      </c>
      <c r="O70" s="1159"/>
      <c r="P70" s="746">
        <v>2283.84</v>
      </c>
      <c r="Q70" s="679">
        <v>45596</v>
      </c>
      <c r="R70" s="680"/>
      <c r="S70" s="678"/>
      <c r="T70" s="678"/>
      <c r="U70" s="1162"/>
      <c r="V70" s="1281"/>
      <c r="W70" s="1165"/>
      <c r="X70" s="110">
        <v>36</v>
      </c>
    </row>
    <row r="71" spans="1:24" s="80" customFormat="1" ht="36" customHeight="1" x14ac:dyDescent="0.25">
      <c r="A71" s="1306">
        <v>7</v>
      </c>
      <c r="B71" s="1112" t="s">
        <v>56</v>
      </c>
      <c r="C71" s="1112" t="s">
        <v>147</v>
      </c>
      <c r="D71" s="1112" t="s">
        <v>158</v>
      </c>
      <c r="E71" s="1112" t="s">
        <v>196</v>
      </c>
      <c r="F71" s="1303">
        <v>45289</v>
      </c>
      <c r="G71" s="1300" t="s">
        <v>197</v>
      </c>
      <c r="H71" s="1076">
        <v>21000</v>
      </c>
      <c r="I71" s="1121">
        <f>IF(X71 = 39, H71 + SUM(S71:S73) - SUM(T71:T73) - SUM(P71:P73) - V71,0)</f>
        <v>0</v>
      </c>
      <c r="J71" s="1115">
        <v>235306577600</v>
      </c>
      <c r="K71" s="1118" t="s">
        <v>200</v>
      </c>
      <c r="L71" s="1112" t="s">
        <v>147</v>
      </c>
      <c r="M71" s="1112" t="s">
        <v>175</v>
      </c>
      <c r="N71" s="503">
        <v>45382</v>
      </c>
      <c r="O71" s="1303" t="s">
        <v>198</v>
      </c>
      <c r="P71" s="483">
        <v>9000</v>
      </c>
      <c r="Q71" s="484">
        <v>45384</v>
      </c>
      <c r="R71" s="485"/>
      <c r="S71" s="486"/>
      <c r="T71" s="486"/>
      <c r="U71" s="1076"/>
      <c r="V71" s="1073"/>
      <c r="W71" s="1148"/>
      <c r="X71" s="80">
        <v>39</v>
      </c>
    </row>
    <row r="72" spans="1:24" s="110" customFormat="1" x14ac:dyDescent="0.25">
      <c r="A72" s="1307"/>
      <c r="B72" s="1113"/>
      <c r="C72" s="1113"/>
      <c r="D72" s="1113"/>
      <c r="E72" s="1113"/>
      <c r="F72" s="1304"/>
      <c r="G72" s="1301"/>
      <c r="H72" s="1077"/>
      <c r="I72" s="1122"/>
      <c r="J72" s="1116"/>
      <c r="K72" s="1119"/>
      <c r="L72" s="1113"/>
      <c r="M72" s="1113"/>
      <c r="N72" s="504">
        <v>45473</v>
      </c>
      <c r="O72" s="1304"/>
      <c r="P72" s="487">
        <v>9000</v>
      </c>
      <c r="Q72" s="488">
        <v>45476</v>
      </c>
      <c r="R72" s="489"/>
      <c r="S72" s="490"/>
      <c r="T72" s="490"/>
      <c r="U72" s="1077"/>
      <c r="V72" s="1074"/>
      <c r="W72" s="1149"/>
      <c r="X72" s="110">
        <v>39</v>
      </c>
    </row>
    <row r="73" spans="1:24" s="110" customFormat="1" x14ac:dyDescent="0.25">
      <c r="A73" s="1308"/>
      <c r="B73" s="1114"/>
      <c r="C73" s="1114"/>
      <c r="D73" s="1114"/>
      <c r="E73" s="1114"/>
      <c r="F73" s="1305"/>
      <c r="G73" s="1302"/>
      <c r="H73" s="1078"/>
      <c r="I73" s="1123"/>
      <c r="J73" s="1117"/>
      <c r="K73" s="1120"/>
      <c r="L73" s="1114"/>
      <c r="M73" s="1114"/>
      <c r="N73" s="505">
        <v>45504</v>
      </c>
      <c r="O73" s="1305"/>
      <c r="P73" s="526">
        <v>3000</v>
      </c>
      <c r="Q73" s="499">
        <v>45510</v>
      </c>
      <c r="R73" s="500"/>
      <c r="S73" s="498"/>
      <c r="T73" s="498"/>
      <c r="U73" s="1078"/>
      <c r="V73" s="1075"/>
      <c r="W73" s="1150"/>
      <c r="X73" s="110">
        <v>39</v>
      </c>
    </row>
    <row r="74" spans="1:24" s="80" customFormat="1" ht="56.25" x14ac:dyDescent="0.25">
      <c r="A74" s="111">
        <v>8</v>
      </c>
      <c r="B74" s="109" t="s">
        <v>56</v>
      </c>
      <c r="C74" s="112" t="s">
        <v>147</v>
      </c>
      <c r="D74" s="109" t="s">
        <v>158</v>
      </c>
      <c r="E74" s="112" t="s">
        <v>116</v>
      </c>
      <c r="F74" s="121">
        <v>45289</v>
      </c>
      <c r="G74" s="113" t="s">
        <v>199</v>
      </c>
      <c r="H74" s="114">
        <v>5179.24</v>
      </c>
      <c r="I74" s="115">
        <f>IF(X74 = 40, H74 + SUM(S74:S74) - SUM(T74:T74) - SUM(P74:P74) - V74,0)</f>
        <v>0</v>
      </c>
      <c r="J74" s="116">
        <v>2353023951</v>
      </c>
      <c r="K74" s="117" t="s">
        <v>201</v>
      </c>
      <c r="L74" s="112" t="s">
        <v>147</v>
      </c>
      <c r="M74" s="109" t="s">
        <v>202</v>
      </c>
      <c r="N74" s="121">
        <v>45321</v>
      </c>
      <c r="O74" s="119" t="s">
        <v>203</v>
      </c>
      <c r="P74" s="143">
        <v>5179.24</v>
      </c>
      <c r="Q74" s="113">
        <v>45327</v>
      </c>
      <c r="R74" s="112"/>
      <c r="S74" s="114"/>
      <c r="T74" s="114"/>
      <c r="U74" s="114"/>
      <c r="V74" s="118"/>
      <c r="W74" s="120"/>
      <c r="X74" s="80">
        <v>40</v>
      </c>
    </row>
    <row r="75" spans="1:24" s="80" customFormat="1" ht="108" customHeight="1" x14ac:dyDescent="0.25">
      <c r="A75" s="975">
        <v>9</v>
      </c>
      <c r="B75" s="940" t="s">
        <v>56</v>
      </c>
      <c r="C75" s="940" t="s">
        <v>147</v>
      </c>
      <c r="D75" s="940" t="s">
        <v>158</v>
      </c>
      <c r="E75" s="940" t="s">
        <v>116</v>
      </c>
      <c r="F75" s="949">
        <v>45289</v>
      </c>
      <c r="G75" s="952" t="s">
        <v>204</v>
      </c>
      <c r="H75" s="955">
        <v>63000</v>
      </c>
      <c r="I75" s="958">
        <f>IF(X75 = 41, H75 + SUM(S75:S83) - SUM(T75:T83) - SUM(P75:P83) - V75,0)</f>
        <v>16750</v>
      </c>
      <c r="J75" s="961">
        <v>2353017179</v>
      </c>
      <c r="K75" s="964" t="s">
        <v>205</v>
      </c>
      <c r="L75" s="940" t="s">
        <v>147</v>
      </c>
      <c r="M75" s="940" t="s">
        <v>175</v>
      </c>
      <c r="N75" s="739">
        <v>45322</v>
      </c>
      <c r="O75" s="949" t="s">
        <v>203</v>
      </c>
      <c r="P75" s="728">
        <v>6950</v>
      </c>
      <c r="Q75" s="729">
        <v>45331</v>
      </c>
      <c r="R75" s="730"/>
      <c r="S75" s="731"/>
      <c r="T75" s="731"/>
      <c r="U75" s="955"/>
      <c r="V75" s="943"/>
      <c r="W75" s="946"/>
      <c r="X75" s="80">
        <v>41</v>
      </c>
    </row>
    <row r="76" spans="1:24" s="110" customFormat="1" x14ac:dyDescent="0.25">
      <c r="A76" s="976"/>
      <c r="B76" s="941"/>
      <c r="C76" s="941"/>
      <c r="D76" s="941"/>
      <c r="E76" s="941"/>
      <c r="F76" s="950"/>
      <c r="G76" s="953"/>
      <c r="H76" s="956"/>
      <c r="I76" s="959"/>
      <c r="J76" s="962"/>
      <c r="K76" s="965"/>
      <c r="L76" s="941"/>
      <c r="M76" s="941"/>
      <c r="N76" s="740">
        <v>45351</v>
      </c>
      <c r="O76" s="950"/>
      <c r="P76" s="732">
        <v>7200</v>
      </c>
      <c r="Q76" s="733">
        <v>45365</v>
      </c>
      <c r="R76" s="734"/>
      <c r="S76" s="735"/>
      <c r="T76" s="735"/>
      <c r="U76" s="956"/>
      <c r="V76" s="944"/>
      <c r="W76" s="947"/>
      <c r="X76" s="110">
        <v>41</v>
      </c>
    </row>
    <row r="77" spans="1:24" s="110" customFormat="1" x14ac:dyDescent="0.25">
      <c r="A77" s="976"/>
      <c r="B77" s="941"/>
      <c r="C77" s="941"/>
      <c r="D77" s="941"/>
      <c r="E77" s="941"/>
      <c r="F77" s="950"/>
      <c r="G77" s="953"/>
      <c r="H77" s="956"/>
      <c r="I77" s="959"/>
      <c r="J77" s="962"/>
      <c r="K77" s="965"/>
      <c r="L77" s="941"/>
      <c r="M77" s="941"/>
      <c r="N77" s="740">
        <v>45382</v>
      </c>
      <c r="O77" s="950"/>
      <c r="P77" s="732">
        <v>6900</v>
      </c>
      <c r="Q77" s="733">
        <v>45393</v>
      </c>
      <c r="R77" s="734"/>
      <c r="S77" s="735"/>
      <c r="T77" s="735"/>
      <c r="U77" s="956"/>
      <c r="V77" s="944"/>
      <c r="W77" s="947"/>
      <c r="X77" s="110">
        <v>41</v>
      </c>
    </row>
    <row r="78" spans="1:24" s="110" customFormat="1" x14ac:dyDescent="0.25">
      <c r="A78" s="976"/>
      <c r="B78" s="941"/>
      <c r="C78" s="941"/>
      <c r="D78" s="941"/>
      <c r="E78" s="941"/>
      <c r="F78" s="950"/>
      <c r="G78" s="953"/>
      <c r="H78" s="956"/>
      <c r="I78" s="959"/>
      <c r="J78" s="962"/>
      <c r="K78" s="965"/>
      <c r="L78" s="941"/>
      <c r="M78" s="941"/>
      <c r="N78" s="740">
        <v>45412</v>
      </c>
      <c r="O78" s="950"/>
      <c r="P78" s="732">
        <v>7200</v>
      </c>
      <c r="Q78" s="733">
        <v>45428</v>
      </c>
      <c r="R78" s="734"/>
      <c r="S78" s="735"/>
      <c r="T78" s="735"/>
      <c r="U78" s="956"/>
      <c r="V78" s="944"/>
      <c r="W78" s="947"/>
      <c r="X78" s="110">
        <v>41</v>
      </c>
    </row>
    <row r="79" spans="1:24" s="110" customFormat="1" x14ac:dyDescent="0.25">
      <c r="A79" s="976"/>
      <c r="B79" s="941"/>
      <c r="C79" s="941"/>
      <c r="D79" s="941"/>
      <c r="E79" s="941"/>
      <c r="F79" s="950"/>
      <c r="G79" s="953"/>
      <c r="H79" s="956"/>
      <c r="I79" s="959"/>
      <c r="J79" s="962"/>
      <c r="K79" s="965"/>
      <c r="L79" s="941"/>
      <c r="M79" s="941"/>
      <c r="N79" s="740">
        <v>45443</v>
      </c>
      <c r="O79" s="950"/>
      <c r="P79" s="732">
        <v>6000</v>
      </c>
      <c r="Q79" s="733">
        <v>45454</v>
      </c>
      <c r="R79" s="734"/>
      <c r="S79" s="735"/>
      <c r="T79" s="735"/>
      <c r="U79" s="956"/>
      <c r="V79" s="944"/>
      <c r="W79" s="947"/>
      <c r="X79" s="110">
        <v>41</v>
      </c>
    </row>
    <row r="80" spans="1:24" s="110" customFormat="1" x14ac:dyDescent="0.25">
      <c r="A80" s="976"/>
      <c r="B80" s="941"/>
      <c r="C80" s="941"/>
      <c r="D80" s="941"/>
      <c r="E80" s="941"/>
      <c r="F80" s="950"/>
      <c r="G80" s="953"/>
      <c r="H80" s="956"/>
      <c r="I80" s="959"/>
      <c r="J80" s="962"/>
      <c r="K80" s="965"/>
      <c r="L80" s="941"/>
      <c r="M80" s="941"/>
      <c r="N80" s="740">
        <v>45473</v>
      </c>
      <c r="O80" s="950"/>
      <c r="P80" s="732">
        <v>3900</v>
      </c>
      <c r="Q80" s="733">
        <v>45498</v>
      </c>
      <c r="R80" s="734"/>
      <c r="S80" s="735"/>
      <c r="T80" s="735"/>
      <c r="U80" s="956"/>
      <c r="V80" s="944"/>
      <c r="W80" s="947"/>
      <c r="X80" s="110">
        <v>41</v>
      </c>
    </row>
    <row r="81" spans="1:24" s="110" customFormat="1" x14ac:dyDescent="0.25">
      <c r="A81" s="976"/>
      <c r="B81" s="941"/>
      <c r="C81" s="941"/>
      <c r="D81" s="941"/>
      <c r="E81" s="941"/>
      <c r="F81" s="950"/>
      <c r="G81" s="953"/>
      <c r="H81" s="956"/>
      <c r="I81" s="959"/>
      <c r="J81" s="962"/>
      <c r="K81" s="965"/>
      <c r="L81" s="941"/>
      <c r="M81" s="941"/>
      <c r="N81" s="740">
        <v>45504</v>
      </c>
      <c r="O81" s="950"/>
      <c r="P81" s="732">
        <v>600</v>
      </c>
      <c r="Q81" s="733">
        <v>45510</v>
      </c>
      <c r="R81" s="734"/>
      <c r="S81" s="735"/>
      <c r="T81" s="735"/>
      <c r="U81" s="956"/>
      <c r="V81" s="944"/>
      <c r="W81" s="947"/>
      <c r="X81" s="110">
        <v>41</v>
      </c>
    </row>
    <row r="82" spans="1:24" s="110" customFormat="1" x14ac:dyDescent="0.25">
      <c r="A82" s="976"/>
      <c r="B82" s="941"/>
      <c r="C82" s="941"/>
      <c r="D82" s="941"/>
      <c r="E82" s="941"/>
      <c r="F82" s="950"/>
      <c r="G82" s="953"/>
      <c r="H82" s="956"/>
      <c r="I82" s="959"/>
      <c r="J82" s="962"/>
      <c r="K82" s="965"/>
      <c r="L82" s="941"/>
      <c r="M82" s="941"/>
      <c r="N82" s="740">
        <v>45535</v>
      </c>
      <c r="O82" s="950"/>
      <c r="P82" s="732">
        <v>300</v>
      </c>
      <c r="Q82" s="733">
        <v>45546</v>
      </c>
      <c r="R82" s="734"/>
      <c r="S82" s="735"/>
      <c r="T82" s="735"/>
      <c r="U82" s="956"/>
      <c r="V82" s="944"/>
      <c r="W82" s="947"/>
      <c r="X82" s="110">
        <v>41</v>
      </c>
    </row>
    <row r="83" spans="1:24" s="110" customFormat="1" x14ac:dyDescent="0.25">
      <c r="A83" s="1130"/>
      <c r="B83" s="942"/>
      <c r="C83" s="942"/>
      <c r="D83" s="942"/>
      <c r="E83" s="942"/>
      <c r="F83" s="951"/>
      <c r="G83" s="954"/>
      <c r="H83" s="957"/>
      <c r="I83" s="960"/>
      <c r="J83" s="963"/>
      <c r="K83" s="966"/>
      <c r="L83" s="942"/>
      <c r="M83" s="942"/>
      <c r="N83" s="741">
        <v>45565</v>
      </c>
      <c r="O83" s="951"/>
      <c r="P83" s="751">
        <v>7200</v>
      </c>
      <c r="Q83" s="737">
        <v>45572</v>
      </c>
      <c r="R83" s="738"/>
      <c r="S83" s="736"/>
      <c r="T83" s="736"/>
      <c r="U83" s="957"/>
      <c r="V83" s="945"/>
      <c r="W83" s="948"/>
      <c r="X83" s="110">
        <v>41</v>
      </c>
    </row>
    <row r="84" spans="1:24" s="80" customFormat="1" ht="54" customHeight="1" x14ac:dyDescent="0.25">
      <c r="A84" s="1011">
        <v>10</v>
      </c>
      <c r="B84" s="999" t="s">
        <v>56</v>
      </c>
      <c r="C84" s="999" t="s">
        <v>147</v>
      </c>
      <c r="D84" s="999" t="s">
        <v>158</v>
      </c>
      <c r="E84" s="999" t="s">
        <v>401</v>
      </c>
      <c r="F84" s="1002">
        <v>45289</v>
      </c>
      <c r="G84" s="1064" t="s">
        <v>206</v>
      </c>
      <c r="H84" s="1005">
        <v>3600</v>
      </c>
      <c r="I84" s="1309">
        <f>IF(X84 = 42, H84 + SUM(S84:S86) - SUM(T84:T86) - SUM(P84:P86) - V84,0)</f>
        <v>900</v>
      </c>
      <c r="J84" s="1100">
        <v>2369000660</v>
      </c>
      <c r="K84" s="1103" t="s">
        <v>207</v>
      </c>
      <c r="L84" s="999" t="s">
        <v>147</v>
      </c>
      <c r="M84" s="999" t="s">
        <v>175</v>
      </c>
      <c r="N84" s="568">
        <v>45382</v>
      </c>
      <c r="O84" s="1002" t="s">
        <v>203</v>
      </c>
      <c r="P84" s="557">
        <v>900</v>
      </c>
      <c r="Q84" s="558">
        <v>45384</v>
      </c>
      <c r="R84" s="559"/>
      <c r="S84" s="560"/>
      <c r="T84" s="560"/>
      <c r="U84" s="1005"/>
      <c r="V84" s="1094"/>
      <c r="W84" s="1097"/>
      <c r="X84" s="80">
        <v>42</v>
      </c>
    </row>
    <row r="85" spans="1:24" s="110" customFormat="1" x14ac:dyDescent="0.25">
      <c r="A85" s="1012"/>
      <c r="B85" s="1000"/>
      <c r="C85" s="1000"/>
      <c r="D85" s="1000"/>
      <c r="E85" s="1000"/>
      <c r="F85" s="1003"/>
      <c r="G85" s="1065"/>
      <c r="H85" s="1006"/>
      <c r="I85" s="1310"/>
      <c r="J85" s="1101"/>
      <c r="K85" s="1104"/>
      <c r="L85" s="1000"/>
      <c r="M85" s="1000"/>
      <c r="N85" s="569">
        <v>45473</v>
      </c>
      <c r="O85" s="1003"/>
      <c r="P85" s="561">
        <v>900</v>
      </c>
      <c r="Q85" s="562">
        <v>45476</v>
      </c>
      <c r="R85" s="563"/>
      <c r="S85" s="564"/>
      <c r="T85" s="564"/>
      <c r="U85" s="1006"/>
      <c r="V85" s="1095"/>
      <c r="W85" s="1098"/>
      <c r="X85" s="110">
        <v>42</v>
      </c>
    </row>
    <row r="86" spans="1:24" s="110" customFormat="1" x14ac:dyDescent="0.25">
      <c r="A86" s="1013"/>
      <c r="B86" s="1001"/>
      <c r="C86" s="1001"/>
      <c r="D86" s="1001"/>
      <c r="E86" s="1001"/>
      <c r="F86" s="1004"/>
      <c r="G86" s="1066"/>
      <c r="H86" s="1007"/>
      <c r="I86" s="1311"/>
      <c r="J86" s="1102"/>
      <c r="K86" s="1105"/>
      <c r="L86" s="1001"/>
      <c r="M86" s="1001"/>
      <c r="N86" s="570">
        <v>45565</v>
      </c>
      <c r="O86" s="1004"/>
      <c r="P86" s="727">
        <v>900</v>
      </c>
      <c r="Q86" s="566">
        <v>45568</v>
      </c>
      <c r="R86" s="567"/>
      <c r="S86" s="565"/>
      <c r="T86" s="565"/>
      <c r="U86" s="1007"/>
      <c r="V86" s="1096"/>
      <c r="W86" s="1099"/>
      <c r="X86" s="110">
        <v>42</v>
      </c>
    </row>
    <row r="87" spans="1:24" s="80" customFormat="1" ht="36" customHeight="1" x14ac:dyDescent="0.25">
      <c r="A87" s="1124">
        <v>11</v>
      </c>
      <c r="B87" s="1127" t="s">
        <v>56</v>
      </c>
      <c r="C87" s="1127" t="s">
        <v>147</v>
      </c>
      <c r="D87" s="1127" t="s">
        <v>158</v>
      </c>
      <c r="E87" s="1127" t="s">
        <v>211</v>
      </c>
      <c r="F87" s="1082">
        <v>45289</v>
      </c>
      <c r="G87" s="1085" t="s">
        <v>208</v>
      </c>
      <c r="H87" s="1088">
        <v>4500</v>
      </c>
      <c r="I87" s="1091">
        <f>IF(X87 = 43, H87 + SUM(S87:S96) - SUM(T87:T96) - SUM(P87:P96) - V87,0)</f>
        <v>614.40000000000009</v>
      </c>
      <c r="J87" s="1169">
        <v>7707049388</v>
      </c>
      <c r="K87" s="1294" t="s">
        <v>209</v>
      </c>
      <c r="L87" s="1127" t="s">
        <v>210</v>
      </c>
      <c r="M87" s="1127" t="s">
        <v>175</v>
      </c>
      <c r="N87" s="703">
        <v>45322</v>
      </c>
      <c r="O87" s="1082" t="s">
        <v>203</v>
      </c>
      <c r="P87" s="692">
        <v>375.6</v>
      </c>
      <c r="Q87" s="693">
        <v>45328</v>
      </c>
      <c r="R87" s="694"/>
      <c r="S87" s="695"/>
      <c r="T87" s="695"/>
      <c r="U87" s="1088"/>
      <c r="V87" s="1297"/>
      <c r="W87" s="1079"/>
      <c r="X87" s="80">
        <v>43</v>
      </c>
    </row>
    <row r="88" spans="1:24" s="110" customFormat="1" x14ac:dyDescent="0.25">
      <c r="A88" s="1125"/>
      <c r="B88" s="1128"/>
      <c r="C88" s="1128"/>
      <c r="D88" s="1128"/>
      <c r="E88" s="1128"/>
      <c r="F88" s="1083"/>
      <c r="G88" s="1086"/>
      <c r="H88" s="1089"/>
      <c r="I88" s="1092"/>
      <c r="J88" s="1170"/>
      <c r="K88" s="1295"/>
      <c r="L88" s="1128"/>
      <c r="M88" s="1128"/>
      <c r="N88" s="704">
        <v>45351</v>
      </c>
      <c r="O88" s="1083"/>
      <c r="P88" s="696">
        <v>390</v>
      </c>
      <c r="Q88" s="697">
        <v>45363</v>
      </c>
      <c r="R88" s="698"/>
      <c r="S88" s="699"/>
      <c r="T88" s="699"/>
      <c r="U88" s="1089"/>
      <c r="V88" s="1298"/>
      <c r="W88" s="1080"/>
      <c r="X88" s="110">
        <v>43</v>
      </c>
    </row>
    <row r="89" spans="1:24" s="110" customFormat="1" x14ac:dyDescent="0.25">
      <c r="A89" s="1125"/>
      <c r="B89" s="1128"/>
      <c r="C89" s="1128"/>
      <c r="D89" s="1128"/>
      <c r="E89" s="1128"/>
      <c r="F89" s="1083"/>
      <c r="G89" s="1086"/>
      <c r="H89" s="1089"/>
      <c r="I89" s="1092"/>
      <c r="J89" s="1170"/>
      <c r="K89" s="1295"/>
      <c r="L89" s="1128"/>
      <c r="M89" s="1128"/>
      <c r="N89" s="704">
        <v>45382</v>
      </c>
      <c r="O89" s="1083"/>
      <c r="P89" s="696">
        <v>390</v>
      </c>
      <c r="Q89" s="697">
        <v>45391</v>
      </c>
      <c r="R89" s="698"/>
      <c r="S89" s="699"/>
      <c r="T89" s="699"/>
      <c r="U89" s="1089"/>
      <c r="V89" s="1298"/>
      <c r="W89" s="1080"/>
      <c r="X89" s="110">
        <v>43</v>
      </c>
    </row>
    <row r="90" spans="1:24" s="110" customFormat="1" x14ac:dyDescent="0.25">
      <c r="A90" s="1125"/>
      <c r="B90" s="1128"/>
      <c r="C90" s="1128"/>
      <c r="D90" s="1128"/>
      <c r="E90" s="1128"/>
      <c r="F90" s="1083"/>
      <c r="G90" s="1086"/>
      <c r="H90" s="1089"/>
      <c r="I90" s="1092"/>
      <c r="J90" s="1170"/>
      <c r="K90" s="1295"/>
      <c r="L90" s="1128"/>
      <c r="M90" s="1128"/>
      <c r="N90" s="704">
        <v>45412</v>
      </c>
      <c r="O90" s="1083"/>
      <c r="P90" s="696">
        <v>390</v>
      </c>
      <c r="Q90" s="697">
        <v>45420</v>
      </c>
      <c r="R90" s="698"/>
      <c r="S90" s="699"/>
      <c r="T90" s="699"/>
      <c r="U90" s="1089"/>
      <c r="V90" s="1298"/>
      <c r="W90" s="1080"/>
      <c r="X90" s="110">
        <v>43</v>
      </c>
    </row>
    <row r="91" spans="1:24" s="110" customFormat="1" x14ac:dyDescent="0.25">
      <c r="A91" s="1125"/>
      <c r="B91" s="1128"/>
      <c r="C91" s="1128"/>
      <c r="D91" s="1128"/>
      <c r="E91" s="1128"/>
      <c r="F91" s="1083"/>
      <c r="G91" s="1086"/>
      <c r="H91" s="1089"/>
      <c r="I91" s="1092"/>
      <c r="J91" s="1170"/>
      <c r="K91" s="1295"/>
      <c r="L91" s="1128"/>
      <c r="M91" s="1128"/>
      <c r="N91" s="704">
        <v>45443</v>
      </c>
      <c r="O91" s="1083"/>
      <c r="P91" s="696">
        <v>390</v>
      </c>
      <c r="Q91" s="697">
        <v>45454</v>
      </c>
      <c r="R91" s="698"/>
      <c r="S91" s="699"/>
      <c r="T91" s="699"/>
      <c r="U91" s="1089"/>
      <c r="V91" s="1298"/>
      <c r="W91" s="1080"/>
      <c r="X91" s="110">
        <v>43</v>
      </c>
    </row>
    <row r="92" spans="1:24" s="110" customFormat="1" x14ac:dyDescent="0.25">
      <c r="A92" s="1125"/>
      <c r="B92" s="1128"/>
      <c r="C92" s="1128"/>
      <c r="D92" s="1128"/>
      <c r="E92" s="1128"/>
      <c r="F92" s="1083"/>
      <c r="G92" s="1086"/>
      <c r="H92" s="1089"/>
      <c r="I92" s="1092"/>
      <c r="J92" s="1170"/>
      <c r="K92" s="1295"/>
      <c r="L92" s="1128"/>
      <c r="M92" s="1128"/>
      <c r="N92" s="704">
        <v>45473</v>
      </c>
      <c r="O92" s="1083"/>
      <c r="P92" s="696">
        <v>390</v>
      </c>
      <c r="Q92" s="697">
        <v>45477</v>
      </c>
      <c r="R92" s="698"/>
      <c r="S92" s="699"/>
      <c r="T92" s="699"/>
      <c r="U92" s="1089"/>
      <c r="V92" s="1298"/>
      <c r="W92" s="1080"/>
      <c r="X92" s="110">
        <v>43</v>
      </c>
    </row>
    <row r="93" spans="1:24" s="110" customFormat="1" x14ac:dyDescent="0.25">
      <c r="A93" s="1125"/>
      <c r="B93" s="1128"/>
      <c r="C93" s="1128"/>
      <c r="D93" s="1128"/>
      <c r="E93" s="1128"/>
      <c r="F93" s="1083"/>
      <c r="G93" s="1086"/>
      <c r="H93" s="1089"/>
      <c r="I93" s="1092"/>
      <c r="J93" s="1170"/>
      <c r="K93" s="1295"/>
      <c r="L93" s="1128"/>
      <c r="M93" s="1128"/>
      <c r="N93" s="704">
        <v>45504</v>
      </c>
      <c r="O93" s="1083"/>
      <c r="P93" s="696">
        <v>390</v>
      </c>
      <c r="Q93" s="697">
        <v>45512</v>
      </c>
      <c r="R93" s="698"/>
      <c r="S93" s="699"/>
      <c r="T93" s="699"/>
      <c r="U93" s="1089"/>
      <c r="V93" s="1298"/>
      <c r="W93" s="1080"/>
      <c r="X93" s="110">
        <v>43</v>
      </c>
    </row>
    <row r="94" spans="1:24" s="110" customFormat="1" x14ac:dyDescent="0.25">
      <c r="A94" s="1125"/>
      <c r="B94" s="1128"/>
      <c r="C94" s="1128"/>
      <c r="D94" s="1128"/>
      <c r="E94" s="1128"/>
      <c r="F94" s="1083"/>
      <c r="G94" s="1086"/>
      <c r="H94" s="1089"/>
      <c r="I94" s="1092"/>
      <c r="J94" s="1170"/>
      <c r="K94" s="1295"/>
      <c r="L94" s="1128"/>
      <c r="M94" s="1128"/>
      <c r="N94" s="704">
        <v>45535</v>
      </c>
      <c r="O94" s="1083"/>
      <c r="P94" s="696">
        <v>390</v>
      </c>
      <c r="Q94" s="697">
        <v>45539</v>
      </c>
      <c r="R94" s="698"/>
      <c r="S94" s="699"/>
      <c r="T94" s="699"/>
      <c r="U94" s="1089"/>
      <c r="V94" s="1298"/>
      <c r="W94" s="1080"/>
      <c r="X94" s="110">
        <v>43</v>
      </c>
    </row>
    <row r="95" spans="1:24" s="110" customFormat="1" x14ac:dyDescent="0.25">
      <c r="A95" s="1125"/>
      <c r="B95" s="1128"/>
      <c r="C95" s="1128"/>
      <c r="D95" s="1128"/>
      <c r="E95" s="1128"/>
      <c r="F95" s="1083"/>
      <c r="G95" s="1086"/>
      <c r="H95" s="1089"/>
      <c r="I95" s="1092"/>
      <c r="J95" s="1170"/>
      <c r="K95" s="1295"/>
      <c r="L95" s="1128"/>
      <c r="M95" s="1128"/>
      <c r="N95" s="704">
        <v>45565</v>
      </c>
      <c r="O95" s="1083"/>
      <c r="P95" s="699">
        <v>390</v>
      </c>
      <c r="Q95" s="697"/>
      <c r="R95" s="698"/>
      <c r="S95" s="699"/>
      <c r="T95" s="699"/>
      <c r="U95" s="1089"/>
      <c r="V95" s="1298"/>
      <c r="W95" s="1080"/>
      <c r="X95" s="110">
        <v>43</v>
      </c>
    </row>
    <row r="96" spans="1:24" s="110" customFormat="1" x14ac:dyDescent="0.25">
      <c r="A96" s="1126"/>
      <c r="B96" s="1129"/>
      <c r="C96" s="1129"/>
      <c r="D96" s="1129"/>
      <c r="E96" s="1129"/>
      <c r="F96" s="1084"/>
      <c r="G96" s="1087"/>
      <c r="H96" s="1090"/>
      <c r="I96" s="1093"/>
      <c r="J96" s="1171"/>
      <c r="K96" s="1296"/>
      <c r="L96" s="1129"/>
      <c r="M96" s="1129"/>
      <c r="N96" s="705">
        <v>45596</v>
      </c>
      <c r="O96" s="1084"/>
      <c r="P96" s="700">
        <v>390</v>
      </c>
      <c r="Q96" s="701"/>
      <c r="R96" s="702"/>
      <c r="S96" s="700"/>
      <c r="T96" s="700"/>
      <c r="U96" s="1090"/>
      <c r="V96" s="1299"/>
      <c r="W96" s="1081"/>
      <c r="X96" s="110">
        <v>43</v>
      </c>
    </row>
    <row r="97" spans="1:24" s="80" customFormat="1" ht="56.25" x14ac:dyDescent="0.25">
      <c r="A97" s="131">
        <v>12</v>
      </c>
      <c r="B97" s="109" t="s">
        <v>56</v>
      </c>
      <c r="C97" s="123" t="s">
        <v>147</v>
      </c>
      <c r="D97" s="109" t="s">
        <v>158</v>
      </c>
      <c r="E97" s="123" t="s">
        <v>212</v>
      </c>
      <c r="F97" s="132">
        <v>45289</v>
      </c>
      <c r="G97" s="124" t="s">
        <v>213</v>
      </c>
      <c r="H97" s="125">
        <v>50</v>
      </c>
      <c r="I97" s="126">
        <f>IF(X97 = 44, H97 + SUM(S97:S97) - SUM(T97:T97) - SUM(P97:P97) - V97,0)</f>
        <v>50</v>
      </c>
      <c r="J97" s="127">
        <v>7707049388</v>
      </c>
      <c r="K97" s="128" t="s">
        <v>209</v>
      </c>
      <c r="L97" s="123" t="s">
        <v>147</v>
      </c>
      <c r="M97" s="123" t="s">
        <v>175</v>
      </c>
      <c r="N97" s="132"/>
      <c r="O97" s="122" t="s">
        <v>203</v>
      </c>
      <c r="P97" s="125"/>
      <c r="Q97" s="124"/>
      <c r="R97" s="123"/>
      <c r="S97" s="125"/>
      <c r="T97" s="125"/>
      <c r="U97" s="125"/>
      <c r="V97" s="129"/>
      <c r="W97" s="130"/>
      <c r="X97" s="80">
        <v>44</v>
      </c>
    </row>
    <row r="98" spans="1:24" s="80" customFormat="1" ht="36" customHeight="1" x14ac:dyDescent="0.25">
      <c r="A98" s="1008">
        <v>13</v>
      </c>
      <c r="B98" s="1166" t="s">
        <v>56</v>
      </c>
      <c r="C98" s="1166" t="s">
        <v>147</v>
      </c>
      <c r="D98" s="1166" t="s">
        <v>158</v>
      </c>
      <c r="E98" s="1166" t="s">
        <v>117</v>
      </c>
      <c r="F98" s="1157">
        <v>45323</v>
      </c>
      <c r="G98" s="1282" t="s">
        <v>199</v>
      </c>
      <c r="H98" s="1160">
        <v>38479.32</v>
      </c>
      <c r="I98" s="1285">
        <f>IF(X98 = 45, H98 + SUM(S98:S106) - SUM(T98:T106) - SUM(P98:P106) - V98,0)</f>
        <v>26633.360000000001</v>
      </c>
      <c r="J98" s="1288">
        <v>2353023951</v>
      </c>
      <c r="K98" s="1291" t="s">
        <v>201</v>
      </c>
      <c r="L98" s="1166" t="s">
        <v>147</v>
      </c>
      <c r="M98" s="1166" t="s">
        <v>216</v>
      </c>
      <c r="N98" s="681">
        <v>45350</v>
      </c>
      <c r="O98" s="1157" t="s">
        <v>203</v>
      </c>
      <c r="P98" s="670">
        <v>173.8</v>
      </c>
      <c r="Q98" s="671">
        <v>45352</v>
      </c>
      <c r="R98" s="672"/>
      <c r="S98" s="673"/>
      <c r="T98" s="673"/>
      <c r="U98" s="1160"/>
      <c r="V98" s="1279"/>
      <c r="W98" s="1163"/>
      <c r="X98" s="80">
        <v>45</v>
      </c>
    </row>
    <row r="99" spans="1:24" s="110" customFormat="1" x14ac:dyDescent="0.25">
      <c r="A99" s="1009"/>
      <c r="B99" s="1167"/>
      <c r="C99" s="1167"/>
      <c r="D99" s="1167"/>
      <c r="E99" s="1167"/>
      <c r="F99" s="1158"/>
      <c r="G99" s="1283"/>
      <c r="H99" s="1161"/>
      <c r="I99" s="1286"/>
      <c r="J99" s="1289"/>
      <c r="K99" s="1292"/>
      <c r="L99" s="1167"/>
      <c r="M99" s="1167"/>
      <c r="N99" s="682">
        <v>45380</v>
      </c>
      <c r="O99" s="1158"/>
      <c r="P99" s="674">
        <v>729.96</v>
      </c>
      <c r="Q99" s="675">
        <v>45385</v>
      </c>
      <c r="R99" s="676"/>
      <c r="S99" s="677"/>
      <c r="T99" s="677"/>
      <c r="U99" s="1161"/>
      <c r="V99" s="1280"/>
      <c r="W99" s="1164"/>
      <c r="X99" s="110">
        <v>45</v>
      </c>
    </row>
    <row r="100" spans="1:24" s="110" customFormat="1" x14ac:dyDescent="0.25">
      <c r="A100" s="1009"/>
      <c r="B100" s="1167"/>
      <c r="C100" s="1167"/>
      <c r="D100" s="1167"/>
      <c r="E100" s="1167"/>
      <c r="F100" s="1158"/>
      <c r="G100" s="1283"/>
      <c r="H100" s="1161"/>
      <c r="I100" s="1286"/>
      <c r="J100" s="1289"/>
      <c r="K100" s="1292"/>
      <c r="L100" s="1167"/>
      <c r="M100" s="1167"/>
      <c r="N100" s="682">
        <v>45412</v>
      </c>
      <c r="O100" s="1158"/>
      <c r="P100" s="674">
        <v>1390.4</v>
      </c>
      <c r="Q100" s="675">
        <v>45420</v>
      </c>
      <c r="R100" s="676"/>
      <c r="S100" s="677"/>
      <c r="T100" s="677"/>
      <c r="U100" s="1161"/>
      <c r="V100" s="1280"/>
      <c r="W100" s="1164"/>
      <c r="X100" s="110">
        <v>45</v>
      </c>
    </row>
    <row r="101" spans="1:24" s="110" customFormat="1" x14ac:dyDescent="0.25">
      <c r="A101" s="1009"/>
      <c r="B101" s="1167"/>
      <c r="C101" s="1167"/>
      <c r="D101" s="1167"/>
      <c r="E101" s="1167"/>
      <c r="F101" s="1158"/>
      <c r="G101" s="1283"/>
      <c r="H101" s="1161"/>
      <c r="I101" s="1286"/>
      <c r="J101" s="1289"/>
      <c r="K101" s="1292"/>
      <c r="L101" s="1167"/>
      <c r="M101" s="1167"/>
      <c r="N101" s="682">
        <v>45440</v>
      </c>
      <c r="O101" s="1158"/>
      <c r="P101" s="674">
        <v>556.16</v>
      </c>
      <c r="Q101" s="675">
        <v>45448</v>
      </c>
      <c r="R101" s="676"/>
      <c r="S101" s="677"/>
      <c r="T101" s="677"/>
      <c r="U101" s="1161"/>
      <c r="V101" s="1280"/>
      <c r="W101" s="1164"/>
      <c r="X101" s="110">
        <v>45</v>
      </c>
    </row>
    <row r="102" spans="1:24" s="110" customFormat="1" x14ac:dyDescent="0.25">
      <c r="A102" s="1009"/>
      <c r="B102" s="1167"/>
      <c r="C102" s="1167"/>
      <c r="D102" s="1167"/>
      <c r="E102" s="1167"/>
      <c r="F102" s="1158"/>
      <c r="G102" s="1283"/>
      <c r="H102" s="1161"/>
      <c r="I102" s="1286"/>
      <c r="J102" s="1289"/>
      <c r="K102" s="1292"/>
      <c r="L102" s="1167"/>
      <c r="M102" s="1167"/>
      <c r="N102" s="682">
        <v>45469</v>
      </c>
      <c r="O102" s="1158"/>
      <c r="P102" s="674">
        <v>2224.64</v>
      </c>
      <c r="Q102" s="675">
        <v>45477</v>
      </c>
      <c r="R102" s="676"/>
      <c r="S102" s="677"/>
      <c r="T102" s="677"/>
      <c r="U102" s="1161"/>
      <c r="V102" s="1280"/>
      <c r="W102" s="1164"/>
      <c r="X102" s="110">
        <v>45</v>
      </c>
    </row>
    <row r="103" spans="1:24" s="110" customFormat="1" x14ac:dyDescent="0.25">
      <c r="A103" s="1009"/>
      <c r="B103" s="1167"/>
      <c r="C103" s="1167"/>
      <c r="D103" s="1167"/>
      <c r="E103" s="1167"/>
      <c r="F103" s="1158"/>
      <c r="G103" s="1283"/>
      <c r="H103" s="1161"/>
      <c r="I103" s="1286"/>
      <c r="J103" s="1289"/>
      <c r="K103" s="1292"/>
      <c r="L103" s="1167"/>
      <c r="M103" s="1167"/>
      <c r="N103" s="682">
        <v>45504</v>
      </c>
      <c r="O103" s="1158"/>
      <c r="P103" s="674">
        <v>2035</v>
      </c>
      <c r="Q103" s="675">
        <v>45511</v>
      </c>
      <c r="R103" s="676"/>
      <c r="S103" s="677"/>
      <c r="T103" s="677"/>
      <c r="U103" s="1161"/>
      <c r="V103" s="1280"/>
      <c r="W103" s="1164"/>
      <c r="X103" s="110">
        <v>45</v>
      </c>
    </row>
    <row r="104" spans="1:24" s="110" customFormat="1" x14ac:dyDescent="0.25">
      <c r="A104" s="1009"/>
      <c r="B104" s="1167"/>
      <c r="C104" s="1167"/>
      <c r="D104" s="1167"/>
      <c r="E104" s="1167"/>
      <c r="F104" s="1158"/>
      <c r="G104" s="1283"/>
      <c r="H104" s="1161"/>
      <c r="I104" s="1286"/>
      <c r="J104" s="1289"/>
      <c r="K104" s="1292"/>
      <c r="L104" s="1167"/>
      <c r="M104" s="1167"/>
      <c r="N104" s="682">
        <v>45535</v>
      </c>
      <c r="O104" s="1158"/>
      <c r="P104" s="674">
        <v>2035</v>
      </c>
      <c r="Q104" s="675">
        <v>45539</v>
      </c>
      <c r="R104" s="676"/>
      <c r="S104" s="677"/>
      <c r="T104" s="677"/>
      <c r="U104" s="1161"/>
      <c r="V104" s="1280"/>
      <c r="W104" s="1164"/>
      <c r="X104" s="110">
        <v>45</v>
      </c>
    </row>
    <row r="105" spans="1:24" s="110" customFormat="1" x14ac:dyDescent="0.25">
      <c r="A105" s="1009"/>
      <c r="B105" s="1167"/>
      <c r="C105" s="1167"/>
      <c r="D105" s="1167"/>
      <c r="E105" s="1167"/>
      <c r="F105" s="1158"/>
      <c r="G105" s="1283"/>
      <c r="H105" s="1161"/>
      <c r="I105" s="1286"/>
      <c r="J105" s="1289"/>
      <c r="K105" s="1292"/>
      <c r="L105" s="1167"/>
      <c r="M105" s="1167"/>
      <c r="N105" s="682">
        <v>45562</v>
      </c>
      <c r="O105" s="1158"/>
      <c r="P105" s="674">
        <v>1295</v>
      </c>
      <c r="Q105" s="675">
        <v>45568</v>
      </c>
      <c r="R105" s="676"/>
      <c r="S105" s="677"/>
      <c r="T105" s="677"/>
      <c r="U105" s="1161"/>
      <c r="V105" s="1280"/>
      <c r="W105" s="1164"/>
      <c r="X105" s="110">
        <v>45</v>
      </c>
    </row>
    <row r="106" spans="1:24" s="110" customFormat="1" x14ac:dyDescent="0.25">
      <c r="A106" s="1010"/>
      <c r="B106" s="1168"/>
      <c r="C106" s="1168"/>
      <c r="D106" s="1168"/>
      <c r="E106" s="1168"/>
      <c r="F106" s="1159"/>
      <c r="G106" s="1284"/>
      <c r="H106" s="1162"/>
      <c r="I106" s="1287"/>
      <c r="J106" s="1290"/>
      <c r="K106" s="1293"/>
      <c r="L106" s="1168"/>
      <c r="M106" s="1168"/>
      <c r="N106" s="683">
        <v>45593</v>
      </c>
      <c r="O106" s="1159"/>
      <c r="P106" s="746">
        <v>1406</v>
      </c>
      <c r="Q106" s="679">
        <v>45596</v>
      </c>
      <c r="R106" s="680"/>
      <c r="S106" s="678"/>
      <c r="T106" s="678"/>
      <c r="U106" s="1162"/>
      <c r="V106" s="1281"/>
      <c r="W106" s="1165"/>
      <c r="X106" s="110">
        <v>45</v>
      </c>
    </row>
    <row r="107" spans="1:24" s="80" customFormat="1" ht="42" customHeight="1" x14ac:dyDescent="0.25">
      <c r="A107" s="975">
        <v>14</v>
      </c>
      <c r="B107" s="940" t="s">
        <v>56</v>
      </c>
      <c r="C107" s="940" t="s">
        <v>147</v>
      </c>
      <c r="D107" s="940" t="s">
        <v>158</v>
      </c>
      <c r="E107" s="940" t="s">
        <v>217</v>
      </c>
      <c r="F107" s="949">
        <v>45289</v>
      </c>
      <c r="G107" s="952" t="s">
        <v>218</v>
      </c>
      <c r="H107" s="955">
        <v>12135.8</v>
      </c>
      <c r="I107" s="958">
        <f>IF(X107 = 46, H107 + SUM(S107:S109) - SUM(T107:T109) - SUM(P107:P109) - V107,0)</f>
        <v>3033.9459999999999</v>
      </c>
      <c r="J107" s="961">
        <v>2353018870</v>
      </c>
      <c r="K107" s="964" t="s">
        <v>219</v>
      </c>
      <c r="L107" s="940" t="s">
        <v>147</v>
      </c>
      <c r="M107" s="940" t="s">
        <v>175</v>
      </c>
      <c r="N107" s="739">
        <v>45376</v>
      </c>
      <c r="O107" s="949" t="s">
        <v>203</v>
      </c>
      <c r="P107" s="728">
        <v>3033.9540000000002</v>
      </c>
      <c r="Q107" s="729">
        <v>45378</v>
      </c>
      <c r="R107" s="730"/>
      <c r="S107" s="731"/>
      <c r="T107" s="731"/>
      <c r="U107" s="955"/>
      <c r="V107" s="943"/>
      <c r="W107" s="946"/>
      <c r="X107" s="80">
        <v>46</v>
      </c>
    </row>
    <row r="108" spans="1:24" s="110" customFormat="1" x14ac:dyDescent="0.25">
      <c r="A108" s="976"/>
      <c r="B108" s="941"/>
      <c r="C108" s="941"/>
      <c r="D108" s="941"/>
      <c r="E108" s="941"/>
      <c r="F108" s="950"/>
      <c r="G108" s="953"/>
      <c r="H108" s="956"/>
      <c r="I108" s="959"/>
      <c r="J108" s="962"/>
      <c r="K108" s="965"/>
      <c r="L108" s="941"/>
      <c r="M108" s="941"/>
      <c r="N108" s="740">
        <v>45471</v>
      </c>
      <c r="O108" s="950"/>
      <c r="P108" s="732">
        <v>3033.95</v>
      </c>
      <c r="Q108" s="733">
        <v>45475</v>
      </c>
      <c r="R108" s="734"/>
      <c r="S108" s="735"/>
      <c r="T108" s="735"/>
      <c r="U108" s="956"/>
      <c r="V108" s="944"/>
      <c r="W108" s="947"/>
      <c r="X108" s="110">
        <v>46</v>
      </c>
    </row>
    <row r="109" spans="1:24" s="110" customFormat="1" x14ac:dyDescent="0.25">
      <c r="A109" s="976"/>
      <c r="B109" s="941"/>
      <c r="C109" s="941"/>
      <c r="D109" s="941"/>
      <c r="E109" s="941"/>
      <c r="F109" s="950"/>
      <c r="G109" s="953"/>
      <c r="H109" s="956"/>
      <c r="I109" s="959"/>
      <c r="J109" s="962"/>
      <c r="K109" s="965"/>
      <c r="L109" s="941"/>
      <c r="M109" s="941"/>
      <c r="N109" s="740">
        <v>45565</v>
      </c>
      <c r="O109" s="950"/>
      <c r="P109" s="732">
        <v>3033.95</v>
      </c>
      <c r="Q109" s="733">
        <v>45569</v>
      </c>
      <c r="R109" s="734"/>
      <c r="S109" s="735"/>
      <c r="T109" s="735"/>
      <c r="U109" s="956"/>
      <c r="V109" s="944"/>
      <c r="W109" s="947"/>
      <c r="X109" s="110">
        <v>46</v>
      </c>
    </row>
    <row r="110" spans="1:24" s="80" customFormat="1" ht="56.25" x14ac:dyDescent="0.25">
      <c r="A110" s="133">
        <v>15</v>
      </c>
      <c r="B110" s="109" t="s">
        <v>56</v>
      </c>
      <c r="C110" s="134" t="s">
        <v>147</v>
      </c>
      <c r="D110" s="109" t="s">
        <v>158</v>
      </c>
      <c r="E110" s="134" t="s">
        <v>111</v>
      </c>
      <c r="F110" s="142">
        <v>45317</v>
      </c>
      <c r="G110" s="135" t="s">
        <v>220</v>
      </c>
      <c r="H110" s="136">
        <v>3000</v>
      </c>
      <c r="I110" s="137">
        <f>IF(X110 = 47, H110 + SUM(S110:S110) - SUM(T110:T110) - SUM(P110:P110) - V110,0)</f>
        <v>0</v>
      </c>
      <c r="J110" s="138">
        <v>2369980106</v>
      </c>
      <c r="K110" s="139" t="s">
        <v>222</v>
      </c>
      <c r="L110" s="134" t="s">
        <v>147</v>
      </c>
      <c r="M110" s="134" t="s">
        <v>223</v>
      </c>
      <c r="N110" s="142">
        <v>45324</v>
      </c>
      <c r="O110" s="122" t="s">
        <v>203</v>
      </c>
      <c r="P110" s="150">
        <v>3000</v>
      </c>
      <c r="Q110" s="135">
        <v>45335</v>
      </c>
      <c r="R110" s="134"/>
      <c r="S110" s="136"/>
      <c r="T110" s="136"/>
      <c r="U110" s="136"/>
      <c r="V110" s="140"/>
      <c r="W110" s="141"/>
      <c r="X110" s="80">
        <v>47</v>
      </c>
    </row>
    <row r="111" spans="1:24" s="80" customFormat="1" ht="56.25" x14ac:dyDescent="0.25">
      <c r="A111" s="133">
        <v>16</v>
      </c>
      <c r="B111" s="109" t="s">
        <v>56</v>
      </c>
      <c r="C111" s="134" t="s">
        <v>147</v>
      </c>
      <c r="D111" s="109" t="s">
        <v>158</v>
      </c>
      <c r="E111" s="134" t="s">
        <v>112</v>
      </c>
      <c r="F111" s="142">
        <v>45320</v>
      </c>
      <c r="G111" s="135" t="s">
        <v>221</v>
      </c>
      <c r="H111" s="136">
        <v>1500</v>
      </c>
      <c r="I111" s="137">
        <f>IF(X111 = 48, H111 + SUM(S111:S111) - SUM(T111:T111) - SUM(P111:P111) - V111,0)</f>
        <v>0</v>
      </c>
      <c r="J111" s="138">
        <v>2369980106</v>
      </c>
      <c r="K111" s="139" t="s">
        <v>222</v>
      </c>
      <c r="L111" s="134" t="s">
        <v>147</v>
      </c>
      <c r="M111" s="134" t="s">
        <v>224</v>
      </c>
      <c r="N111" s="142">
        <v>45324</v>
      </c>
      <c r="O111" s="122" t="s">
        <v>203</v>
      </c>
      <c r="P111" s="150">
        <v>1500</v>
      </c>
      <c r="Q111" s="135">
        <v>45335</v>
      </c>
      <c r="R111" s="134"/>
      <c r="S111" s="136"/>
      <c r="T111" s="136"/>
      <c r="U111" s="136"/>
      <c r="V111" s="140"/>
      <c r="W111" s="141"/>
      <c r="X111" s="80">
        <v>48</v>
      </c>
    </row>
    <row r="112" spans="1:24" s="80" customFormat="1" ht="36" customHeight="1" x14ac:dyDescent="0.25">
      <c r="A112" s="971">
        <v>17</v>
      </c>
      <c r="B112" s="977" t="s">
        <v>56</v>
      </c>
      <c r="C112" s="977" t="s">
        <v>147</v>
      </c>
      <c r="D112" s="977" t="s">
        <v>158</v>
      </c>
      <c r="E112" s="977" t="s">
        <v>226</v>
      </c>
      <c r="F112" s="996">
        <v>45290</v>
      </c>
      <c r="G112" s="980" t="s">
        <v>227</v>
      </c>
      <c r="H112" s="983">
        <v>12916.8</v>
      </c>
      <c r="I112" s="986">
        <f>IF(X112 = 49, H112 + SUM(S112:S114) - SUM(T112:T114) - SUM(P112:P114) - V112,0)</f>
        <v>-1.4779288903810084E-12</v>
      </c>
      <c r="J112" s="989">
        <v>235300582900</v>
      </c>
      <c r="K112" s="992" t="s">
        <v>230</v>
      </c>
      <c r="L112" s="977" t="s">
        <v>147</v>
      </c>
      <c r="M112" s="977" t="s">
        <v>228</v>
      </c>
      <c r="N112" s="179">
        <v>45324</v>
      </c>
      <c r="O112" s="996" t="s">
        <v>203</v>
      </c>
      <c r="P112" s="169">
        <v>4222.8</v>
      </c>
      <c r="Q112" s="170">
        <v>45336</v>
      </c>
      <c r="R112" s="171"/>
      <c r="S112" s="172"/>
      <c r="T112" s="172"/>
      <c r="U112" s="983" t="s">
        <v>262</v>
      </c>
      <c r="V112" s="1139">
        <v>993.6</v>
      </c>
      <c r="W112" s="1131"/>
      <c r="X112" s="80">
        <v>49</v>
      </c>
    </row>
    <row r="113" spans="1:24" s="110" customFormat="1" x14ac:dyDescent="0.25">
      <c r="A113" s="972"/>
      <c r="B113" s="978"/>
      <c r="C113" s="978"/>
      <c r="D113" s="978"/>
      <c r="E113" s="978"/>
      <c r="F113" s="997"/>
      <c r="G113" s="981"/>
      <c r="H113" s="984"/>
      <c r="I113" s="987"/>
      <c r="J113" s="990"/>
      <c r="K113" s="993"/>
      <c r="L113" s="978"/>
      <c r="M113" s="978"/>
      <c r="N113" s="180">
        <v>45356</v>
      </c>
      <c r="O113" s="997"/>
      <c r="P113" s="194">
        <v>4843.8</v>
      </c>
      <c r="Q113" s="174">
        <v>45384</v>
      </c>
      <c r="R113" s="175"/>
      <c r="S113" s="173"/>
      <c r="T113" s="173"/>
      <c r="U113" s="984"/>
      <c r="V113" s="1140"/>
      <c r="W113" s="1132"/>
      <c r="X113" s="110">
        <v>49</v>
      </c>
    </row>
    <row r="114" spans="1:24" s="110" customFormat="1" x14ac:dyDescent="0.25">
      <c r="A114" s="995"/>
      <c r="B114" s="979"/>
      <c r="C114" s="979"/>
      <c r="D114" s="979"/>
      <c r="E114" s="979"/>
      <c r="F114" s="998"/>
      <c r="G114" s="982"/>
      <c r="H114" s="985"/>
      <c r="I114" s="988"/>
      <c r="J114" s="991"/>
      <c r="K114" s="994"/>
      <c r="L114" s="979"/>
      <c r="M114" s="979"/>
      <c r="N114" s="181">
        <v>45373</v>
      </c>
      <c r="O114" s="998"/>
      <c r="P114" s="240">
        <v>2856.6</v>
      </c>
      <c r="Q114" s="177">
        <v>45386</v>
      </c>
      <c r="R114" s="178"/>
      <c r="S114" s="176"/>
      <c r="T114" s="176"/>
      <c r="U114" s="985"/>
      <c r="V114" s="1141"/>
      <c r="W114" s="1133"/>
      <c r="X114" s="110">
        <v>49</v>
      </c>
    </row>
    <row r="115" spans="1:24" s="80" customFormat="1" ht="36" customHeight="1" x14ac:dyDescent="0.25">
      <c r="A115" s="971">
        <v>18</v>
      </c>
      <c r="B115" s="977" t="s">
        <v>56</v>
      </c>
      <c r="C115" s="977" t="s">
        <v>147</v>
      </c>
      <c r="D115" s="977" t="s">
        <v>158</v>
      </c>
      <c r="E115" s="977" t="s">
        <v>225</v>
      </c>
      <c r="F115" s="996">
        <v>45290</v>
      </c>
      <c r="G115" s="980" t="s">
        <v>229</v>
      </c>
      <c r="H115" s="983">
        <v>52624</v>
      </c>
      <c r="I115" s="986">
        <f>IF(X115 = 50, H115 + SUM(S115:S117) - SUM(T115:T117) - SUM(P115:P117) - V115,0)</f>
        <v>1.8189894035458565E-12</v>
      </c>
      <c r="J115" s="989">
        <v>235300582900</v>
      </c>
      <c r="K115" s="992" t="s">
        <v>171</v>
      </c>
      <c r="L115" s="977" t="s">
        <v>147</v>
      </c>
      <c r="M115" s="977" t="s">
        <v>228</v>
      </c>
      <c r="N115" s="179">
        <v>45324</v>
      </c>
      <c r="O115" s="996" t="s">
        <v>203</v>
      </c>
      <c r="P115" s="169">
        <v>13787.4</v>
      </c>
      <c r="Q115" s="170">
        <v>45338</v>
      </c>
      <c r="R115" s="171"/>
      <c r="S115" s="172"/>
      <c r="T115" s="172"/>
      <c r="U115" s="983" t="s">
        <v>262</v>
      </c>
      <c r="V115" s="1139">
        <v>15740.4</v>
      </c>
      <c r="W115" s="1131"/>
      <c r="X115" s="80">
        <v>50</v>
      </c>
    </row>
    <row r="116" spans="1:24" s="110" customFormat="1" x14ac:dyDescent="0.25">
      <c r="A116" s="972"/>
      <c r="B116" s="978"/>
      <c r="C116" s="978"/>
      <c r="D116" s="978"/>
      <c r="E116" s="978"/>
      <c r="F116" s="997"/>
      <c r="G116" s="981"/>
      <c r="H116" s="984"/>
      <c r="I116" s="987"/>
      <c r="J116" s="990"/>
      <c r="K116" s="993"/>
      <c r="L116" s="978"/>
      <c r="M116" s="978"/>
      <c r="N116" s="180"/>
      <c r="O116" s="997"/>
      <c r="P116" s="194">
        <v>12618.8</v>
      </c>
      <c r="Q116" s="174">
        <v>45365</v>
      </c>
      <c r="R116" s="175"/>
      <c r="S116" s="173"/>
      <c r="T116" s="173"/>
      <c r="U116" s="984"/>
      <c r="V116" s="1140"/>
      <c r="W116" s="1132"/>
      <c r="X116" s="110">
        <v>50</v>
      </c>
    </row>
    <row r="117" spans="1:24" s="110" customFormat="1" x14ac:dyDescent="0.25">
      <c r="A117" s="995"/>
      <c r="B117" s="979"/>
      <c r="C117" s="979"/>
      <c r="D117" s="979"/>
      <c r="E117" s="979"/>
      <c r="F117" s="998"/>
      <c r="G117" s="982"/>
      <c r="H117" s="985"/>
      <c r="I117" s="988"/>
      <c r="J117" s="991"/>
      <c r="K117" s="994"/>
      <c r="L117" s="979"/>
      <c r="M117" s="979"/>
      <c r="N117" s="181">
        <v>45373</v>
      </c>
      <c r="O117" s="998"/>
      <c r="P117" s="240">
        <v>10477.4</v>
      </c>
      <c r="Q117" s="177">
        <v>45386</v>
      </c>
      <c r="R117" s="178"/>
      <c r="S117" s="176"/>
      <c r="T117" s="176"/>
      <c r="U117" s="985"/>
      <c r="V117" s="1141"/>
      <c r="W117" s="1133"/>
      <c r="X117" s="110">
        <v>50</v>
      </c>
    </row>
    <row r="118" spans="1:24" s="80" customFormat="1" ht="72" customHeight="1" x14ac:dyDescent="0.25">
      <c r="A118" s="971">
        <v>19</v>
      </c>
      <c r="B118" s="977" t="s">
        <v>56</v>
      </c>
      <c r="C118" s="977" t="s">
        <v>147</v>
      </c>
      <c r="D118" s="977" t="s">
        <v>158</v>
      </c>
      <c r="E118" s="977" t="s">
        <v>232</v>
      </c>
      <c r="F118" s="996">
        <v>45309</v>
      </c>
      <c r="G118" s="980" t="s">
        <v>233</v>
      </c>
      <c r="H118" s="983">
        <v>23025.599999999999</v>
      </c>
      <c r="I118" s="986">
        <f>IF(X118 = 51, H118 + SUM(S118:S119) - SUM(T118:T119) - SUM(P118:P119) - V118,0)</f>
        <v>-1.8189894035458565E-12</v>
      </c>
      <c r="J118" s="989">
        <v>235300582900</v>
      </c>
      <c r="K118" s="992" t="s">
        <v>171</v>
      </c>
      <c r="L118" s="977" t="s">
        <v>147</v>
      </c>
      <c r="M118" s="977" t="s">
        <v>231</v>
      </c>
      <c r="N118" s="179">
        <v>45324</v>
      </c>
      <c r="O118" s="996" t="s">
        <v>203</v>
      </c>
      <c r="P118" s="169">
        <v>5412</v>
      </c>
      <c r="Q118" s="170">
        <v>45334</v>
      </c>
      <c r="R118" s="171"/>
      <c r="S118" s="172"/>
      <c r="T118" s="172"/>
      <c r="U118" s="983" t="s">
        <v>263</v>
      </c>
      <c r="V118" s="1139">
        <v>5928.6</v>
      </c>
      <c r="W118" s="1131"/>
      <c r="X118" s="80">
        <v>51</v>
      </c>
    </row>
    <row r="119" spans="1:24" s="110" customFormat="1" x14ac:dyDescent="0.25">
      <c r="A119" s="972"/>
      <c r="B119" s="978"/>
      <c r="C119" s="978"/>
      <c r="D119" s="978"/>
      <c r="E119" s="978"/>
      <c r="F119" s="997"/>
      <c r="G119" s="981"/>
      <c r="H119" s="984"/>
      <c r="I119" s="987"/>
      <c r="J119" s="990"/>
      <c r="K119" s="993"/>
      <c r="L119" s="978"/>
      <c r="M119" s="978"/>
      <c r="N119" s="180">
        <v>45356</v>
      </c>
      <c r="O119" s="997"/>
      <c r="P119" s="194">
        <v>11685</v>
      </c>
      <c r="Q119" s="174">
        <v>45366</v>
      </c>
      <c r="R119" s="175"/>
      <c r="S119" s="173"/>
      <c r="T119" s="173"/>
      <c r="U119" s="984"/>
      <c r="V119" s="1140"/>
      <c r="W119" s="1132"/>
      <c r="X119" s="110">
        <v>51</v>
      </c>
    </row>
    <row r="120" spans="1:24" s="80" customFormat="1" ht="68.45" customHeight="1" x14ac:dyDescent="0.25">
      <c r="A120" s="151">
        <v>20</v>
      </c>
      <c r="B120" s="152" t="s">
        <v>56</v>
      </c>
      <c r="C120" s="152" t="s">
        <v>147</v>
      </c>
      <c r="D120" s="152" t="s">
        <v>158</v>
      </c>
      <c r="E120" s="152" t="s">
        <v>234</v>
      </c>
      <c r="F120" s="159">
        <v>45351</v>
      </c>
      <c r="G120" s="153" t="s">
        <v>233</v>
      </c>
      <c r="H120" s="154">
        <v>9963</v>
      </c>
      <c r="I120" s="155">
        <f>IF(X120 = 52, H120 + SUM(S120:S120) - SUM(T120:T120) - SUM(P120:P120) - V120,0)</f>
        <v>0</v>
      </c>
      <c r="J120" s="156">
        <v>235300582900</v>
      </c>
      <c r="K120" s="157" t="s">
        <v>171</v>
      </c>
      <c r="L120" s="152" t="s">
        <v>147</v>
      </c>
      <c r="M120" s="152" t="s">
        <v>235</v>
      </c>
      <c r="N120" s="159">
        <v>45373</v>
      </c>
      <c r="O120" s="159" t="s">
        <v>203</v>
      </c>
      <c r="P120" s="242">
        <v>8364</v>
      </c>
      <c r="Q120" s="153">
        <v>45386</v>
      </c>
      <c r="R120" s="152"/>
      <c r="S120" s="154"/>
      <c r="T120" s="154"/>
      <c r="U120" s="154" t="s">
        <v>262</v>
      </c>
      <c r="V120" s="158">
        <v>1599</v>
      </c>
      <c r="W120" s="149"/>
      <c r="X120" s="80">
        <v>52</v>
      </c>
    </row>
    <row r="121" spans="1:24" s="80" customFormat="1" ht="54" customHeight="1" x14ac:dyDescent="0.25">
      <c r="A121" s="967">
        <v>21</v>
      </c>
      <c r="B121" s="969" t="s">
        <v>56</v>
      </c>
      <c r="C121" s="969" t="s">
        <v>147</v>
      </c>
      <c r="D121" s="969" t="s">
        <v>158</v>
      </c>
      <c r="E121" s="969" t="s">
        <v>129</v>
      </c>
      <c r="F121" s="1223">
        <v>45380</v>
      </c>
      <c r="G121" s="1225" t="s">
        <v>244</v>
      </c>
      <c r="H121" s="1227">
        <v>275947.56</v>
      </c>
      <c r="I121" s="1229">
        <f>IF(X121 = 53, H121 + SUM(S121:S122) - SUM(T121:T122) - SUM(P121:P122) - V121,0)</f>
        <v>-1.6370904631912708E-11</v>
      </c>
      <c r="J121" s="1231">
        <v>235300582900</v>
      </c>
      <c r="K121" s="1233" t="s">
        <v>171</v>
      </c>
      <c r="L121" s="969" t="s">
        <v>147</v>
      </c>
      <c r="M121" s="969" t="s">
        <v>245</v>
      </c>
      <c r="N121" s="275">
        <v>45414</v>
      </c>
      <c r="O121" s="1223" t="s">
        <v>203</v>
      </c>
      <c r="P121" s="301">
        <v>152574.18</v>
      </c>
      <c r="Q121" s="270">
        <v>45429</v>
      </c>
      <c r="R121" s="271"/>
      <c r="S121" s="269"/>
      <c r="T121" s="269"/>
      <c r="U121" s="1227" t="s">
        <v>320</v>
      </c>
      <c r="V121" s="1235">
        <v>15330.42</v>
      </c>
      <c r="W121" s="1221"/>
      <c r="X121" s="80">
        <v>53</v>
      </c>
    </row>
    <row r="122" spans="1:24" s="110" customFormat="1" x14ac:dyDescent="0.25">
      <c r="A122" s="968"/>
      <c r="B122" s="970"/>
      <c r="C122" s="970"/>
      <c r="D122" s="970"/>
      <c r="E122" s="970"/>
      <c r="F122" s="1224"/>
      <c r="G122" s="1226"/>
      <c r="H122" s="1228"/>
      <c r="I122" s="1230"/>
      <c r="J122" s="1232"/>
      <c r="K122" s="1234"/>
      <c r="L122" s="970"/>
      <c r="M122" s="970"/>
      <c r="N122" s="276">
        <v>45436</v>
      </c>
      <c r="O122" s="1224"/>
      <c r="P122" s="321">
        <v>108042.96</v>
      </c>
      <c r="Q122" s="273">
        <v>45447</v>
      </c>
      <c r="R122" s="274"/>
      <c r="S122" s="272"/>
      <c r="T122" s="272"/>
      <c r="U122" s="1228"/>
      <c r="V122" s="1236"/>
      <c r="W122" s="1222"/>
      <c r="X122" s="110">
        <v>53</v>
      </c>
    </row>
    <row r="123" spans="1:24" s="80" customFormat="1" ht="36" customHeight="1" x14ac:dyDescent="0.25">
      <c r="A123" s="973">
        <v>22</v>
      </c>
      <c r="B123" s="1207" t="s">
        <v>56</v>
      </c>
      <c r="C123" s="1207" t="s">
        <v>147</v>
      </c>
      <c r="D123" s="1207" t="s">
        <v>158</v>
      </c>
      <c r="E123" s="1207" t="s">
        <v>246</v>
      </c>
      <c r="F123" s="1209">
        <v>45380</v>
      </c>
      <c r="G123" s="1211" t="s">
        <v>229</v>
      </c>
      <c r="H123" s="1213">
        <v>36432</v>
      </c>
      <c r="I123" s="1215">
        <f>IF(X123 = 54, H123 + SUM(S123:S124) - SUM(T123:T124) - SUM(P123:P124) - V123,0)</f>
        <v>-1.8189894035458565E-12</v>
      </c>
      <c r="J123" s="1217">
        <v>235300582900</v>
      </c>
      <c r="K123" s="1219" t="s">
        <v>171</v>
      </c>
      <c r="L123" s="1207" t="s">
        <v>147</v>
      </c>
      <c r="M123" s="1207" t="s">
        <v>245</v>
      </c>
      <c r="N123" s="283">
        <v>45414</v>
      </c>
      <c r="O123" s="1209" t="s">
        <v>203</v>
      </c>
      <c r="P123" s="298">
        <v>14616</v>
      </c>
      <c r="Q123" s="278">
        <v>45427</v>
      </c>
      <c r="R123" s="279"/>
      <c r="S123" s="277"/>
      <c r="T123" s="277"/>
      <c r="U123" s="1213" t="s">
        <v>321</v>
      </c>
      <c r="V123" s="1264">
        <v>12364.6</v>
      </c>
      <c r="W123" s="1205"/>
      <c r="X123" s="80">
        <v>54</v>
      </c>
    </row>
    <row r="124" spans="1:24" s="110" customFormat="1" x14ac:dyDescent="0.25">
      <c r="A124" s="974"/>
      <c r="B124" s="1208"/>
      <c r="C124" s="1208"/>
      <c r="D124" s="1208"/>
      <c r="E124" s="1208"/>
      <c r="F124" s="1210"/>
      <c r="G124" s="1212"/>
      <c r="H124" s="1214"/>
      <c r="I124" s="1216"/>
      <c r="J124" s="1218"/>
      <c r="K124" s="1220"/>
      <c r="L124" s="1208"/>
      <c r="M124" s="1208"/>
      <c r="N124" s="284">
        <v>45436</v>
      </c>
      <c r="O124" s="1210"/>
      <c r="P124" s="320">
        <v>9451.4</v>
      </c>
      <c r="Q124" s="281">
        <v>45447</v>
      </c>
      <c r="R124" s="282"/>
      <c r="S124" s="280"/>
      <c r="T124" s="280"/>
      <c r="U124" s="1214"/>
      <c r="V124" s="1266"/>
      <c r="W124" s="1206"/>
      <c r="X124" s="110">
        <v>54</v>
      </c>
    </row>
    <row r="125" spans="1:24" s="80" customFormat="1" ht="90" customHeight="1" x14ac:dyDescent="0.25">
      <c r="A125" s="973">
        <v>23</v>
      </c>
      <c r="B125" s="1207" t="s">
        <v>56</v>
      </c>
      <c r="C125" s="1207" t="s">
        <v>147</v>
      </c>
      <c r="D125" s="1207" t="s">
        <v>158</v>
      </c>
      <c r="E125" s="1207" t="s">
        <v>247</v>
      </c>
      <c r="F125" s="1209">
        <v>45380</v>
      </c>
      <c r="G125" s="1211" t="s">
        <v>248</v>
      </c>
      <c r="H125" s="1213">
        <v>39003.120000000003</v>
      </c>
      <c r="I125" s="1215">
        <f>IF(X125 = 55, H125 + SUM(S125:S130) - SUM(T125:T130) - SUM(P125:P130) - V125,0)</f>
        <v>0</v>
      </c>
      <c r="J125" s="1217">
        <v>235300582900</v>
      </c>
      <c r="K125" s="1219" t="s">
        <v>171</v>
      </c>
      <c r="L125" s="1207" t="s">
        <v>147</v>
      </c>
      <c r="M125" s="1207" t="s">
        <v>245</v>
      </c>
      <c r="N125" s="283">
        <v>45414</v>
      </c>
      <c r="O125" s="1209" t="s">
        <v>350</v>
      </c>
      <c r="P125" s="298">
        <v>3850.2</v>
      </c>
      <c r="Q125" s="278">
        <v>45427</v>
      </c>
      <c r="R125" s="279"/>
      <c r="S125" s="277"/>
      <c r="T125" s="277"/>
      <c r="U125" s="1213" t="s">
        <v>320</v>
      </c>
      <c r="V125" s="1264">
        <v>9913.32</v>
      </c>
      <c r="W125" s="1205"/>
      <c r="X125" s="80">
        <v>55</v>
      </c>
    </row>
    <row r="126" spans="1:24" s="110" customFormat="1" x14ac:dyDescent="0.25">
      <c r="A126" s="1276"/>
      <c r="B126" s="1267"/>
      <c r="C126" s="1267"/>
      <c r="D126" s="1267"/>
      <c r="E126" s="1267"/>
      <c r="F126" s="1262"/>
      <c r="G126" s="1268"/>
      <c r="H126" s="1263"/>
      <c r="I126" s="1269"/>
      <c r="J126" s="1277"/>
      <c r="K126" s="1278"/>
      <c r="L126" s="1267"/>
      <c r="M126" s="1267"/>
      <c r="N126" s="285">
        <v>45414</v>
      </c>
      <c r="O126" s="1262"/>
      <c r="P126" s="299">
        <v>12792</v>
      </c>
      <c r="Q126" s="287">
        <v>45427</v>
      </c>
      <c r="R126" s="288"/>
      <c r="S126" s="286"/>
      <c r="T126" s="286"/>
      <c r="U126" s="1263"/>
      <c r="V126" s="1265"/>
      <c r="W126" s="1261"/>
      <c r="X126" s="110">
        <v>55</v>
      </c>
    </row>
    <row r="127" spans="1:24" s="110" customFormat="1" x14ac:dyDescent="0.25">
      <c r="A127" s="1276"/>
      <c r="B127" s="1267"/>
      <c r="C127" s="1267"/>
      <c r="D127" s="1267"/>
      <c r="E127" s="1267"/>
      <c r="F127" s="1262"/>
      <c r="G127" s="1268"/>
      <c r="H127" s="1263"/>
      <c r="I127" s="1269"/>
      <c r="J127" s="1277"/>
      <c r="K127" s="1278"/>
      <c r="L127" s="1267"/>
      <c r="M127" s="1267"/>
      <c r="N127" s="285">
        <v>45414</v>
      </c>
      <c r="O127" s="1262"/>
      <c r="P127" s="299">
        <v>1484.4</v>
      </c>
      <c r="Q127" s="287">
        <v>45427</v>
      </c>
      <c r="R127" s="288"/>
      <c r="S127" s="286"/>
      <c r="T127" s="286"/>
      <c r="U127" s="1263"/>
      <c r="V127" s="1265"/>
      <c r="W127" s="1261"/>
      <c r="X127" s="110">
        <v>55</v>
      </c>
    </row>
    <row r="128" spans="1:24" s="110" customFormat="1" x14ac:dyDescent="0.25">
      <c r="A128" s="1276"/>
      <c r="B128" s="1267"/>
      <c r="C128" s="1267"/>
      <c r="D128" s="1267"/>
      <c r="E128" s="1267"/>
      <c r="F128" s="1262"/>
      <c r="G128" s="1268"/>
      <c r="H128" s="1263"/>
      <c r="I128" s="1269"/>
      <c r="J128" s="1277"/>
      <c r="K128" s="1278"/>
      <c r="L128" s="1267"/>
      <c r="M128" s="1267"/>
      <c r="N128" s="285">
        <v>45436</v>
      </c>
      <c r="O128" s="1262"/>
      <c r="P128" s="299">
        <v>1242</v>
      </c>
      <c r="Q128" s="287">
        <v>45447</v>
      </c>
      <c r="R128" s="288"/>
      <c r="S128" s="286"/>
      <c r="T128" s="286"/>
      <c r="U128" s="1263"/>
      <c r="V128" s="1265"/>
      <c r="W128" s="1261"/>
      <c r="X128" s="110">
        <v>55</v>
      </c>
    </row>
    <row r="129" spans="1:24" s="110" customFormat="1" x14ac:dyDescent="0.25">
      <c r="A129" s="1276"/>
      <c r="B129" s="1267"/>
      <c r="C129" s="1267"/>
      <c r="D129" s="1267"/>
      <c r="E129" s="1267"/>
      <c r="F129" s="1262"/>
      <c r="G129" s="1268"/>
      <c r="H129" s="1263"/>
      <c r="I129" s="1269"/>
      <c r="J129" s="1277"/>
      <c r="K129" s="1278"/>
      <c r="L129" s="1267"/>
      <c r="M129" s="1267"/>
      <c r="N129" s="285">
        <v>45436</v>
      </c>
      <c r="O129" s="1262"/>
      <c r="P129" s="299">
        <v>8979</v>
      </c>
      <c r="Q129" s="287">
        <v>45447</v>
      </c>
      <c r="R129" s="288"/>
      <c r="S129" s="286"/>
      <c r="T129" s="286"/>
      <c r="U129" s="1263"/>
      <c r="V129" s="1265"/>
      <c r="W129" s="1261"/>
      <c r="X129" s="110">
        <v>55</v>
      </c>
    </row>
    <row r="130" spans="1:24" s="110" customFormat="1" x14ac:dyDescent="0.25">
      <c r="A130" s="974"/>
      <c r="B130" s="1208"/>
      <c r="C130" s="1208"/>
      <c r="D130" s="1208"/>
      <c r="E130" s="1208"/>
      <c r="F130" s="1210"/>
      <c r="G130" s="1212"/>
      <c r="H130" s="1214"/>
      <c r="I130" s="1216"/>
      <c r="J130" s="1218"/>
      <c r="K130" s="1220"/>
      <c r="L130" s="1208"/>
      <c r="M130" s="1208"/>
      <c r="N130" s="284">
        <v>45436</v>
      </c>
      <c r="O130" s="1210"/>
      <c r="P130" s="320">
        <v>742.2</v>
      </c>
      <c r="Q130" s="281">
        <v>45447</v>
      </c>
      <c r="R130" s="282"/>
      <c r="S130" s="280"/>
      <c r="T130" s="280"/>
      <c r="U130" s="1214"/>
      <c r="V130" s="1266"/>
      <c r="W130" s="1206"/>
      <c r="X130" s="110">
        <v>55</v>
      </c>
    </row>
    <row r="131" spans="1:24" s="80" customFormat="1" ht="55.15" customHeight="1" x14ac:dyDescent="0.25">
      <c r="A131" s="311">
        <v>24</v>
      </c>
      <c r="B131" s="304" t="s">
        <v>56</v>
      </c>
      <c r="C131" s="304" t="s">
        <v>147</v>
      </c>
      <c r="D131" s="304" t="s">
        <v>158</v>
      </c>
      <c r="E131" s="304" t="s">
        <v>291</v>
      </c>
      <c r="F131" s="305">
        <v>45373</v>
      </c>
      <c r="G131" s="306" t="s">
        <v>292</v>
      </c>
      <c r="H131" s="307">
        <v>105225</v>
      </c>
      <c r="I131" s="308">
        <f>IF(X131 = 56, H131 + SUM(S131:S131) - SUM(T131:T131) - SUM(P131:P131) - V131,0)</f>
        <v>0</v>
      </c>
      <c r="J131" s="309">
        <v>233202223786</v>
      </c>
      <c r="K131" s="310" t="s">
        <v>293</v>
      </c>
      <c r="L131" s="304" t="s">
        <v>147</v>
      </c>
      <c r="M131" s="304" t="s">
        <v>294</v>
      </c>
      <c r="N131" s="283">
        <v>45443</v>
      </c>
      <c r="O131" s="305" t="s">
        <v>295</v>
      </c>
      <c r="P131" s="298">
        <v>105225</v>
      </c>
      <c r="Q131" s="278">
        <v>45446</v>
      </c>
      <c r="R131" s="279"/>
      <c r="S131" s="277"/>
      <c r="T131" s="277"/>
      <c r="U131" s="307"/>
      <c r="V131" s="312"/>
      <c r="W131" s="303"/>
      <c r="X131" s="80">
        <v>56</v>
      </c>
    </row>
    <row r="132" spans="1:24" s="80" customFormat="1" ht="75" x14ac:dyDescent="0.25">
      <c r="A132" s="289">
        <v>25</v>
      </c>
      <c r="B132" s="319" t="s">
        <v>56</v>
      </c>
      <c r="C132" s="290" t="s">
        <v>323</v>
      </c>
      <c r="D132" s="319" t="s">
        <v>158</v>
      </c>
      <c r="E132" s="290" t="s">
        <v>36</v>
      </c>
      <c r="F132" s="302">
        <v>45446</v>
      </c>
      <c r="G132" s="291" t="s">
        <v>296</v>
      </c>
      <c r="H132" s="292">
        <v>37746</v>
      </c>
      <c r="I132" s="293">
        <f>IF(X132 = 57, H132 + SUM(S132:S132) - SUM(T132:T132) - SUM(P132:P132) - V132,0)</f>
        <v>0</v>
      </c>
      <c r="J132" s="294">
        <v>140865134602</v>
      </c>
      <c r="K132" s="295" t="s">
        <v>297</v>
      </c>
      <c r="L132" s="290" t="s">
        <v>147</v>
      </c>
      <c r="M132" s="319" t="s">
        <v>298</v>
      </c>
      <c r="N132" s="302">
        <v>45449</v>
      </c>
      <c r="O132" s="318" t="s">
        <v>295</v>
      </c>
      <c r="P132" s="352">
        <v>37746</v>
      </c>
      <c r="Q132" s="291">
        <v>45450</v>
      </c>
      <c r="R132" s="290"/>
      <c r="S132" s="292"/>
      <c r="T132" s="292"/>
      <c r="U132" s="292"/>
      <c r="V132" s="296"/>
      <c r="W132" s="297"/>
      <c r="X132" s="80">
        <v>57</v>
      </c>
    </row>
    <row r="133" spans="1:24" s="80" customFormat="1" ht="56.25" x14ac:dyDescent="0.25">
      <c r="A133" s="317">
        <v>26</v>
      </c>
      <c r="B133" s="337" t="s">
        <v>56</v>
      </c>
      <c r="C133" s="316" t="s">
        <v>147</v>
      </c>
      <c r="D133" s="337" t="s">
        <v>158</v>
      </c>
      <c r="E133" s="316" t="s">
        <v>304</v>
      </c>
      <c r="F133" s="326">
        <v>45436</v>
      </c>
      <c r="G133" s="322" t="s">
        <v>305</v>
      </c>
      <c r="H133" s="314">
        <v>95115</v>
      </c>
      <c r="I133" s="315">
        <f>IF(X133 = 58, H133 + SUM(S133:S133) - SUM(T133:T133) - SUM(P133:P133) - V133,0)</f>
        <v>0</v>
      </c>
      <c r="J133" s="323">
        <v>235300582900</v>
      </c>
      <c r="K133" s="324" t="s">
        <v>171</v>
      </c>
      <c r="L133" s="316" t="s">
        <v>147</v>
      </c>
      <c r="M133" s="316" t="s">
        <v>306</v>
      </c>
      <c r="N133" s="326">
        <v>45459</v>
      </c>
      <c r="O133" s="336" t="s">
        <v>307</v>
      </c>
      <c r="P133" s="365">
        <v>95115</v>
      </c>
      <c r="Q133" s="322">
        <v>45464</v>
      </c>
      <c r="R133" s="316"/>
      <c r="S133" s="314"/>
      <c r="T133" s="314"/>
      <c r="U133" s="314"/>
      <c r="V133" s="325"/>
      <c r="W133" s="313"/>
      <c r="X133" s="80">
        <v>58</v>
      </c>
    </row>
    <row r="134" spans="1:24" s="80" customFormat="1" ht="72" customHeight="1" x14ac:dyDescent="0.25">
      <c r="A134" s="1270">
        <v>27</v>
      </c>
      <c r="B134" s="1240" t="s">
        <v>56</v>
      </c>
      <c r="C134" s="1240" t="s">
        <v>147</v>
      </c>
      <c r="D134" s="1240" t="s">
        <v>158</v>
      </c>
      <c r="E134" s="1240" t="s">
        <v>176</v>
      </c>
      <c r="F134" s="1243">
        <v>45454</v>
      </c>
      <c r="G134" s="1246" t="s">
        <v>177</v>
      </c>
      <c r="H134" s="1249">
        <v>24254.1</v>
      </c>
      <c r="I134" s="1252">
        <f>IF(X134 = 59, H134 + SUM(S134:S137) - SUM(T134:T137) - SUM(P134:P137) - V134,0)</f>
        <v>8084.6999999999989</v>
      </c>
      <c r="J134" s="1255">
        <v>2308131994</v>
      </c>
      <c r="K134" s="1258" t="s">
        <v>178</v>
      </c>
      <c r="L134" s="1240" t="s">
        <v>147</v>
      </c>
      <c r="M134" s="1240" t="s">
        <v>324</v>
      </c>
      <c r="N134" s="658">
        <v>45504</v>
      </c>
      <c r="O134" s="1243" t="s">
        <v>325</v>
      </c>
      <c r="P134" s="647">
        <v>4042.35</v>
      </c>
      <c r="Q134" s="648">
        <v>45511</v>
      </c>
      <c r="R134" s="649"/>
      <c r="S134" s="650"/>
      <c r="T134" s="650"/>
      <c r="U134" s="1249"/>
      <c r="V134" s="1273"/>
      <c r="W134" s="1237"/>
      <c r="X134" s="80">
        <v>59</v>
      </c>
    </row>
    <row r="135" spans="1:24" s="110" customFormat="1" x14ac:dyDescent="0.25">
      <c r="A135" s="1271"/>
      <c r="B135" s="1241"/>
      <c r="C135" s="1241"/>
      <c r="D135" s="1241"/>
      <c r="E135" s="1241"/>
      <c r="F135" s="1244"/>
      <c r="G135" s="1247"/>
      <c r="H135" s="1250"/>
      <c r="I135" s="1253"/>
      <c r="J135" s="1256"/>
      <c r="K135" s="1259"/>
      <c r="L135" s="1241"/>
      <c r="M135" s="1241"/>
      <c r="N135" s="659">
        <v>45535</v>
      </c>
      <c r="O135" s="1244"/>
      <c r="P135" s="651">
        <v>4042.35</v>
      </c>
      <c r="Q135" s="652">
        <v>45539</v>
      </c>
      <c r="R135" s="653"/>
      <c r="S135" s="654"/>
      <c r="T135" s="654"/>
      <c r="U135" s="1250"/>
      <c r="V135" s="1274"/>
      <c r="W135" s="1238"/>
      <c r="X135" s="110">
        <v>59</v>
      </c>
    </row>
    <row r="136" spans="1:24" s="110" customFormat="1" x14ac:dyDescent="0.25">
      <c r="A136" s="1271"/>
      <c r="B136" s="1241"/>
      <c r="C136" s="1241"/>
      <c r="D136" s="1241"/>
      <c r="E136" s="1241"/>
      <c r="F136" s="1244"/>
      <c r="G136" s="1247"/>
      <c r="H136" s="1250"/>
      <c r="I136" s="1253"/>
      <c r="J136" s="1256"/>
      <c r="K136" s="1259"/>
      <c r="L136" s="1241"/>
      <c r="M136" s="1241"/>
      <c r="N136" s="659">
        <v>45565</v>
      </c>
      <c r="O136" s="1244"/>
      <c r="P136" s="651">
        <v>4042.35</v>
      </c>
      <c r="Q136" s="652">
        <v>45574</v>
      </c>
      <c r="R136" s="653"/>
      <c r="S136" s="654"/>
      <c r="T136" s="654"/>
      <c r="U136" s="1250"/>
      <c r="V136" s="1274"/>
      <c r="W136" s="1238"/>
      <c r="X136" s="110">
        <v>59</v>
      </c>
    </row>
    <row r="137" spans="1:24" s="110" customFormat="1" x14ac:dyDescent="0.25">
      <c r="A137" s="1272"/>
      <c r="B137" s="1242"/>
      <c r="C137" s="1242"/>
      <c r="D137" s="1242"/>
      <c r="E137" s="1242"/>
      <c r="F137" s="1245"/>
      <c r="G137" s="1248"/>
      <c r="H137" s="1251"/>
      <c r="I137" s="1254"/>
      <c r="J137" s="1257"/>
      <c r="K137" s="1260"/>
      <c r="L137" s="1242"/>
      <c r="M137" s="1242"/>
      <c r="N137" s="660">
        <v>45596</v>
      </c>
      <c r="O137" s="1245"/>
      <c r="P137" s="655">
        <v>4042.35</v>
      </c>
      <c r="Q137" s="656"/>
      <c r="R137" s="657"/>
      <c r="S137" s="655"/>
      <c r="T137" s="655"/>
      <c r="U137" s="1251"/>
      <c r="V137" s="1275"/>
      <c r="W137" s="1239"/>
      <c r="X137" s="110">
        <v>59</v>
      </c>
    </row>
    <row r="138" spans="1:24" s="80" customFormat="1" ht="75" x14ac:dyDescent="0.25">
      <c r="A138" s="411">
        <v>28</v>
      </c>
      <c r="B138" s="423" t="s">
        <v>56</v>
      </c>
      <c r="C138" s="423" t="s">
        <v>147</v>
      </c>
      <c r="D138" s="423" t="s">
        <v>158</v>
      </c>
      <c r="E138" s="423" t="s">
        <v>217</v>
      </c>
      <c r="F138" s="435">
        <v>45483</v>
      </c>
      <c r="G138" s="425" t="s">
        <v>363</v>
      </c>
      <c r="H138" s="426">
        <v>13750</v>
      </c>
      <c r="I138" s="427">
        <f>IF(X138 = 61, H138 + SUM(S138:S138) - SUM(T138:T138) - SUM(P138:P138) - V138,0)</f>
        <v>0</v>
      </c>
      <c r="J138" s="428">
        <v>235305540660</v>
      </c>
      <c r="K138" s="429" t="s">
        <v>348</v>
      </c>
      <c r="L138" s="423" t="s">
        <v>147</v>
      </c>
      <c r="M138" s="423" t="s">
        <v>349</v>
      </c>
      <c r="N138" s="435">
        <v>45483</v>
      </c>
      <c r="O138" s="435" t="s">
        <v>302</v>
      </c>
      <c r="P138" s="478">
        <v>13750</v>
      </c>
      <c r="Q138" s="425">
        <v>45485</v>
      </c>
      <c r="R138" s="423"/>
      <c r="S138" s="426"/>
      <c r="T138" s="426"/>
      <c r="U138" s="426"/>
      <c r="V138" s="431"/>
      <c r="W138" s="424"/>
      <c r="X138" s="80">
        <v>61</v>
      </c>
    </row>
    <row r="139" spans="1:24" s="80" customFormat="1" ht="75" x14ac:dyDescent="0.25">
      <c r="A139" s="436">
        <v>29</v>
      </c>
      <c r="B139" s="447" t="s">
        <v>56</v>
      </c>
      <c r="C139" s="434" t="s">
        <v>147</v>
      </c>
      <c r="D139" s="447" t="s">
        <v>158</v>
      </c>
      <c r="E139" s="434" t="s">
        <v>362</v>
      </c>
      <c r="F139" s="449">
        <v>45488</v>
      </c>
      <c r="G139" s="433" t="s">
        <v>364</v>
      </c>
      <c r="H139" s="432">
        <v>27800</v>
      </c>
      <c r="I139" s="437">
        <f>IF(X139 = 62, H139 + SUM(S139:S139) - SUM(T139:T139) - SUM(P139:P139) - V139,0)</f>
        <v>0</v>
      </c>
      <c r="J139" s="438">
        <v>2311204586</v>
      </c>
      <c r="K139" s="439" t="s">
        <v>379</v>
      </c>
      <c r="L139" s="434" t="s">
        <v>147</v>
      </c>
      <c r="M139" s="447" t="s">
        <v>266</v>
      </c>
      <c r="N139" s="449">
        <v>45498</v>
      </c>
      <c r="O139" s="446" t="s">
        <v>356</v>
      </c>
      <c r="P139" s="479">
        <v>27800</v>
      </c>
      <c r="Q139" s="433">
        <v>45498</v>
      </c>
      <c r="R139" s="434"/>
      <c r="S139" s="432"/>
      <c r="T139" s="432"/>
      <c r="U139" s="432"/>
      <c r="V139" s="440"/>
      <c r="W139" s="441"/>
      <c r="X139" s="80">
        <v>62</v>
      </c>
    </row>
    <row r="140" spans="1:24" s="80" customFormat="1" ht="75" x14ac:dyDescent="0.25">
      <c r="A140" s="491">
        <v>30</v>
      </c>
      <c r="B140" s="481" t="s">
        <v>56</v>
      </c>
      <c r="C140" s="492" t="s">
        <v>147</v>
      </c>
      <c r="D140" s="481" t="s">
        <v>158</v>
      </c>
      <c r="E140" s="492" t="s">
        <v>380</v>
      </c>
      <c r="F140" s="506">
        <v>45510</v>
      </c>
      <c r="G140" s="493" t="s">
        <v>381</v>
      </c>
      <c r="H140" s="494">
        <v>30000</v>
      </c>
      <c r="I140" s="495">
        <f>IF(X140 = 63, H140 + SUM(S140:S140) - SUM(T140:T140) - SUM(P140:P140) - V140,0)</f>
        <v>0</v>
      </c>
      <c r="J140" s="496">
        <v>2369000660</v>
      </c>
      <c r="K140" s="497" t="s">
        <v>382</v>
      </c>
      <c r="L140" s="492" t="s">
        <v>147</v>
      </c>
      <c r="M140" s="481" t="s">
        <v>383</v>
      </c>
      <c r="N140" s="506">
        <v>45510</v>
      </c>
      <c r="O140" s="482" t="s">
        <v>384</v>
      </c>
      <c r="P140" s="526">
        <v>30000</v>
      </c>
      <c r="Q140" s="493">
        <v>45512</v>
      </c>
      <c r="R140" s="492"/>
      <c r="S140" s="494"/>
      <c r="T140" s="494"/>
      <c r="U140" s="494"/>
      <c r="V140" s="501"/>
      <c r="W140" s="502"/>
      <c r="X140" s="80">
        <v>63</v>
      </c>
    </row>
    <row r="141" spans="1:24" s="80" customFormat="1" ht="75" x14ac:dyDescent="0.25">
      <c r="A141" s="491">
        <v>31</v>
      </c>
      <c r="B141" s="481" t="s">
        <v>56</v>
      </c>
      <c r="C141" s="492" t="s">
        <v>147</v>
      </c>
      <c r="D141" s="481" t="s">
        <v>158</v>
      </c>
      <c r="E141" s="492" t="s">
        <v>196</v>
      </c>
      <c r="F141" s="506">
        <v>45505</v>
      </c>
      <c r="G141" s="493" t="s">
        <v>197</v>
      </c>
      <c r="H141" s="494">
        <v>15000</v>
      </c>
      <c r="I141" s="495">
        <f>IF(X141 = 64, H141 + SUM(S141:S141) - SUM(T141:T141) - SUM(P141:P141) - V141,0)</f>
        <v>9000</v>
      </c>
      <c r="J141" s="496">
        <v>235306577600</v>
      </c>
      <c r="K141" s="497" t="s">
        <v>200</v>
      </c>
      <c r="L141" s="492" t="s">
        <v>147</v>
      </c>
      <c r="M141" s="492" t="s">
        <v>402</v>
      </c>
      <c r="N141" s="506">
        <v>45565</v>
      </c>
      <c r="O141" s="482" t="s">
        <v>403</v>
      </c>
      <c r="P141" s="526">
        <v>6000</v>
      </c>
      <c r="Q141" s="493">
        <v>45566</v>
      </c>
      <c r="R141" s="492"/>
      <c r="S141" s="494"/>
      <c r="T141" s="494"/>
      <c r="U141" s="494"/>
      <c r="V141" s="501"/>
      <c r="W141" s="502"/>
      <c r="X141" s="80">
        <v>64</v>
      </c>
    </row>
    <row r="142" spans="1:24" s="80" customFormat="1" ht="54" customHeight="1" x14ac:dyDescent="0.25">
      <c r="A142" s="1058">
        <v>32</v>
      </c>
      <c r="B142" s="1040" t="s">
        <v>56</v>
      </c>
      <c r="C142" s="1040" t="s">
        <v>147</v>
      </c>
      <c r="D142" s="1040" t="s">
        <v>158</v>
      </c>
      <c r="E142" s="1040" t="s">
        <v>404</v>
      </c>
      <c r="F142" s="1042">
        <v>45558</v>
      </c>
      <c r="G142" s="1044" t="s">
        <v>154</v>
      </c>
      <c r="H142" s="1046">
        <v>21772.799999999999</v>
      </c>
      <c r="I142" s="1048">
        <f>IF(X142 = 65, H142 + SUM(S142:S143) - SUM(T142:T143) - SUM(P142:P143) - V142,0)</f>
        <v>0</v>
      </c>
      <c r="J142" s="1060">
        <v>2304067057</v>
      </c>
      <c r="K142" s="1062" t="s">
        <v>405</v>
      </c>
      <c r="L142" s="1040" t="s">
        <v>147</v>
      </c>
      <c r="M142" s="1040" t="s">
        <v>406</v>
      </c>
      <c r="N142" s="690">
        <v>45565</v>
      </c>
      <c r="O142" s="1042" t="s">
        <v>403</v>
      </c>
      <c r="P142" s="726">
        <v>12096</v>
      </c>
      <c r="Q142" s="685">
        <v>45569</v>
      </c>
      <c r="R142" s="686"/>
      <c r="S142" s="684"/>
      <c r="T142" s="684"/>
      <c r="U142" s="1046"/>
      <c r="V142" s="1056"/>
      <c r="W142" s="1038"/>
      <c r="X142" s="80">
        <v>65</v>
      </c>
    </row>
    <row r="143" spans="1:24" s="110" customFormat="1" x14ac:dyDescent="0.25">
      <c r="A143" s="1059"/>
      <c r="B143" s="1041"/>
      <c r="C143" s="1041"/>
      <c r="D143" s="1041"/>
      <c r="E143" s="1041"/>
      <c r="F143" s="1043"/>
      <c r="G143" s="1045"/>
      <c r="H143" s="1047"/>
      <c r="I143" s="1049"/>
      <c r="J143" s="1061"/>
      <c r="K143" s="1063"/>
      <c r="L143" s="1041"/>
      <c r="M143" s="1041"/>
      <c r="N143" s="691">
        <v>45569</v>
      </c>
      <c r="O143" s="1043"/>
      <c r="P143" s="745">
        <v>9676.7999999999993</v>
      </c>
      <c r="Q143" s="688">
        <v>45596</v>
      </c>
      <c r="R143" s="689"/>
      <c r="S143" s="687"/>
      <c r="T143" s="687"/>
      <c r="U143" s="1047"/>
      <c r="V143" s="1057"/>
      <c r="W143" s="1039"/>
      <c r="X143" s="110">
        <v>65</v>
      </c>
    </row>
    <row r="144" spans="1:24" s="80" customFormat="1" ht="54" customHeight="1" x14ac:dyDescent="0.25">
      <c r="A144" s="1050">
        <v>33</v>
      </c>
      <c r="B144" s="1017" t="s">
        <v>56</v>
      </c>
      <c r="C144" s="1017" t="s">
        <v>147</v>
      </c>
      <c r="D144" s="1017" t="s">
        <v>158</v>
      </c>
      <c r="E144" s="1017" t="s">
        <v>36</v>
      </c>
      <c r="F144" s="1020">
        <v>45534</v>
      </c>
      <c r="G144" s="1023" t="s">
        <v>407</v>
      </c>
      <c r="H144" s="1026">
        <v>128425.92</v>
      </c>
      <c r="I144" s="1029">
        <f>IF(X144 = 66, H144 + SUM(S144:S147) - SUM(T144:T147) - SUM(P144:P147) - V144,0)</f>
        <v>0</v>
      </c>
      <c r="J144" s="1032">
        <v>235300582900</v>
      </c>
      <c r="K144" s="1035" t="s">
        <v>171</v>
      </c>
      <c r="L144" s="1017" t="s">
        <v>147</v>
      </c>
      <c r="M144" s="1017" t="s">
        <v>409</v>
      </c>
      <c r="N144" s="613">
        <v>45568</v>
      </c>
      <c r="O144" s="1020" t="s">
        <v>403</v>
      </c>
      <c r="P144" s="748">
        <v>90072</v>
      </c>
      <c r="Q144" s="608">
        <v>45575</v>
      </c>
      <c r="R144" s="609"/>
      <c r="S144" s="607"/>
      <c r="T144" s="607"/>
      <c r="U144" s="1026" t="s">
        <v>420</v>
      </c>
      <c r="V144" s="1053">
        <v>21396.639999999999</v>
      </c>
      <c r="W144" s="1014"/>
      <c r="X144" s="80">
        <v>66</v>
      </c>
    </row>
    <row r="145" spans="1:24" s="110" customFormat="1" x14ac:dyDescent="0.25">
      <c r="A145" s="1051"/>
      <c r="B145" s="1018"/>
      <c r="C145" s="1018"/>
      <c r="D145" s="1018"/>
      <c r="E145" s="1018"/>
      <c r="F145" s="1021"/>
      <c r="G145" s="1024"/>
      <c r="H145" s="1027"/>
      <c r="I145" s="1030"/>
      <c r="J145" s="1033"/>
      <c r="K145" s="1036"/>
      <c r="L145" s="1018"/>
      <c r="M145" s="1018"/>
      <c r="N145" s="615">
        <v>45568</v>
      </c>
      <c r="O145" s="1021"/>
      <c r="P145" s="749">
        <v>3285.48</v>
      </c>
      <c r="Q145" s="617">
        <v>45576</v>
      </c>
      <c r="R145" s="618"/>
      <c r="S145" s="616"/>
      <c r="T145" s="616"/>
      <c r="U145" s="1027"/>
      <c r="V145" s="1054"/>
      <c r="W145" s="1015"/>
      <c r="X145" s="110">
        <v>66</v>
      </c>
    </row>
    <row r="146" spans="1:24" s="110" customFormat="1" x14ac:dyDescent="0.25">
      <c r="A146" s="1051"/>
      <c r="B146" s="1018"/>
      <c r="C146" s="1018"/>
      <c r="D146" s="1018"/>
      <c r="E146" s="1018"/>
      <c r="F146" s="1021"/>
      <c r="G146" s="1024"/>
      <c r="H146" s="1027"/>
      <c r="I146" s="1030"/>
      <c r="J146" s="1033"/>
      <c r="K146" s="1036"/>
      <c r="L146" s="1018"/>
      <c r="M146" s="1018"/>
      <c r="N146" s="615">
        <v>45568</v>
      </c>
      <c r="O146" s="1021"/>
      <c r="P146" s="749">
        <v>2968.8</v>
      </c>
      <c r="Q146" s="617">
        <v>45576</v>
      </c>
      <c r="R146" s="618"/>
      <c r="S146" s="616"/>
      <c r="T146" s="616"/>
      <c r="U146" s="1027"/>
      <c r="V146" s="1054"/>
      <c r="W146" s="1015"/>
      <c r="X146" s="110">
        <v>66</v>
      </c>
    </row>
    <row r="147" spans="1:24" s="110" customFormat="1" x14ac:dyDescent="0.25">
      <c r="A147" s="1052"/>
      <c r="B147" s="1019"/>
      <c r="C147" s="1019"/>
      <c r="D147" s="1019"/>
      <c r="E147" s="1019"/>
      <c r="F147" s="1022"/>
      <c r="G147" s="1025"/>
      <c r="H147" s="1028"/>
      <c r="I147" s="1031"/>
      <c r="J147" s="1034"/>
      <c r="K147" s="1037"/>
      <c r="L147" s="1019"/>
      <c r="M147" s="1019"/>
      <c r="N147" s="614">
        <v>45568</v>
      </c>
      <c r="O147" s="1022"/>
      <c r="P147" s="750">
        <v>10703</v>
      </c>
      <c r="Q147" s="611">
        <v>45574</v>
      </c>
      <c r="R147" s="612"/>
      <c r="S147" s="610"/>
      <c r="T147" s="610"/>
      <c r="U147" s="1028"/>
      <c r="V147" s="1055"/>
      <c r="W147" s="1016"/>
      <c r="X147" s="110">
        <v>66</v>
      </c>
    </row>
    <row r="148" spans="1:24" s="80" customFormat="1" ht="56.25" x14ac:dyDescent="0.25">
      <c r="A148" s="571">
        <v>34</v>
      </c>
      <c r="B148" s="481" t="s">
        <v>56</v>
      </c>
      <c r="C148" s="573" t="s">
        <v>147</v>
      </c>
      <c r="D148" s="481" t="s">
        <v>158</v>
      </c>
      <c r="E148" s="573" t="s">
        <v>110</v>
      </c>
      <c r="F148" s="589">
        <v>45534</v>
      </c>
      <c r="G148" s="576" t="s">
        <v>407</v>
      </c>
      <c r="H148" s="572">
        <v>28440</v>
      </c>
      <c r="I148" s="577">
        <f>IF(X148 = 67, H148 + SUM(S148:S148) - SUM(T148:T148) - SUM(P148:P148) - V148,0)</f>
        <v>22338</v>
      </c>
      <c r="J148" s="578">
        <v>235300582900</v>
      </c>
      <c r="K148" s="579" t="s">
        <v>171</v>
      </c>
      <c r="L148" s="573" t="s">
        <v>147</v>
      </c>
      <c r="M148" s="573" t="s">
        <v>408</v>
      </c>
      <c r="N148" s="589">
        <v>45568</v>
      </c>
      <c r="O148" s="482" t="s">
        <v>303</v>
      </c>
      <c r="P148" s="747">
        <v>6102</v>
      </c>
      <c r="Q148" s="576">
        <v>45574</v>
      </c>
      <c r="R148" s="573"/>
      <c r="S148" s="572"/>
      <c r="T148" s="572"/>
      <c r="U148" s="572"/>
      <c r="V148" s="574"/>
      <c r="W148" s="575"/>
      <c r="X148" s="80">
        <v>67</v>
      </c>
    </row>
    <row r="149" spans="1:24" s="80" customFormat="1" ht="56.25" x14ac:dyDescent="0.25">
      <c r="A149" s="580">
        <v>35</v>
      </c>
      <c r="B149" s="481" t="s">
        <v>56</v>
      </c>
      <c r="C149" s="582" t="s">
        <v>147</v>
      </c>
      <c r="D149" s="481" t="s">
        <v>158</v>
      </c>
      <c r="E149" s="582" t="s">
        <v>410</v>
      </c>
      <c r="F149" s="590">
        <v>45566</v>
      </c>
      <c r="G149" s="585" t="s">
        <v>215</v>
      </c>
      <c r="H149" s="581">
        <v>195369.59</v>
      </c>
      <c r="I149" s="586">
        <f>IF(X149 = 68, H149 + SUM(S149:S149) - SUM(T149:T149) - SUM(P149:P149) - V149,0)</f>
        <v>160051.09</v>
      </c>
      <c r="J149" s="587">
        <v>7743529527</v>
      </c>
      <c r="K149" s="588" t="s">
        <v>308</v>
      </c>
      <c r="L149" s="582" t="s">
        <v>210</v>
      </c>
      <c r="M149" s="582" t="s">
        <v>411</v>
      </c>
      <c r="N149" s="590">
        <v>45596</v>
      </c>
      <c r="O149" s="482" t="s">
        <v>403</v>
      </c>
      <c r="P149" s="581">
        <v>35318.5</v>
      </c>
      <c r="Q149" s="585"/>
      <c r="R149" s="582"/>
      <c r="S149" s="581"/>
      <c r="T149" s="581"/>
      <c r="U149" s="581"/>
      <c r="V149" s="583"/>
      <c r="W149" s="584"/>
      <c r="X149" s="80">
        <v>68</v>
      </c>
    </row>
    <row r="150" spans="1:24" x14ac:dyDescent="0.25">
      <c r="X150" s="2">
        <v>70</v>
      </c>
    </row>
  </sheetData>
  <sheetProtection password="EB34" sheet="1" objects="1" scenarios="1" formatCells="0" formatColumns="0" formatRows="0"/>
  <mergeCells count="360">
    <mergeCell ref="A17:A34"/>
    <mergeCell ref="O17:O34"/>
    <mergeCell ref="U17:U34"/>
    <mergeCell ref="B17:B34"/>
    <mergeCell ref="V17:V34"/>
    <mergeCell ref="C17:C34"/>
    <mergeCell ref="W17:W34"/>
    <mergeCell ref="D17:D34"/>
    <mergeCell ref="E17:E34"/>
    <mergeCell ref="F17:F34"/>
    <mergeCell ref="G17:G34"/>
    <mergeCell ref="H17:H34"/>
    <mergeCell ref="I17:I34"/>
    <mergeCell ref="J17:J34"/>
    <mergeCell ref="K17:K34"/>
    <mergeCell ref="L17:L34"/>
    <mergeCell ref="M17:M34"/>
    <mergeCell ref="B51:B60"/>
    <mergeCell ref="K87:K96"/>
    <mergeCell ref="L87:L96"/>
    <mergeCell ref="M87:M96"/>
    <mergeCell ref="A61:A70"/>
    <mergeCell ref="O61:O70"/>
    <mergeCell ref="U61:U70"/>
    <mergeCell ref="B61:B70"/>
    <mergeCell ref="V61:V70"/>
    <mergeCell ref="C61:C70"/>
    <mergeCell ref="O87:O96"/>
    <mergeCell ref="U87:U96"/>
    <mergeCell ref="V87:V96"/>
    <mergeCell ref="E87:E96"/>
    <mergeCell ref="G71:G73"/>
    <mergeCell ref="H71:H73"/>
    <mergeCell ref="O71:O73"/>
    <mergeCell ref="L71:L73"/>
    <mergeCell ref="M71:M73"/>
    <mergeCell ref="A71:A73"/>
    <mergeCell ref="B71:B73"/>
    <mergeCell ref="C71:C73"/>
    <mergeCell ref="F71:F73"/>
    <mergeCell ref="I84:I86"/>
    <mergeCell ref="W51:W60"/>
    <mergeCell ref="D51:D60"/>
    <mergeCell ref="E51:E60"/>
    <mergeCell ref="F51:F60"/>
    <mergeCell ref="G51:G60"/>
    <mergeCell ref="H51:H60"/>
    <mergeCell ref="I51:I60"/>
    <mergeCell ref="J51:J60"/>
    <mergeCell ref="K51:K60"/>
    <mergeCell ref="L51:L60"/>
    <mergeCell ref="M51:M60"/>
    <mergeCell ref="B41:B50"/>
    <mergeCell ref="V41:V50"/>
    <mergeCell ref="C41:C50"/>
    <mergeCell ref="W41:W50"/>
    <mergeCell ref="D41:D50"/>
    <mergeCell ref="E41:E50"/>
    <mergeCell ref="F41:F50"/>
    <mergeCell ref="G41:G50"/>
    <mergeCell ref="H41:H50"/>
    <mergeCell ref="I41:I50"/>
    <mergeCell ref="J41:J50"/>
    <mergeCell ref="K41:K50"/>
    <mergeCell ref="L41:L50"/>
    <mergeCell ref="M41:M50"/>
    <mergeCell ref="B98:B106"/>
    <mergeCell ref="V98:V106"/>
    <mergeCell ref="C98:C106"/>
    <mergeCell ref="W98:W106"/>
    <mergeCell ref="D98:D106"/>
    <mergeCell ref="E98:E106"/>
    <mergeCell ref="F98:F106"/>
    <mergeCell ref="G98:G106"/>
    <mergeCell ref="H98:H106"/>
    <mergeCell ref="I98:I106"/>
    <mergeCell ref="J98:J106"/>
    <mergeCell ref="K98:K106"/>
    <mergeCell ref="L98:L106"/>
    <mergeCell ref="M98:M106"/>
    <mergeCell ref="B123:B124"/>
    <mergeCell ref="V123:V124"/>
    <mergeCell ref="C123:C124"/>
    <mergeCell ref="A134:A137"/>
    <mergeCell ref="B134:B137"/>
    <mergeCell ref="C134:C137"/>
    <mergeCell ref="O134:O137"/>
    <mergeCell ref="U134:U137"/>
    <mergeCell ref="V134:V137"/>
    <mergeCell ref="A125:A130"/>
    <mergeCell ref="B125:B130"/>
    <mergeCell ref="C125:C130"/>
    <mergeCell ref="J125:J130"/>
    <mergeCell ref="K125:K130"/>
    <mergeCell ref="L125:L130"/>
    <mergeCell ref="M125:M130"/>
    <mergeCell ref="O123:O124"/>
    <mergeCell ref="U123:U124"/>
    <mergeCell ref="W125:W130"/>
    <mergeCell ref="O125:O130"/>
    <mergeCell ref="U125:U130"/>
    <mergeCell ref="V125:V130"/>
    <mergeCell ref="D125:D130"/>
    <mergeCell ref="E125:E130"/>
    <mergeCell ref="F125:F130"/>
    <mergeCell ref="G125:G130"/>
    <mergeCell ref="H125:H130"/>
    <mergeCell ref="I125:I130"/>
    <mergeCell ref="W134:W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V118:V119"/>
    <mergeCell ref="C118:C119"/>
    <mergeCell ref="H121:H122"/>
    <mergeCell ref="I121:I122"/>
    <mergeCell ref="J121:J122"/>
    <mergeCell ref="K121:K122"/>
    <mergeCell ref="L121:L122"/>
    <mergeCell ref="M121:M122"/>
    <mergeCell ref="O121:O122"/>
    <mergeCell ref="U121:U122"/>
    <mergeCell ref="V121:V122"/>
    <mergeCell ref="L9:L16"/>
    <mergeCell ref="V115:V117"/>
    <mergeCell ref="C115:C117"/>
    <mergeCell ref="L115:L117"/>
    <mergeCell ref="M115:M117"/>
    <mergeCell ref="K115:K117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W121:W122"/>
    <mergeCell ref="D121:D122"/>
    <mergeCell ref="E121:E122"/>
    <mergeCell ref="F121:F122"/>
    <mergeCell ref="G121:G122"/>
    <mergeCell ref="O118:O119"/>
    <mergeCell ref="U118:U119"/>
    <mergeCell ref="A9:A16"/>
    <mergeCell ref="B9:B16"/>
    <mergeCell ref="C9:C16"/>
    <mergeCell ref="M9:M16"/>
    <mergeCell ref="O9:O16"/>
    <mergeCell ref="A35:A40"/>
    <mergeCell ref="A41:A50"/>
    <mergeCell ref="O41:O50"/>
    <mergeCell ref="A51:A60"/>
    <mergeCell ref="O51:O60"/>
    <mergeCell ref="K35:K40"/>
    <mergeCell ref="L35:L40"/>
    <mergeCell ref="H35:H40"/>
    <mergeCell ref="I35:I40"/>
    <mergeCell ref="J35:J40"/>
    <mergeCell ref="B35:B40"/>
    <mergeCell ref="D9:D16"/>
    <mergeCell ref="E9:E16"/>
    <mergeCell ref="F9:F16"/>
    <mergeCell ref="G9:G16"/>
    <mergeCell ref="H9:H16"/>
    <mergeCell ref="I9:I16"/>
    <mergeCell ref="J9:J16"/>
    <mergeCell ref="K9:K16"/>
    <mergeCell ref="S2:U2"/>
    <mergeCell ref="F2:G2"/>
    <mergeCell ref="N2:O2"/>
    <mergeCell ref="W9:W16"/>
    <mergeCell ref="V112:V114"/>
    <mergeCell ref="W112:W114"/>
    <mergeCell ref="L112:L114"/>
    <mergeCell ref="M112:M114"/>
    <mergeCell ref="O112:O114"/>
    <mergeCell ref="O35:O40"/>
    <mergeCell ref="U35:U40"/>
    <mergeCell ref="F112:F114"/>
    <mergeCell ref="G112:G114"/>
    <mergeCell ref="W35:W40"/>
    <mergeCell ref="W71:W73"/>
    <mergeCell ref="U9:U16"/>
    <mergeCell ref="V9:V16"/>
    <mergeCell ref="O98:O106"/>
    <mergeCell ref="U98:U106"/>
    <mergeCell ref="U41:U50"/>
    <mergeCell ref="U51:U60"/>
    <mergeCell ref="W61:W70"/>
    <mergeCell ref="M61:M70"/>
    <mergeCell ref="J87:J96"/>
    <mergeCell ref="A87:A96"/>
    <mergeCell ref="B87:B96"/>
    <mergeCell ref="C87:C96"/>
    <mergeCell ref="D87:D96"/>
    <mergeCell ref="A75:A83"/>
    <mergeCell ref="W118:W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H115:H117"/>
    <mergeCell ref="I115:I117"/>
    <mergeCell ref="J115:J117"/>
    <mergeCell ref="W115:W117"/>
    <mergeCell ref="D115:D117"/>
    <mergeCell ref="E115:E117"/>
    <mergeCell ref="F115:F117"/>
    <mergeCell ref="U115:U117"/>
    <mergeCell ref="C35:C40"/>
    <mergeCell ref="M35:M40"/>
    <mergeCell ref="D35:D40"/>
    <mergeCell ref="E35:E40"/>
    <mergeCell ref="D71:D73"/>
    <mergeCell ref="E71:E73"/>
    <mergeCell ref="J71:J73"/>
    <mergeCell ref="K71:K73"/>
    <mergeCell ref="I71:I73"/>
    <mergeCell ref="C51:C60"/>
    <mergeCell ref="E61:E70"/>
    <mergeCell ref="F61:F70"/>
    <mergeCell ref="G61:G70"/>
    <mergeCell ref="H61:H70"/>
    <mergeCell ref="I61:I70"/>
    <mergeCell ref="J61:J70"/>
    <mergeCell ref="K61:K70"/>
    <mergeCell ref="L61:L70"/>
    <mergeCell ref="D61:D70"/>
    <mergeCell ref="W87:W96"/>
    <mergeCell ref="F87:F96"/>
    <mergeCell ref="G87:G96"/>
    <mergeCell ref="H87:H96"/>
    <mergeCell ref="I87:I96"/>
    <mergeCell ref="V84:V86"/>
    <mergeCell ref="W84:W86"/>
    <mergeCell ref="J84:J86"/>
    <mergeCell ref="K84:K86"/>
    <mergeCell ref="L84:L86"/>
    <mergeCell ref="M84:M86"/>
    <mergeCell ref="D84:D86"/>
    <mergeCell ref="E84:E86"/>
    <mergeCell ref="F84:F86"/>
    <mergeCell ref="G84:G86"/>
    <mergeCell ref="F35:F40"/>
    <mergeCell ref="G35:G40"/>
    <mergeCell ref="V71:V73"/>
    <mergeCell ref="H84:H86"/>
    <mergeCell ref="U71:U73"/>
    <mergeCell ref="O75:O83"/>
    <mergeCell ref="U75:U83"/>
    <mergeCell ref="V35:V40"/>
    <mergeCell ref="V51:V60"/>
    <mergeCell ref="A144:A147"/>
    <mergeCell ref="O144:O147"/>
    <mergeCell ref="U144:U147"/>
    <mergeCell ref="B144:B147"/>
    <mergeCell ref="V144:V147"/>
    <mergeCell ref="C144:C147"/>
    <mergeCell ref="O142:O143"/>
    <mergeCell ref="U142:U143"/>
    <mergeCell ref="B142:B143"/>
    <mergeCell ref="V142:V143"/>
    <mergeCell ref="C142:C143"/>
    <mergeCell ref="A142:A143"/>
    <mergeCell ref="J142:J143"/>
    <mergeCell ref="K142:K143"/>
    <mergeCell ref="L142:L143"/>
    <mergeCell ref="M142:M143"/>
    <mergeCell ref="C84:C86"/>
    <mergeCell ref="O84:O86"/>
    <mergeCell ref="U84:U86"/>
    <mergeCell ref="A98:A106"/>
    <mergeCell ref="A84:A86"/>
    <mergeCell ref="B84:B86"/>
    <mergeCell ref="W144:W147"/>
    <mergeCell ref="D144:D147"/>
    <mergeCell ref="E144:E147"/>
    <mergeCell ref="F144:F147"/>
    <mergeCell ref="G144:G147"/>
    <mergeCell ref="H144:H147"/>
    <mergeCell ref="I144:I147"/>
    <mergeCell ref="J144:J147"/>
    <mergeCell ref="K144:K147"/>
    <mergeCell ref="L144:L147"/>
    <mergeCell ref="M144:M147"/>
    <mergeCell ref="W142:W143"/>
    <mergeCell ref="D142:D143"/>
    <mergeCell ref="E142:E143"/>
    <mergeCell ref="F142:F143"/>
    <mergeCell ref="G142:G143"/>
    <mergeCell ref="H142:H143"/>
    <mergeCell ref="I142:I143"/>
    <mergeCell ref="A121:A122"/>
    <mergeCell ref="C121:C122"/>
    <mergeCell ref="A118:A119"/>
    <mergeCell ref="A123:A124"/>
    <mergeCell ref="A107:A109"/>
    <mergeCell ref="O107:O109"/>
    <mergeCell ref="U107:U109"/>
    <mergeCell ref="B107:B109"/>
    <mergeCell ref="C112:C114"/>
    <mergeCell ref="D112:D114"/>
    <mergeCell ref="G115:G117"/>
    <mergeCell ref="H112:H114"/>
    <mergeCell ref="I112:I114"/>
    <mergeCell ref="J112:J114"/>
    <mergeCell ref="K112:K114"/>
    <mergeCell ref="E112:E114"/>
    <mergeCell ref="A112:A114"/>
    <mergeCell ref="B112:B114"/>
    <mergeCell ref="A115:A117"/>
    <mergeCell ref="U112:U114"/>
    <mergeCell ref="O115:O117"/>
    <mergeCell ref="B115:B117"/>
    <mergeCell ref="B121:B122"/>
    <mergeCell ref="B118:B119"/>
    <mergeCell ref="V107:V109"/>
    <mergeCell ref="C107:C109"/>
    <mergeCell ref="W107:W109"/>
    <mergeCell ref="D107:D109"/>
    <mergeCell ref="E107:E109"/>
    <mergeCell ref="F107:F109"/>
    <mergeCell ref="G107:G109"/>
    <mergeCell ref="H107:H109"/>
    <mergeCell ref="I107:I109"/>
    <mergeCell ref="J107:J109"/>
    <mergeCell ref="K107:K109"/>
    <mergeCell ref="L107:L109"/>
    <mergeCell ref="M107:M109"/>
    <mergeCell ref="B75:B83"/>
    <mergeCell ref="V75:V83"/>
    <mergeCell ref="C75:C83"/>
    <mergeCell ref="W75:W83"/>
    <mergeCell ref="D75:D83"/>
    <mergeCell ref="E75:E83"/>
    <mergeCell ref="F75:F83"/>
    <mergeCell ref="G75:G83"/>
    <mergeCell ref="H75:H83"/>
    <mergeCell ref="I75:I83"/>
    <mergeCell ref="J75:J83"/>
    <mergeCell ref="K75:K83"/>
    <mergeCell ref="L75:L83"/>
    <mergeCell ref="M75:M8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1"/>
  <sheetViews>
    <sheetView showGridLines="0" topLeftCell="D1" zoomScale="50" zoomScaleNormal="50" workbookViewId="0">
      <pane ySplit="8" topLeftCell="A9" activePane="bottomLeft" state="frozen"/>
      <selection pane="bottomLeft" activeCell="I34" sqref="I34"/>
    </sheetView>
  </sheetViews>
  <sheetFormatPr defaultColWidth="0" defaultRowHeight="18.75" x14ac:dyDescent="0.25"/>
  <cols>
    <col min="1" max="1" width="8.285156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1134" t="s">
        <v>24</v>
      </c>
      <c r="F2" s="1135"/>
      <c r="G2" s="75">
        <f>SUM(G9:G9999)</f>
        <v>587944.5</v>
      </c>
      <c r="L2" s="1348" t="s">
        <v>137</v>
      </c>
      <c r="M2" s="1349"/>
      <c r="N2" s="66">
        <f>SUM(N9:N9999)</f>
        <v>587944.5</v>
      </c>
      <c r="P2" s="65"/>
      <c r="Q2" s="872" t="s">
        <v>45</v>
      </c>
      <c r="R2" s="873"/>
      <c r="S2" s="874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1350">
        <v>1</v>
      </c>
      <c r="B9" s="1336" t="s">
        <v>280</v>
      </c>
      <c r="C9" s="1336" t="s">
        <v>158</v>
      </c>
      <c r="D9" s="1336" t="s">
        <v>275</v>
      </c>
      <c r="E9" s="1340">
        <v>45366</v>
      </c>
      <c r="F9" s="1342" t="s">
        <v>276</v>
      </c>
      <c r="G9" s="1334">
        <v>587944.5</v>
      </c>
      <c r="H9" s="1344">
        <f>IF(V9 = 2, G9 + SUM(Q9:Q10) - SUM(R9:R10) - SUM(N9:N10) - T9,0)</f>
        <v>0</v>
      </c>
      <c r="I9" s="1346">
        <v>7715995942</v>
      </c>
      <c r="J9" s="1336" t="s">
        <v>277</v>
      </c>
      <c r="K9" s="1336" t="s">
        <v>278</v>
      </c>
      <c r="L9" s="361">
        <v>45406</v>
      </c>
      <c r="M9" s="1336" t="s">
        <v>279</v>
      </c>
      <c r="N9" s="353">
        <v>549485.19999999995</v>
      </c>
      <c r="O9" s="361">
        <v>45419</v>
      </c>
      <c r="P9" s="366"/>
      <c r="Q9" s="367"/>
      <c r="R9" s="367"/>
      <c r="S9" s="1342"/>
      <c r="T9" s="1334"/>
      <c r="U9" s="1338"/>
      <c r="V9" s="80">
        <v>2</v>
      </c>
    </row>
    <row r="10" spans="1:22" s="110" customFormat="1" x14ac:dyDescent="0.25">
      <c r="A10" s="1351"/>
      <c r="B10" s="1337"/>
      <c r="C10" s="1337"/>
      <c r="D10" s="1337"/>
      <c r="E10" s="1341"/>
      <c r="F10" s="1343"/>
      <c r="G10" s="1335"/>
      <c r="H10" s="1345"/>
      <c r="I10" s="1347"/>
      <c r="J10" s="1337"/>
      <c r="K10" s="1337"/>
      <c r="L10" s="363">
        <v>45461</v>
      </c>
      <c r="M10" s="1337"/>
      <c r="N10" s="369">
        <v>38459.300000000003</v>
      </c>
      <c r="O10" s="363">
        <v>45463</v>
      </c>
      <c r="P10" s="368"/>
      <c r="Q10" s="359"/>
      <c r="R10" s="359"/>
      <c r="S10" s="1343"/>
      <c r="T10" s="1335"/>
      <c r="U10" s="1339"/>
      <c r="V10" s="110">
        <v>2</v>
      </c>
    </row>
    <row r="11" spans="1:22" x14ac:dyDescent="0.25">
      <c r="V11" s="2">
        <v>3</v>
      </c>
    </row>
  </sheetData>
  <sheetProtection password="EB34" sheet="1" objects="1" scenarios="1" formatCells="0" formatColumns="0" formatRows="0"/>
  <mergeCells count="18">
    <mergeCell ref="Q2:S2"/>
    <mergeCell ref="E2:F2"/>
    <mergeCell ref="L2:M2"/>
    <mergeCell ref="A9:A10"/>
    <mergeCell ref="M9:M10"/>
    <mergeCell ref="S9:S10"/>
    <mergeCell ref="B9:B10"/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22"/>
  <sheetViews>
    <sheetView showGridLines="0" topLeftCell="N1" zoomScale="50" zoomScaleNormal="50" workbookViewId="0">
      <pane ySplit="8" topLeftCell="A9" activePane="bottomLeft" state="frozen"/>
      <selection pane="bottomLeft" activeCell="V16" sqref="V16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134" t="s">
        <v>139</v>
      </c>
      <c r="F2" s="1135"/>
      <c r="G2" s="77">
        <f>SUM(G9:G9999)</f>
        <v>1548849.06</v>
      </c>
      <c r="O2" s="1134" t="s">
        <v>24</v>
      </c>
      <c r="P2" s="1135"/>
      <c r="Q2" s="75">
        <f>SUM(Q9:Q9999)</f>
        <v>1071537.3400000001</v>
      </c>
      <c r="T2" s="872" t="s">
        <v>137</v>
      </c>
      <c r="U2" s="874"/>
      <c r="V2" s="66">
        <f>SUM(V9:V9999)</f>
        <v>721478.63999999978</v>
      </c>
      <c r="X2" s="65"/>
      <c r="Y2" s="872" t="s">
        <v>45</v>
      </c>
      <c r="Z2" s="873"/>
      <c r="AA2" s="874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1386">
        <v>1</v>
      </c>
      <c r="B9" s="1336" t="s">
        <v>56</v>
      </c>
      <c r="C9" s="1336" t="s">
        <v>161</v>
      </c>
      <c r="D9" s="1336" t="s">
        <v>158</v>
      </c>
      <c r="E9" s="1336" t="s">
        <v>162</v>
      </c>
      <c r="F9" s="1336" t="s">
        <v>154</v>
      </c>
      <c r="G9" s="1334">
        <v>740465.76</v>
      </c>
      <c r="H9" s="1344">
        <f>IF(AD9 = 1, G9 - Q9,0)</f>
        <v>348018.92</v>
      </c>
      <c r="I9" s="1334">
        <v>5</v>
      </c>
      <c r="J9" s="1334">
        <v>0</v>
      </c>
      <c r="K9" s="1336" t="s">
        <v>194</v>
      </c>
      <c r="L9" s="1336" t="s">
        <v>163</v>
      </c>
      <c r="M9" s="1336" t="s">
        <v>164</v>
      </c>
      <c r="N9" s="1340">
        <v>45286</v>
      </c>
      <c r="O9" s="1336" t="s">
        <v>155</v>
      </c>
      <c r="P9" s="1336" t="s">
        <v>156</v>
      </c>
      <c r="Q9" s="1334">
        <v>392446.84</v>
      </c>
      <c r="R9" s="1344">
        <f>IF(AD9 = 1, Q9 + SUM(Y9:Y14) - SUM(Z9:Z14) - SUM(V9:V14) - AB9,0)</f>
        <v>5.8207660913467407E-11</v>
      </c>
      <c r="S9" s="1336" t="s">
        <v>165</v>
      </c>
      <c r="T9" s="361">
        <v>45323</v>
      </c>
      <c r="U9" s="1342" t="s">
        <v>157</v>
      </c>
      <c r="V9" s="353">
        <v>68347.48</v>
      </c>
      <c r="W9" s="361">
        <v>45327</v>
      </c>
      <c r="X9" s="354"/>
      <c r="Y9" s="355"/>
      <c r="Z9" s="355"/>
      <c r="AA9" s="1392"/>
      <c r="AB9" s="1376"/>
      <c r="AC9" s="1380"/>
      <c r="AD9" s="80">
        <v>1</v>
      </c>
    </row>
    <row r="10" spans="1:30" s="110" customFormat="1" x14ac:dyDescent="0.25">
      <c r="A10" s="1387"/>
      <c r="B10" s="1379"/>
      <c r="C10" s="1379"/>
      <c r="D10" s="1379"/>
      <c r="E10" s="1379"/>
      <c r="F10" s="1379"/>
      <c r="G10" s="1383"/>
      <c r="H10" s="1384"/>
      <c r="I10" s="1383"/>
      <c r="J10" s="1383"/>
      <c r="K10" s="1379"/>
      <c r="L10" s="1379"/>
      <c r="M10" s="1379"/>
      <c r="N10" s="1385"/>
      <c r="O10" s="1379"/>
      <c r="P10" s="1379"/>
      <c r="Q10" s="1383"/>
      <c r="R10" s="1384"/>
      <c r="S10" s="1379"/>
      <c r="T10" s="362">
        <v>45352</v>
      </c>
      <c r="U10" s="1389"/>
      <c r="V10" s="356">
        <v>63937.97</v>
      </c>
      <c r="W10" s="362">
        <v>45356</v>
      </c>
      <c r="X10" s="357"/>
      <c r="Y10" s="358"/>
      <c r="Z10" s="358"/>
      <c r="AA10" s="1393"/>
      <c r="AB10" s="1377"/>
      <c r="AC10" s="1381"/>
      <c r="AD10" s="110">
        <v>1</v>
      </c>
    </row>
    <row r="11" spans="1:30" s="110" customFormat="1" x14ac:dyDescent="0.25">
      <c r="A11" s="1387"/>
      <c r="B11" s="1379"/>
      <c r="C11" s="1379"/>
      <c r="D11" s="1379"/>
      <c r="E11" s="1379"/>
      <c r="F11" s="1379"/>
      <c r="G11" s="1383"/>
      <c r="H11" s="1384"/>
      <c r="I11" s="1383"/>
      <c r="J11" s="1383"/>
      <c r="K11" s="1379"/>
      <c r="L11" s="1379"/>
      <c r="M11" s="1379"/>
      <c r="N11" s="1385"/>
      <c r="O11" s="1379"/>
      <c r="P11" s="1379"/>
      <c r="Q11" s="1383"/>
      <c r="R11" s="1384"/>
      <c r="S11" s="1379"/>
      <c r="T11" s="362">
        <v>45384</v>
      </c>
      <c r="U11" s="1389"/>
      <c r="V11" s="356">
        <v>68347.48</v>
      </c>
      <c r="W11" s="362">
        <v>45384</v>
      </c>
      <c r="X11" s="357"/>
      <c r="Y11" s="358"/>
      <c r="Z11" s="358"/>
      <c r="AA11" s="1393"/>
      <c r="AB11" s="1377"/>
      <c r="AC11" s="1381"/>
      <c r="AD11" s="110">
        <v>1</v>
      </c>
    </row>
    <row r="12" spans="1:30" s="110" customFormat="1" x14ac:dyDescent="0.25">
      <c r="A12" s="1387"/>
      <c r="B12" s="1379"/>
      <c r="C12" s="1379"/>
      <c r="D12" s="1379"/>
      <c r="E12" s="1379"/>
      <c r="F12" s="1379"/>
      <c r="G12" s="1383"/>
      <c r="H12" s="1384"/>
      <c r="I12" s="1383"/>
      <c r="J12" s="1383"/>
      <c r="K12" s="1379"/>
      <c r="L12" s="1379"/>
      <c r="M12" s="1379"/>
      <c r="N12" s="1385"/>
      <c r="O12" s="1379"/>
      <c r="P12" s="1379"/>
      <c r="Q12" s="1383"/>
      <c r="R12" s="1384"/>
      <c r="S12" s="1379"/>
      <c r="T12" s="362">
        <v>45414</v>
      </c>
      <c r="U12" s="1389"/>
      <c r="V12" s="356">
        <v>66142.73</v>
      </c>
      <c r="W12" s="362">
        <v>45419</v>
      </c>
      <c r="X12" s="357"/>
      <c r="Y12" s="358"/>
      <c r="Z12" s="358"/>
      <c r="AA12" s="1393"/>
      <c r="AB12" s="1377"/>
      <c r="AC12" s="1381"/>
      <c r="AD12" s="110">
        <v>1</v>
      </c>
    </row>
    <row r="13" spans="1:30" s="110" customFormat="1" x14ac:dyDescent="0.25">
      <c r="A13" s="1387"/>
      <c r="B13" s="1379"/>
      <c r="C13" s="1379"/>
      <c r="D13" s="1379"/>
      <c r="E13" s="1379"/>
      <c r="F13" s="1379"/>
      <c r="G13" s="1383"/>
      <c r="H13" s="1384"/>
      <c r="I13" s="1383"/>
      <c r="J13" s="1383"/>
      <c r="K13" s="1379"/>
      <c r="L13" s="1379"/>
      <c r="M13" s="1379"/>
      <c r="N13" s="1385"/>
      <c r="O13" s="1379"/>
      <c r="P13" s="1379"/>
      <c r="Q13" s="1383"/>
      <c r="R13" s="1384"/>
      <c r="S13" s="1379"/>
      <c r="T13" s="362">
        <v>45445</v>
      </c>
      <c r="U13" s="1389"/>
      <c r="V13" s="356">
        <v>68347.48</v>
      </c>
      <c r="W13" s="362">
        <v>45449</v>
      </c>
      <c r="X13" s="357"/>
      <c r="Y13" s="358"/>
      <c r="Z13" s="358"/>
      <c r="AA13" s="1393"/>
      <c r="AB13" s="1377"/>
      <c r="AC13" s="1381"/>
      <c r="AD13" s="110">
        <v>1</v>
      </c>
    </row>
    <row r="14" spans="1:30" s="110" customFormat="1" x14ac:dyDescent="0.25">
      <c r="A14" s="1388"/>
      <c r="B14" s="1337"/>
      <c r="C14" s="1337"/>
      <c r="D14" s="1337"/>
      <c r="E14" s="1337"/>
      <c r="F14" s="1337"/>
      <c r="G14" s="1335"/>
      <c r="H14" s="1345"/>
      <c r="I14" s="1335"/>
      <c r="J14" s="1335"/>
      <c r="K14" s="1337"/>
      <c r="L14" s="1337"/>
      <c r="M14" s="1337"/>
      <c r="N14" s="1341"/>
      <c r="O14" s="1337"/>
      <c r="P14" s="1337"/>
      <c r="Q14" s="1335"/>
      <c r="R14" s="1345"/>
      <c r="S14" s="1337"/>
      <c r="T14" s="363">
        <v>45470</v>
      </c>
      <c r="U14" s="1343"/>
      <c r="V14" s="369">
        <v>57323.7</v>
      </c>
      <c r="W14" s="363">
        <v>45477</v>
      </c>
      <c r="X14" s="360"/>
      <c r="Y14" s="359"/>
      <c r="Z14" s="359"/>
      <c r="AA14" s="1394"/>
      <c r="AB14" s="1378"/>
      <c r="AC14" s="1382"/>
      <c r="AD14" s="110">
        <v>1</v>
      </c>
    </row>
    <row r="15" spans="1:30" s="80" customFormat="1" ht="90" customHeight="1" x14ac:dyDescent="0.25">
      <c r="A15" s="1372">
        <v>2</v>
      </c>
      <c r="B15" s="1355" t="s">
        <v>56</v>
      </c>
      <c r="C15" s="1355" t="s">
        <v>310</v>
      </c>
      <c r="D15" s="1355" t="s">
        <v>158</v>
      </c>
      <c r="E15" s="1355" t="s">
        <v>311</v>
      </c>
      <c r="F15" s="1355" t="s">
        <v>154</v>
      </c>
      <c r="G15" s="1358">
        <v>349440</v>
      </c>
      <c r="H15" s="1361">
        <f>IF(AD15 = 2, G15 - Q15,0)</f>
        <v>129292.79999999999</v>
      </c>
      <c r="I15" s="1358">
        <v>5</v>
      </c>
      <c r="J15" s="1358">
        <v>0</v>
      </c>
      <c r="K15" s="1364" t="s">
        <v>75</v>
      </c>
      <c r="L15" s="1355" t="s">
        <v>312</v>
      </c>
      <c r="M15" s="1355" t="s">
        <v>313</v>
      </c>
      <c r="N15" s="1367">
        <v>45470</v>
      </c>
      <c r="O15" s="1355" t="s">
        <v>314</v>
      </c>
      <c r="P15" s="1355" t="s">
        <v>156</v>
      </c>
      <c r="Q15" s="1358">
        <v>220147.20000000001</v>
      </c>
      <c r="R15" s="1361">
        <f>IF(AD15 = 2, Q15 + SUM(Y15:Y18) - SUM(Z15:Z18) - SUM(V15:V18) - AB15,0)</f>
        <v>0</v>
      </c>
      <c r="S15" s="1355" t="s">
        <v>319</v>
      </c>
      <c r="T15" s="722">
        <v>45473</v>
      </c>
      <c r="U15" s="1374" t="s">
        <v>157</v>
      </c>
      <c r="V15" s="714">
        <v>9676.7999999999993</v>
      </c>
      <c r="W15" s="722">
        <v>45477</v>
      </c>
      <c r="X15" s="715"/>
      <c r="Y15" s="716"/>
      <c r="Z15" s="716"/>
      <c r="AA15" s="1374"/>
      <c r="AB15" s="1358"/>
      <c r="AC15" s="1352"/>
      <c r="AD15" s="80">
        <v>2</v>
      </c>
    </row>
    <row r="16" spans="1:30" s="110" customFormat="1" x14ac:dyDescent="0.25">
      <c r="A16" s="1373"/>
      <c r="B16" s="1356"/>
      <c r="C16" s="1356"/>
      <c r="D16" s="1356"/>
      <c r="E16" s="1356"/>
      <c r="F16" s="1356"/>
      <c r="G16" s="1359"/>
      <c r="H16" s="1362"/>
      <c r="I16" s="1359"/>
      <c r="J16" s="1359"/>
      <c r="K16" s="1365"/>
      <c r="L16" s="1356"/>
      <c r="M16" s="1356"/>
      <c r="N16" s="1368"/>
      <c r="O16" s="1356"/>
      <c r="P16" s="1356"/>
      <c r="Q16" s="1359"/>
      <c r="R16" s="1362"/>
      <c r="S16" s="1356"/>
      <c r="T16" s="723">
        <v>45504</v>
      </c>
      <c r="U16" s="1375"/>
      <c r="V16" s="717">
        <v>74995.199999999997</v>
      </c>
      <c r="W16" s="723">
        <v>45511</v>
      </c>
      <c r="X16" s="718"/>
      <c r="Y16" s="719"/>
      <c r="Z16" s="719"/>
      <c r="AA16" s="1375"/>
      <c r="AB16" s="1359"/>
      <c r="AC16" s="1353"/>
      <c r="AD16" s="110">
        <v>2</v>
      </c>
    </row>
    <row r="17" spans="1:30" s="110" customFormat="1" x14ac:dyDescent="0.25">
      <c r="A17" s="1373"/>
      <c r="B17" s="1356"/>
      <c r="C17" s="1356"/>
      <c r="D17" s="1356"/>
      <c r="E17" s="1356"/>
      <c r="F17" s="1356"/>
      <c r="G17" s="1359"/>
      <c r="H17" s="1362"/>
      <c r="I17" s="1359"/>
      <c r="J17" s="1359"/>
      <c r="K17" s="1365"/>
      <c r="L17" s="1356"/>
      <c r="M17" s="1356"/>
      <c r="N17" s="1368"/>
      <c r="O17" s="1356"/>
      <c r="P17" s="1356"/>
      <c r="Q17" s="1359"/>
      <c r="R17" s="1362"/>
      <c r="S17" s="1356"/>
      <c r="T17" s="723">
        <v>45535</v>
      </c>
      <c r="U17" s="1375"/>
      <c r="V17" s="717">
        <v>74995.199999999997</v>
      </c>
      <c r="W17" s="723">
        <v>45539</v>
      </c>
      <c r="X17" s="718"/>
      <c r="Y17" s="719"/>
      <c r="Z17" s="719"/>
      <c r="AA17" s="1375"/>
      <c r="AB17" s="1359"/>
      <c r="AC17" s="1353"/>
      <c r="AD17" s="110">
        <v>2</v>
      </c>
    </row>
    <row r="18" spans="1:30" s="110" customFormat="1" x14ac:dyDescent="0.25">
      <c r="A18" s="1390"/>
      <c r="B18" s="1357"/>
      <c r="C18" s="1357"/>
      <c r="D18" s="1357"/>
      <c r="E18" s="1357"/>
      <c r="F18" s="1357"/>
      <c r="G18" s="1360"/>
      <c r="H18" s="1363"/>
      <c r="I18" s="1360"/>
      <c r="J18" s="1360"/>
      <c r="K18" s="1366"/>
      <c r="L18" s="1357"/>
      <c r="M18" s="1357"/>
      <c r="N18" s="1369"/>
      <c r="O18" s="1357"/>
      <c r="P18" s="1357"/>
      <c r="Q18" s="1360"/>
      <c r="R18" s="1363"/>
      <c r="S18" s="1357"/>
      <c r="T18" s="724">
        <v>45561</v>
      </c>
      <c r="U18" s="1391"/>
      <c r="V18" s="725">
        <v>60480</v>
      </c>
      <c r="W18" s="724">
        <v>45566</v>
      </c>
      <c r="X18" s="721"/>
      <c r="Y18" s="720"/>
      <c r="Z18" s="720"/>
      <c r="AA18" s="1391"/>
      <c r="AB18" s="1360"/>
      <c r="AC18" s="1354"/>
      <c r="AD18" s="110">
        <v>2</v>
      </c>
    </row>
    <row r="19" spans="1:30" s="80" customFormat="1" ht="90" customHeight="1" x14ac:dyDescent="0.25">
      <c r="A19" s="1372">
        <v>3</v>
      </c>
      <c r="B19" s="1355" t="s">
        <v>56</v>
      </c>
      <c r="C19" s="1355" t="s">
        <v>315</v>
      </c>
      <c r="D19" s="1355" t="s">
        <v>158</v>
      </c>
      <c r="E19" s="1355" t="s">
        <v>316</v>
      </c>
      <c r="F19" s="1355" t="s">
        <v>174</v>
      </c>
      <c r="G19" s="1358">
        <v>458943.3</v>
      </c>
      <c r="H19" s="1361">
        <f>IF(AD19 = 3, G19 - Q19,0)</f>
        <v>0</v>
      </c>
      <c r="I19" s="1358">
        <v>25</v>
      </c>
      <c r="J19" s="1358">
        <v>0</v>
      </c>
      <c r="K19" s="1370" t="s">
        <v>194</v>
      </c>
      <c r="L19" s="1355" t="s">
        <v>317</v>
      </c>
      <c r="M19" s="1355" t="s">
        <v>318</v>
      </c>
      <c r="N19" s="1367">
        <v>45473</v>
      </c>
      <c r="O19" s="1355" t="s">
        <v>170</v>
      </c>
      <c r="P19" s="1355" t="s">
        <v>171</v>
      </c>
      <c r="Q19" s="1358">
        <v>458943.3</v>
      </c>
      <c r="R19" s="1361">
        <f>IF(AD19 = 3, Q19 + SUM(Y19:Y21) - SUM(Z19:Z21) - SUM(V19:V21) - AB19,0)</f>
        <v>350058.7</v>
      </c>
      <c r="S19" s="1355" t="s">
        <v>391</v>
      </c>
      <c r="T19" s="722">
        <v>45554</v>
      </c>
      <c r="U19" s="1374" t="s">
        <v>157</v>
      </c>
      <c r="V19" s="714">
        <v>36774.449999999997</v>
      </c>
      <c r="W19" s="722">
        <v>45561</v>
      </c>
      <c r="X19" s="715"/>
      <c r="Y19" s="716"/>
      <c r="Z19" s="716"/>
      <c r="AA19" s="1374"/>
      <c r="AB19" s="1358"/>
      <c r="AC19" s="1352"/>
      <c r="AD19" s="80">
        <v>3</v>
      </c>
    </row>
    <row r="20" spans="1:30" s="110" customFormat="1" x14ac:dyDescent="0.25">
      <c r="A20" s="1373"/>
      <c r="B20" s="1356"/>
      <c r="C20" s="1356"/>
      <c r="D20" s="1356"/>
      <c r="E20" s="1356"/>
      <c r="F20" s="1356"/>
      <c r="G20" s="1359"/>
      <c r="H20" s="1362"/>
      <c r="I20" s="1359"/>
      <c r="J20" s="1359"/>
      <c r="K20" s="1371"/>
      <c r="L20" s="1356"/>
      <c r="M20" s="1356"/>
      <c r="N20" s="1368"/>
      <c r="O20" s="1356"/>
      <c r="P20" s="1356"/>
      <c r="Q20" s="1359"/>
      <c r="R20" s="1362"/>
      <c r="S20" s="1356"/>
      <c r="T20" s="723">
        <v>45568</v>
      </c>
      <c r="U20" s="1375"/>
      <c r="V20" s="717">
        <v>39364.199999999997</v>
      </c>
      <c r="W20" s="723">
        <v>45573</v>
      </c>
      <c r="X20" s="718"/>
      <c r="Y20" s="719"/>
      <c r="Z20" s="719"/>
      <c r="AA20" s="1375"/>
      <c r="AB20" s="1359"/>
      <c r="AC20" s="1353"/>
      <c r="AD20" s="110">
        <v>3</v>
      </c>
    </row>
    <row r="21" spans="1:30" s="110" customFormat="1" x14ac:dyDescent="0.25">
      <c r="A21" s="1373"/>
      <c r="B21" s="1356"/>
      <c r="C21" s="1356"/>
      <c r="D21" s="1356"/>
      <c r="E21" s="1356"/>
      <c r="F21" s="1356"/>
      <c r="G21" s="1359"/>
      <c r="H21" s="1362"/>
      <c r="I21" s="1359"/>
      <c r="J21" s="1359"/>
      <c r="K21" s="1371"/>
      <c r="L21" s="1356"/>
      <c r="M21" s="1356"/>
      <c r="N21" s="1368"/>
      <c r="O21" s="1356"/>
      <c r="P21" s="1356"/>
      <c r="Q21" s="1359"/>
      <c r="R21" s="1362"/>
      <c r="S21" s="1356"/>
      <c r="T21" s="723">
        <v>45579</v>
      </c>
      <c r="U21" s="1375"/>
      <c r="V21" s="717">
        <v>32745.95</v>
      </c>
      <c r="W21" s="723">
        <v>45588</v>
      </c>
      <c r="X21" s="718"/>
      <c r="Y21" s="719"/>
      <c r="Z21" s="719"/>
      <c r="AA21" s="1375"/>
      <c r="AB21" s="1359"/>
      <c r="AC21" s="1353"/>
      <c r="AD21" s="110">
        <v>3</v>
      </c>
    </row>
    <row r="22" spans="1:30" x14ac:dyDescent="0.25">
      <c r="AD22" s="2">
        <v>4</v>
      </c>
    </row>
  </sheetData>
  <sheetProtection password="EB34" sheet="1" objects="1" scenarios="1" formatCells="0" formatColumns="0" formatRows="0"/>
  <mergeCells count="73">
    <mergeCell ref="AA15:AA18"/>
    <mergeCell ref="B15:B18"/>
    <mergeCell ref="AB15:AB18"/>
    <mergeCell ref="C15:C18"/>
    <mergeCell ref="S15:S18"/>
    <mergeCell ref="E2:F2"/>
    <mergeCell ref="O2:P2"/>
    <mergeCell ref="Y2:AA2"/>
    <mergeCell ref="T2:U2"/>
    <mergeCell ref="Q9:Q14"/>
    <mergeCell ref="R9:R14"/>
    <mergeCell ref="S9:S14"/>
    <mergeCell ref="O9:O14"/>
    <mergeCell ref="P9:P14"/>
    <mergeCell ref="A9:A14"/>
    <mergeCell ref="B9:B14"/>
    <mergeCell ref="U9:U14"/>
    <mergeCell ref="A15:A18"/>
    <mergeCell ref="U15:U18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AA9:AA14"/>
    <mergeCell ref="A19:A21"/>
    <mergeCell ref="U19:U21"/>
    <mergeCell ref="AA19:AA21"/>
    <mergeCell ref="B19:B21"/>
    <mergeCell ref="AB19:AB21"/>
    <mergeCell ref="C19:C21"/>
    <mergeCell ref="S19:S21"/>
    <mergeCell ref="AC19:AC21"/>
    <mergeCell ref="D19:D21"/>
    <mergeCell ref="E19:E21"/>
    <mergeCell ref="F19:F21"/>
    <mergeCell ref="G19:G21"/>
    <mergeCell ref="H19:H21"/>
    <mergeCell ref="I19:I21"/>
    <mergeCell ref="J19:J21"/>
    <mergeCell ref="K19:K21"/>
    <mergeCell ref="L19:L21"/>
    <mergeCell ref="M19:M21"/>
    <mergeCell ref="N19:N21"/>
    <mergeCell ref="O19:O21"/>
    <mergeCell ref="P19:P21"/>
    <mergeCell ref="Q19:Q21"/>
    <mergeCell ref="R19:R21"/>
    <mergeCell ref="AC15:AC18"/>
    <mergeCell ref="D15:D18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N15:N18"/>
    <mergeCell ref="O15:O18"/>
    <mergeCell ref="P15:P18"/>
    <mergeCell ref="Q15:Q18"/>
    <mergeCell ref="R15:R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5"/>
  <sheetViews>
    <sheetView showGridLines="0" topLeftCell="N1" zoomScale="50" zoomScaleNormal="50" workbookViewId="0">
      <pane ySplit="8" topLeftCell="A9" activePane="bottomLeft" state="frozen"/>
      <selection pane="bottomLeft" activeCell="W14" sqref="W14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134" t="s">
        <v>139</v>
      </c>
      <c r="F2" s="1135"/>
      <c r="G2" s="77">
        <f>SUM(G9:G9999)</f>
        <v>570613.17999999993</v>
      </c>
      <c r="H2" s="10"/>
      <c r="O2" s="1134" t="s">
        <v>24</v>
      </c>
      <c r="P2" s="1135"/>
      <c r="Q2" s="75">
        <f>SUM(Q9:Q9999)</f>
        <v>570613.17999999993</v>
      </c>
      <c r="T2" s="872" t="s">
        <v>137</v>
      </c>
      <c r="U2" s="874"/>
      <c r="V2" s="66">
        <f>SUM(V9:V9999)</f>
        <v>457739.69999999995</v>
      </c>
      <c r="X2" s="65"/>
      <c r="Y2" s="872" t="s">
        <v>45</v>
      </c>
      <c r="Z2" s="873"/>
      <c r="AA2" s="874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4" t="s">
        <v>36</v>
      </c>
      <c r="B8" s="144"/>
      <c r="C8" s="144" t="s">
        <v>73</v>
      </c>
      <c r="D8" s="144" t="s">
        <v>74</v>
      </c>
      <c r="E8" s="144" t="s">
        <v>71</v>
      </c>
      <c r="F8" s="144" t="s">
        <v>72</v>
      </c>
      <c r="G8" s="145">
        <v>15500.01</v>
      </c>
      <c r="H8" s="145">
        <f t="shared" ref="H8" si="0">G8-Q8</f>
        <v>6725</v>
      </c>
      <c r="I8" s="146">
        <v>6</v>
      </c>
      <c r="J8" s="146">
        <v>0</v>
      </c>
      <c r="K8" s="144" t="s">
        <v>75</v>
      </c>
      <c r="L8" s="144" t="s">
        <v>76</v>
      </c>
      <c r="M8" s="144" t="s">
        <v>77</v>
      </c>
      <c r="N8" s="147">
        <v>43655</v>
      </c>
      <c r="O8" s="144" t="s">
        <v>79</v>
      </c>
      <c r="P8" s="144" t="s">
        <v>78</v>
      </c>
      <c r="Q8" s="145">
        <v>8775.01</v>
      </c>
      <c r="R8" s="145">
        <f>Q8-V8</f>
        <v>0</v>
      </c>
      <c r="S8" s="144" t="s">
        <v>80</v>
      </c>
      <c r="T8" s="147">
        <v>43677</v>
      </c>
      <c r="U8" s="144" t="s">
        <v>81</v>
      </c>
      <c r="V8" s="145">
        <v>8775.01</v>
      </c>
      <c r="W8" s="147">
        <v>43696</v>
      </c>
      <c r="X8" s="144"/>
      <c r="Y8" s="144"/>
      <c r="Z8" s="144"/>
      <c r="AA8" s="144"/>
      <c r="AB8" s="145"/>
      <c r="AC8" s="148" t="s">
        <v>64</v>
      </c>
    </row>
    <row r="9" spans="1:30" s="80" customFormat="1" ht="54.6" customHeight="1" x14ac:dyDescent="0.25">
      <c r="A9" s="1413">
        <v>1</v>
      </c>
      <c r="B9" s="1398" t="s">
        <v>56</v>
      </c>
      <c r="C9" s="1398" t="s">
        <v>166</v>
      </c>
      <c r="D9" s="1398" t="s">
        <v>158</v>
      </c>
      <c r="E9" s="1398" t="s">
        <v>167</v>
      </c>
      <c r="F9" s="1398" t="s">
        <v>174</v>
      </c>
      <c r="G9" s="1395">
        <v>359413.18</v>
      </c>
      <c r="H9" s="1404">
        <f>IF(AD9 = 1, G9 - Q9,0)</f>
        <v>0</v>
      </c>
      <c r="I9" s="1395">
        <v>1</v>
      </c>
      <c r="J9" s="1395">
        <v>0</v>
      </c>
      <c r="K9" s="1398" t="s">
        <v>194</v>
      </c>
      <c r="L9" s="1407" t="s">
        <v>169</v>
      </c>
      <c r="M9" s="1398" t="s">
        <v>168</v>
      </c>
      <c r="N9" s="1410">
        <v>45285</v>
      </c>
      <c r="O9" s="1398" t="s">
        <v>170</v>
      </c>
      <c r="P9" s="1398" t="s">
        <v>171</v>
      </c>
      <c r="Q9" s="1395">
        <v>359413.18</v>
      </c>
      <c r="R9" s="1404">
        <f>IF(AD9 = 1, Q9 + SUM(Y9:Y13) - SUM(Z9:Z13) - SUM(V9:V13) - AB9,0)</f>
        <v>4.0017766878008842E-11</v>
      </c>
      <c r="S9" s="1398" t="s">
        <v>172</v>
      </c>
      <c r="T9" s="190">
        <v>45324</v>
      </c>
      <c r="U9" s="1398" t="s">
        <v>173</v>
      </c>
      <c r="V9" s="182">
        <v>64120.09</v>
      </c>
      <c r="W9" s="190">
        <v>45338</v>
      </c>
      <c r="X9" s="183"/>
      <c r="Y9" s="184"/>
      <c r="Z9" s="184"/>
      <c r="AA9" s="1398" t="s">
        <v>281</v>
      </c>
      <c r="AB9" s="1395">
        <v>5353.48</v>
      </c>
      <c r="AC9" s="1401"/>
      <c r="AD9" s="80">
        <v>1</v>
      </c>
    </row>
    <row r="10" spans="1:30" s="110" customFormat="1" x14ac:dyDescent="0.25">
      <c r="A10" s="1414"/>
      <c r="B10" s="1399"/>
      <c r="C10" s="1399"/>
      <c r="D10" s="1399"/>
      <c r="E10" s="1399"/>
      <c r="F10" s="1399"/>
      <c r="G10" s="1396"/>
      <c r="H10" s="1405"/>
      <c r="I10" s="1396"/>
      <c r="J10" s="1396"/>
      <c r="K10" s="1399"/>
      <c r="L10" s="1408"/>
      <c r="M10" s="1399"/>
      <c r="N10" s="1411"/>
      <c r="O10" s="1399"/>
      <c r="P10" s="1399"/>
      <c r="Q10" s="1396"/>
      <c r="R10" s="1405"/>
      <c r="S10" s="1399"/>
      <c r="T10" s="191">
        <v>45324</v>
      </c>
      <c r="U10" s="1399"/>
      <c r="V10" s="185">
        <v>51101.4</v>
      </c>
      <c r="W10" s="191">
        <v>45338</v>
      </c>
      <c r="X10" s="186"/>
      <c r="Y10" s="187"/>
      <c r="Z10" s="187"/>
      <c r="AA10" s="1399"/>
      <c r="AB10" s="1396"/>
      <c r="AC10" s="1402"/>
      <c r="AD10" s="110">
        <v>1</v>
      </c>
    </row>
    <row r="11" spans="1:30" s="110" customFormat="1" x14ac:dyDescent="0.25">
      <c r="A11" s="1414"/>
      <c r="B11" s="1399"/>
      <c r="C11" s="1399"/>
      <c r="D11" s="1399"/>
      <c r="E11" s="1399"/>
      <c r="F11" s="1399"/>
      <c r="G11" s="1396"/>
      <c r="H11" s="1405"/>
      <c r="I11" s="1396"/>
      <c r="J11" s="1396"/>
      <c r="K11" s="1399"/>
      <c r="L11" s="1408"/>
      <c r="M11" s="1399"/>
      <c r="N11" s="1411"/>
      <c r="O11" s="1399"/>
      <c r="P11" s="1399"/>
      <c r="Q11" s="1396"/>
      <c r="R11" s="1405"/>
      <c r="S11" s="1399"/>
      <c r="T11" s="191">
        <v>45342</v>
      </c>
      <c r="U11" s="1399"/>
      <c r="V11" s="185">
        <v>60956.67</v>
      </c>
      <c r="W11" s="191">
        <v>45344</v>
      </c>
      <c r="X11" s="186"/>
      <c r="Y11" s="187"/>
      <c r="Z11" s="187"/>
      <c r="AA11" s="1399"/>
      <c r="AB11" s="1396"/>
      <c r="AC11" s="1402"/>
      <c r="AD11" s="110">
        <v>1</v>
      </c>
    </row>
    <row r="12" spans="1:30" s="110" customFormat="1" x14ac:dyDescent="0.25">
      <c r="A12" s="1414"/>
      <c r="B12" s="1399"/>
      <c r="C12" s="1399"/>
      <c r="D12" s="1399"/>
      <c r="E12" s="1399"/>
      <c r="F12" s="1399"/>
      <c r="G12" s="1396"/>
      <c r="H12" s="1405"/>
      <c r="I12" s="1396"/>
      <c r="J12" s="1396"/>
      <c r="K12" s="1399"/>
      <c r="L12" s="1408"/>
      <c r="M12" s="1399"/>
      <c r="N12" s="1411"/>
      <c r="O12" s="1399"/>
      <c r="P12" s="1399"/>
      <c r="Q12" s="1396"/>
      <c r="R12" s="1405"/>
      <c r="S12" s="1399"/>
      <c r="T12" s="191">
        <v>45357</v>
      </c>
      <c r="U12" s="1399"/>
      <c r="V12" s="185">
        <v>72515.320000000007</v>
      </c>
      <c r="W12" s="191">
        <v>45371</v>
      </c>
      <c r="X12" s="186"/>
      <c r="Y12" s="187"/>
      <c r="Z12" s="187"/>
      <c r="AA12" s="1399"/>
      <c r="AB12" s="1396"/>
      <c r="AC12" s="1402"/>
      <c r="AD12" s="110">
        <v>1</v>
      </c>
    </row>
    <row r="13" spans="1:30" s="110" customFormat="1" x14ac:dyDescent="0.25">
      <c r="A13" s="1415"/>
      <c r="B13" s="1400"/>
      <c r="C13" s="1400"/>
      <c r="D13" s="1400"/>
      <c r="E13" s="1400"/>
      <c r="F13" s="1400"/>
      <c r="G13" s="1397"/>
      <c r="H13" s="1406"/>
      <c r="I13" s="1397"/>
      <c r="J13" s="1397"/>
      <c r="K13" s="1400"/>
      <c r="L13" s="1409"/>
      <c r="M13" s="1400"/>
      <c r="N13" s="1412"/>
      <c r="O13" s="1400"/>
      <c r="P13" s="1400"/>
      <c r="Q13" s="1397"/>
      <c r="R13" s="1406"/>
      <c r="S13" s="1400"/>
      <c r="T13" s="192">
        <v>45373</v>
      </c>
      <c r="U13" s="1400"/>
      <c r="V13" s="253">
        <v>105366.22</v>
      </c>
      <c r="W13" s="192">
        <v>45394</v>
      </c>
      <c r="X13" s="189"/>
      <c r="Y13" s="188"/>
      <c r="Z13" s="188"/>
      <c r="AA13" s="1400"/>
      <c r="AB13" s="1397"/>
      <c r="AC13" s="1403"/>
      <c r="AD13" s="110">
        <v>1</v>
      </c>
    </row>
    <row r="14" spans="1:30" s="80" customFormat="1" ht="75" x14ac:dyDescent="0.25">
      <c r="A14" s="604">
        <v>2</v>
      </c>
      <c r="B14" s="595" t="s">
        <v>56</v>
      </c>
      <c r="C14" s="595" t="s">
        <v>412</v>
      </c>
      <c r="D14" s="595" t="s">
        <v>158</v>
      </c>
      <c r="E14" s="595" t="s">
        <v>413</v>
      </c>
      <c r="F14" s="595" t="s">
        <v>414</v>
      </c>
      <c r="G14" s="596">
        <v>211200</v>
      </c>
      <c r="H14" s="597">
        <f>IF(AD14 = 2, G14 - Q14,0)</f>
        <v>0</v>
      </c>
      <c r="I14" s="596">
        <v>1</v>
      </c>
      <c r="J14" s="596">
        <v>0</v>
      </c>
      <c r="K14" s="595" t="s">
        <v>194</v>
      </c>
      <c r="L14" s="606" t="s">
        <v>415</v>
      </c>
      <c r="M14" s="595" t="s">
        <v>413</v>
      </c>
      <c r="N14" s="605">
        <v>45566</v>
      </c>
      <c r="O14" s="595" t="s">
        <v>314</v>
      </c>
      <c r="P14" s="595" t="s">
        <v>405</v>
      </c>
      <c r="Q14" s="596">
        <v>211200</v>
      </c>
      <c r="R14" s="597">
        <f>IF(AD14 = 2, Q14 + SUM(Y14:Y14) - SUM(Z14:Z14) - SUM(V14:V14) - AB14,0)</f>
        <v>107520</v>
      </c>
      <c r="S14" s="595" t="s">
        <v>416</v>
      </c>
      <c r="T14" s="605">
        <v>45596</v>
      </c>
      <c r="U14" s="595" t="s">
        <v>173</v>
      </c>
      <c r="V14" s="596">
        <v>103680</v>
      </c>
      <c r="W14" s="605"/>
      <c r="X14" s="595"/>
      <c r="Y14" s="596"/>
      <c r="Z14" s="596"/>
      <c r="AA14" s="595"/>
      <c r="AB14" s="596"/>
      <c r="AC14" s="601"/>
      <c r="AD14" s="80">
        <v>2</v>
      </c>
    </row>
    <row r="15" spans="1:30" x14ac:dyDescent="0.25">
      <c r="AD15" s="2">
        <v>3</v>
      </c>
    </row>
  </sheetData>
  <sheetProtection password="EB34" sheet="1" objects="1" scenarios="1" formatCells="0" formatColumns="0" formatRows="0"/>
  <mergeCells count="27"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abSelected="1" topLeftCell="I1" zoomScale="50" zoomScaleNormal="50" workbookViewId="0">
      <pane ySplit="8" topLeftCell="A22" activePane="bottomLeft" state="frozen"/>
      <selection pane="bottomLeft" activeCell="O51" sqref="O51:O53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1134" t="s">
        <v>139</v>
      </c>
      <c r="F2" s="1135"/>
      <c r="G2" s="77">
        <f>SUM(G9:G9999)</f>
        <v>0</v>
      </c>
      <c r="H2" s="10"/>
      <c r="O2" s="1134" t="s">
        <v>24</v>
      </c>
      <c r="P2" s="1135"/>
      <c r="Q2" s="75">
        <f>SUM(Q9:Q9999)</f>
        <v>0</v>
      </c>
      <c r="T2" s="872" t="s">
        <v>137</v>
      </c>
      <c r="U2" s="874"/>
      <c r="V2" s="66">
        <f>SUM(V9:V9999)</f>
        <v>0</v>
      </c>
      <c r="X2" s="65"/>
      <c r="Y2" s="872" t="s">
        <v>45</v>
      </c>
      <c r="Z2" s="873"/>
      <c r="AA2" s="874"/>
      <c r="AB2" s="67">
        <f>SUM(AB9:AB9999)</f>
        <v>0</v>
      </c>
    </row>
    <row r="4" spans="1:30" ht="39.950000000000003" customHeight="1" x14ac:dyDescent="0.25">
      <c r="P4" s="871"/>
      <c r="Q4" s="871"/>
      <c r="R4" s="871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53</v>
      </c>
      <c r="B1" s="46">
        <v>34</v>
      </c>
      <c r="C1" s="46">
        <v>9</v>
      </c>
      <c r="D1" s="1418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419"/>
      <c r="E2" s="31"/>
      <c r="F2" s="59">
        <v>106</v>
      </c>
      <c r="G2" s="63">
        <v>69</v>
      </c>
      <c r="H2" s="62">
        <v>2</v>
      </c>
      <c r="I2" s="61">
        <v>3</v>
      </c>
      <c r="J2" s="60">
        <v>2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149</v>
      </c>
      <c r="B4" s="43">
        <v>35</v>
      </c>
      <c r="C4" s="43">
        <v>9</v>
      </c>
      <c r="D4" s="1420" t="s">
        <v>102</v>
      </c>
      <c r="E4" s="31"/>
      <c r="F4" s="59">
        <v>107</v>
      </c>
      <c r="G4" s="63">
        <v>70</v>
      </c>
      <c r="H4" s="62">
        <v>3</v>
      </c>
      <c r="I4" s="61">
        <v>4</v>
      </c>
      <c r="J4" s="60">
        <v>3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1421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10</v>
      </c>
      <c r="B7" s="45">
        <v>1</v>
      </c>
      <c r="C7" s="45">
        <v>9</v>
      </c>
      <c r="D7" s="1422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423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21</v>
      </c>
      <c r="B10" s="41">
        <v>3</v>
      </c>
      <c r="C10" s="41">
        <v>9</v>
      </c>
      <c r="D10" s="1424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425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14</v>
      </c>
      <c r="B13" s="39">
        <v>2</v>
      </c>
      <c r="C13" s="39">
        <v>9</v>
      </c>
      <c r="D13" s="1426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427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1416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417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2024-11-08T09:36:04Z</dcterms:modified>
</cp:coreProperties>
</file>