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115" windowHeight="11400" tabRatio="913" activeTab="0"/>
  </bookViews>
  <sheets>
    <sheet name="стр 1" sheetId="1" r:id="rId1"/>
    <sheet name="Раздел 1" sheetId="2" r:id="rId2"/>
    <sheet name="Раздел 2" sheetId="3" r:id="rId3"/>
    <sheet name="111" sheetId="4" r:id="rId4"/>
    <sheet name="112" sheetId="5" r:id="rId5"/>
    <sheet name="213" sheetId="6" r:id="rId6"/>
    <sheet name="221" sheetId="7" r:id="rId7"/>
    <sheet name="223" sheetId="8" r:id="rId8"/>
    <sheet name="225" sheetId="9" r:id="rId9"/>
    <sheet name="226" sheetId="10" r:id="rId10"/>
    <sheet name="310" sheetId="11" r:id="rId11"/>
    <sheet name="342" sheetId="12" state="hidden" r:id="rId12"/>
    <sheet name="343" sheetId="13" state="hidden" r:id="rId13"/>
    <sheet name="346" sheetId="14" r:id="rId14"/>
    <sheet name="349" sheetId="15" r:id="rId15"/>
    <sheet name="Прочие" sheetId="16" r:id="rId16"/>
    <sheet name="Программные" sheetId="17" r:id="rId17"/>
    <sheet name="примечания" sheetId="18" r:id="rId18"/>
  </sheets>
  <externalReferences>
    <externalReference r:id="rId21"/>
  </externalReferences>
  <definedNames>
    <definedName name="sub_110001" localSheetId="1">'Раздел 1'!$B$5</definedName>
    <definedName name="sub_110002" localSheetId="1">'Раздел 1'!$B$6</definedName>
    <definedName name="sub_11011" localSheetId="17">'примечания'!$A$35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1'!$B$38</definedName>
    <definedName name="sub_111900" localSheetId="1">'Раздел 1'!$B$40</definedName>
    <definedName name="sub_111980" localSheetId="1">'Раздел 1'!$B$42</definedName>
    <definedName name="sub_111981" localSheetId="1">'Раздел 1'!$B$44</definedName>
    <definedName name="sub_112000" localSheetId="1">'Раздел 1'!$B$45</definedName>
    <definedName name="sub_112100" localSheetId="1">'Раздел 1'!$B$47</definedName>
    <definedName name="sub_112110" localSheetId="1">'Раздел 1'!$B$49</definedName>
    <definedName name="sub_112120" localSheetId="1">'Раздел 1'!$B$56</definedName>
    <definedName name="sub_112130" localSheetId="1">'Раздел 1'!$B$62</definedName>
    <definedName name="sub_112140" localSheetId="1">'Раздел 1'!$B$67</definedName>
    <definedName name="sub_112141" localSheetId="1">'Раздел 1'!$B$69</definedName>
    <definedName name="sub_112142" localSheetId="1">'Раздел 1'!$B$72</definedName>
    <definedName name="sub_112200" localSheetId="1">'Раздел 1'!$B$74</definedName>
    <definedName name="sub_112210" localSheetId="1">'Раздел 1'!$B$76</definedName>
    <definedName name="sub_112211" localSheetId="1">'Раздел 1'!$B$78</definedName>
    <definedName name="sub_112230" localSheetId="1">'Раздел 1'!$B$83</definedName>
    <definedName name="sub_112240" localSheetId="1">'Раздел 1'!$B$88</definedName>
    <definedName name="sub_112300" localSheetId="1">'Раздел 1'!$B$93</definedName>
    <definedName name="sub_112310" localSheetId="1">'Раздел 1'!$B$95</definedName>
    <definedName name="sub_112320" localSheetId="1">'Раздел 1'!$B$96</definedName>
    <definedName name="sub_112330" localSheetId="1">'Раздел 1'!$B$97</definedName>
    <definedName name="sub_112400" localSheetId="1">'Раздел 1'!$B$103</definedName>
    <definedName name="sub_112410" localSheetId="1">'Раздел 1'!$B$105</definedName>
    <definedName name="sub_112500" localSheetId="1">'Раздел 1'!$B$110</definedName>
    <definedName name="sub_112520" localSheetId="1">'Раздел 1'!$B$115</definedName>
    <definedName name="sub_112600" localSheetId="1">'Раздел 1'!$B$116</definedName>
    <definedName name="sub_112610" localSheetId="1">'Раздел 1'!$B$118</definedName>
    <definedName name="sub_112620" localSheetId="1">'Раздел 1'!$B$123</definedName>
    <definedName name="sub_112630" localSheetId="1">'Раздел 1'!$B$128</definedName>
    <definedName name="sub_112640" localSheetId="1">'Раздел 1'!$B$133</definedName>
    <definedName name="sub_112650" localSheetId="1">'Раздел 1'!$B$161</definedName>
    <definedName name="sub_112651" localSheetId="1">'Раздел 1'!$B$163</definedName>
    <definedName name="sub_112652" localSheetId="1">'Раздел 1'!$B$168</definedName>
    <definedName name="sub_113000" localSheetId="1">'Раздел 1'!$B$173</definedName>
    <definedName name="sub_113010" localSheetId="1">'Раздел 1'!$B$175</definedName>
    <definedName name="sub_113020" localSheetId="1">'Раздел 1'!$B$176</definedName>
    <definedName name="sub_113030" localSheetId="1">'Раздел 1'!$B$177</definedName>
    <definedName name="sub_114000" localSheetId="1">'Раздел 1'!$B$178</definedName>
    <definedName name="sub_114010" localSheetId="1">'Раздел 1'!$B$180</definedName>
    <definedName name="sub_121212" localSheetId="17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7">'примечания'!$A$45</definedName>
    <definedName name="sub_151515" localSheetId="17">'примечания'!$A$49</definedName>
    <definedName name="sub_161616" localSheetId="17">'примечания'!$A$51</definedName>
    <definedName name="sub_22" localSheetId="17">'примечания'!$A$3</definedName>
    <definedName name="sub_303" localSheetId="17">'примечания'!$A$5</definedName>
    <definedName name="sub_44" localSheetId="17">'примечания'!$A$13</definedName>
    <definedName name="sub_66" localSheetId="17">'примечания'!$A$19</definedName>
    <definedName name="sub_77" localSheetId="17">'примечания'!$A$23</definedName>
    <definedName name="sub_88" localSheetId="17">'примечания'!$A$26</definedName>
    <definedName name="_xlnm.Print_Area" localSheetId="3">'111'!$A$1:$K$48</definedName>
    <definedName name="_xlnm.Print_Area" localSheetId="4">'112'!$A$1:$F$7</definedName>
    <definedName name="_xlnm.Print_Area" localSheetId="5">'213'!$A$1:$D$47</definedName>
    <definedName name="_xlnm.Print_Area" localSheetId="6">'221'!$A$1:$G$11</definedName>
    <definedName name="_xlnm.Print_Area" localSheetId="7">'223'!$A$1:$G$23</definedName>
    <definedName name="_xlnm.Print_Area" localSheetId="8">'225'!$A$1:$G$22</definedName>
    <definedName name="_xlnm.Print_Area" localSheetId="9">'226'!$A$1:$E$31</definedName>
    <definedName name="_xlnm.Print_Area" localSheetId="10">'310'!$A$1:$F$14</definedName>
    <definedName name="_xlnm.Print_Area" localSheetId="11">'342'!$A$1:$E$15</definedName>
    <definedName name="_xlnm.Print_Area" localSheetId="13">'346'!$A$1:$E$15</definedName>
    <definedName name="_xlnm.Print_Area" localSheetId="14">'349'!$A$1:$F$10</definedName>
    <definedName name="_xlnm.Print_Area" localSheetId="16">'Программные'!$A$1:$E$116</definedName>
    <definedName name="_xlnm.Print_Area" localSheetId="15">'Прочие'!$A$1:$F$31</definedName>
    <definedName name="_xlnm.Print_Area" localSheetId="1">'Раздел 1'!$A$1:$H$203</definedName>
    <definedName name="_xlnm.Print_Area" localSheetId="2">'Раздел 2'!$A$1:$H$50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<sst xmlns="http://schemas.openxmlformats.org/spreadsheetml/2006/main" count="946" uniqueCount="391">
  <si>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</si>
  <si>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</si>
  <si>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</si>
  <si>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</si>
  <si>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</si>
  <si>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</si>
  <si>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</si>
  <si>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</si>
  <si>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</si>
  <si>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</si>
  <si>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</si>
  <si>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</si>
  <si>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</si>
  <si>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</si>
  <si>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</si>
  <si>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</si>
  <si>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</si>
  <si>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</si>
  <si>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</si>
  <si>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</si>
  <si>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</si>
  <si>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</si>
  <si>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</si>
  <si>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</si>
  <si>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</si>
  <si>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</si>
  <si>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</si>
  <si>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</si>
  <si>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</si>
  <si>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</si>
  <si>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</si>
  <si>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</si>
  <si>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</si>
  <si>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</si>
  <si>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</si>
  <si>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</si>
  <si>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</si>
  <si>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</si>
  <si>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</si>
  <si>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</si>
  <si>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</si>
  <si>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</si>
  <si>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</si>
  <si>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</si>
  <si>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</si>
  <si>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</si>
  <si>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</si>
  <si>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</si>
  <si>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</si>
  <si>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</si>
  <si>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</si>
  <si>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</si>
  <si>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</si>
  <si>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</si>
  <si>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</si>
  <si>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</si>
  <si>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</si>
  <si>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</si>
  <si>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</si>
  <si>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</si>
  <si>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</si>
  <si>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</si>
  <si>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</si>
  <si>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</si>
  <si>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</si>
  <si>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</si>
  <si>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</si>
  <si>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>с указанием источника (местный бюджет);</t>
  </si>
  <si>
    <t>с указанием источника (краевой бюджет).</t>
  </si>
  <si>
    <t xml:space="preserve"> № п/п</t>
  </si>
  <si>
    <t>Коды строк</t>
  </si>
  <si>
    <t>Год начала закупки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</si>
  <si>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</si>
  <si>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</si>
  <si>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</si>
  <si>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</si>
  <si>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</si>
  <si>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</si>
  <si>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</si>
  <si>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</si>
  <si>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</si>
  <si>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</si>
  <si>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</si>
  <si>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</si>
  <si>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</si>
  <si>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</si>
  <si>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</si>
  <si>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</si>
  <si>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</si>
  <si>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</si>
  <si>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</si>
  <si>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</si>
  <si>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</si>
  <si>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</si>
  <si>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</si>
  <si>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</si>
  <si>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</si>
  <si>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</si>
  <si>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</si>
  <si>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</si>
  <si>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</si>
  <si>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</si>
  <si>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</si>
  <si>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</si>
  <si>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</si>
  <si>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</si>
  <si>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</si>
  <si>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</si>
  <si>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2</t>
  </si>
  <si>
    <t>Итого:</t>
  </si>
  <si>
    <t>Наименование расходов</t>
  </si>
  <si>
    <t>Количество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</si>
  <si>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</si>
  <si>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</si>
  <si>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2.1.</t>
  </si>
  <si>
    <t>2.2.</t>
  </si>
  <si>
    <t xml:space="preserve">Экология </t>
  </si>
  <si>
    <t>Налог на имущество</t>
  </si>
  <si>
    <t>Земельный налог</t>
  </si>
  <si>
    <t>Объект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</si>
  <si>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</si>
  <si>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</si>
  <si>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</si>
  <si>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</si>
  <si>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</si>
  <si>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</si>
  <si>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</si>
  <si>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</si>
  <si>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</si>
  <si>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</si>
  <si>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</si>
  <si>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</si>
  <si>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</si>
  <si>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</si>
  <si>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</si>
  <si>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</si>
  <si>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</si>
  <si>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</si>
  <si>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</si>
  <si>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</si>
  <si>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</si>
  <si>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</si>
  <si>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</si>
  <si>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</si>
  <si>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</si>
  <si>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</si>
  <si>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</si>
  <si>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</si>
  <si>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</si>
  <si>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</si>
  <si>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</si>
  <si>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</si>
  <si>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</si>
  <si>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</si>
  <si>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</si>
  <si>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</si>
  <si>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</si>
  <si>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</si>
  <si>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</si>
  <si>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r>
      <t>Раздел 2. Сведения по выплатам на закупки товаров, работ, услуг</t>
    </r>
    <r>
      <rPr>
        <u val="single"/>
        <vertAlign val="superscript"/>
        <sz val="11"/>
        <color indexed="12"/>
        <rFont val="Calibri"/>
        <family val="2"/>
      </rPr>
      <t>10</t>
    </r>
  </si>
  <si>
    <r>
      <t>Выплаты на закупку товаров, работ, услуг, всего</t>
    </r>
    <r>
      <rPr>
        <u val="single"/>
        <vertAlign val="superscript"/>
        <sz val="11"/>
        <color indexed="12"/>
        <rFont val="Calibri"/>
        <family val="2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</si>
  <si>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</si>
  <si>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</si>
  <si>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1"/>
        <color indexed="12"/>
        <rFont val="Calibri"/>
        <family val="2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</si>
  <si>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</si>
  <si>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</si>
  <si>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в соответствии с Федеральным законом № 223-ФЗ</t>
    </r>
    <r>
      <rPr>
        <u val="single"/>
        <vertAlign val="superscript"/>
        <sz val="11"/>
        <color indexed="12"/>
        <rFont val="Calibri"/>
        <family val="2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</si>
  <si>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1"/>
        <color indexed="12"/>
        <rFont val="Calibri"/>
        <family val="2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</si>
  <si>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1"/>
        <color indexed="12"/>
        <rFont val="Calibri"/>
        <family val="2"/>
      </rPr>
      <t>16</t>
    </r>
  </si>
  <si>
    <t xml:space="preserve"> Управление образования администрации  муниципального образования Новокубанский район</t>
  </si>
  <si>
    <t>Заработная плата служищих</t>
  </si>
  <si>
    <t>Заработная плата МОП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</si>
  <si>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</si>
  <si>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</si>
  <si>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Расчет (обоснование) расходов на оплату услуг связи</t>
  </si>
  <si>
    <t>Услуги связи</t>
  </si>
  <si>
    <t>Продукты питания</t>
  </si>
  <si>
    <t>с указанием источника финансирования (краевой бюджет));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</si>
  <si>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район(краевой бюджет)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</si>
  <si>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</si>
  <si>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</si>
  <si>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</si>
  <si>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r>
      <t>Код по бюджетной классификации Российской Федерации</t>
    </r>
    <r>
      <rPr>
        <u val="single"/>
        <vertAlign val="superscript"/>
        <sz val="11"/>
        <rFont val="Calibri"/>
        <family val="2"/>
      </rPr>
      <t>3</t>
    </r>
  </si>
  <si>
    <r>
      <t>Аналитический код</t>
    </r>
    <r>
      <rPr>
        <u val="single"/>
        <vertAlign val="superscript"/>
        <sz val="11"/>
        <rFont val="Calibri"/>
        <family val="2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</si>
  <si>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</si>
  <si>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</si>
  <si>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прочие поступления, всего</t>
    </r>
    <r>
      <rPr>
        <u val="single"/>
        <vertAlign val="superscript"/>
        <sz val="11"/>
        <rFont val="Calibri"/>
        <family val="2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</si>
  <si>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1"/>
        <rFont val="Calibri"/>
        <family val="2"/>
      </rPr>
      <t>7</t>
    </r>
  </si>
  <si>
    <r>
      <t>Выплаты, уменьшающие доход, всего</t>
    </r>
    <r>
      <rPr>
        <u val="single"/>
        <vertAlign val="superscript"/>
        <sz val="11"/>
        <rFont val="Calibri"/>
        <family val="2"/>
      </rPr>
      <t>8</t>
    </r>
  </si>
  <si>
    <r>
      <t>налог на прибыль</t>
    </r>
    <r>
      <rPr>
        <u val="single"/>
        <vertAlign val="superscript"/>
        <sz val="11"/>
        <rFont val="Calibri"/>
        <family val="2"/>
      </rPr>
      <t>8</t>
    </r>
  </si>
  <si>
    <r>
      <t>налог на добавленную стоимость</t>
    </r>
    <r>
      <rPr>
        <u val="single"/>
        <vertAlign val="superscript"/>
        <sz val="11"/>
        <rFont val="Calibri"/>
        <family val="2"/>
      </rPr>
      <t>8</t>
    </r>
  </si>
  <si>
    <r>
      <t>прочие налоги, уменьшающие доход</t>
    </r>
    <r>
      <rPr>
        <u val="single"/>
        <vertAlign val="superscript"/>
        <sz val="11"/>
        <rFont val="Calibri"/>
        <family val="2"/>
      </rPr>
      <t>8</t>
    </r>
  </si>
  <si>
    <r>
      <t>Прочие выплаты, всего</t>
    </r>
    <r>
      <rPr>
        <u val="single"/>
        <vertAlign val="superscript"/>
        <sz val="11"/>
        <rFont val="Calibri"/>
        <family val="2"/>
      </rPr>
      <t>9</t>
    </r>
  </si>
  <si>
    <t>с/с 92507010110100590244342 (т.с. 20.01.00)</t>
  </si>
  <si>
    <t>№ п/п</t>
  </si>
  <si>
    <t>Должность, группа должностей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</si>
  <si>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</si>
  <si>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</si>
  <si>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</si>
  <si>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</si>
  <si>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</si>
  <si>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</si>
  <si>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</si>
  <si>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Количество номеров</t>
  </si>
  <si>
    <t>Количество платежей в год</t>
  </si>
  <si>
    <t>Стоимость за единицу, руб.</t>
  </si>
  <si>
    <t>Расчеты (обоснования) выплат персоналу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</si>
  <si>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</si>
  <si>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</si>
  <si>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</si>
  <si>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</si>
  <si>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Электрическая энергия</t>
  </si>
  <si>
    <t>Расчет (обоснование) расходов на оплату работ, услуг по содержанию имущества</t>
  </si>
  <si>
    <t>Расчет (обоснование) расходов на оплату прочих работ, услуг</t>
  </si>
  <si>
    <t>Дератизация</t>
  </si>
  <si>
    <t>Мед.осмотр</t>
  </si>
  <si>
    <t>Количество работ</t>
  </si>
  <si>
    <t>Количество договоров</t>
  </si>
  <si>
    <t>Расчет (обоснование) расходов на уплату налогов, сборов и иных платежей</t>
  </si>
  <si>
    <t>Налоговая баз, руб.</t>
  </si>
  <si>
    <t>Ставка налога, %</t>
  </si>
  <si>
    <t>Расчет (обоснование) расходов на приобретение материальных запасов</t>
  </si>
  <si>
    <t>Средняя стоимость, руб.</t>
  </si>
  <si>
    <t>Расчет (обоснование) расходов на приобретение продуктов питания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</si>
  <si>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</si>
  <si>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r>
      <t xml:space="preserve">по ставке </t>
    </r>
    <r>
      <rPr>
        <sz val="10"/>
        <color indexed="17"/>
        <rFont val="Times New Roman"/>
        <family val="1"/>
      </rPr>
      <t>22,0 %</t>
    </r>
  </si>
  <si>
    <t>Страховые взносы в Федеральный фонд обязательного медицинского страхования, всего (по ставке 5,1 %)</t>
  </si>
  <si>
    <t>обязательное социальное страхование от несчастных случаев на производстве и профессиональных заболеваний по ставке 0,2 %</t>
  </si>
  <si>
    <t>обязательное социальное страхование на случай временной нетрудоспособности и в связи с материнством по ставке 2,9 %</t>
  </si>
  <si>
    <t>Страховые взносы в Фонд социального страхования Российской Федерации, всего</t>
  </si>
  <si>
    <t>Размер базы для начисления страховых взносов, руб.</t>
  </si>
  <si>
    <t>Сумма взноса, руб.</t>
  </si>
  <si>
    <t>Расчет (обоснование) расходов на приобретение основных средств</t>
  </si>
  <si>
    <t xml:space="preserve">(подпись)            </t>
  </si>
  <si>
    <t>ЖБО</t>
  </si>
  <si>
    <t>1</t>
  </si>
  <si>
    <t xml:space="preserve"> «___»_________________ 20__ г.                                                           </t>
  </si>
  <si>
    <t>Мун.Бюджет 92507010110100590244342 (т.с. 50.06.00)</t>
  </si>
  <si>
    <t>Больничный за счет работадателя</t>
  </si>
  <si>
    <t>гос пошлина</t>
  </si>
  <si>
    <t>Мун.бюджет 92507010110100590852291 (т.с. 50.06.00)</t>
  </si>
  <si>
    <t>Мун.бюджет 92507010110100590853292 (т.с. 50.06.00)</t>
  </si>
  <si>
    <t>пеня</t>
  </si>
  <si>
    <t>Сумма, руб.</t>
  </si>
  <si>
    <t>Фонд оплаты труда в год, руб</t>
  </si>
  <si>
    <t>Месячный ФОТ по штатному расписанию</t>
  </si>
  <si>
    <t>мз</t>
  </si>
  <si>
    <t>зп</t>
  </si>
  <si>
    <t>питание</t>
  </si>
  <si>
    <t>Проф.испытания эл.оборудования</t>
  </si>
  <si>
    <t>Перезарядка огнетушителей</t>
  </si>
  <si>
    <t>Подписка</t>
  </si>
  <si>
    <t>Учебники</t>
  </si>
  <si>
    <t>Аттестаты</t>
  </si>
  <si>
    <t>Мун.бюджет 92507020110200590853291 (т.с. 70.06.00)</t>
  </si>
  <si>
    <t>МП "Развитие образования" (Обеспечение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образования, в том числе адаптированные основные образовательные прогреммы)</t>
  </si>
  <si>
    <t>Месячная сумма на одного человека</t>
  </si>
  <si>
    <t>Краевой бюджет 92507020110200590244343 (т.с. 50.06.00)</t>
  </si>
  <si>
    <t>ГСМ</t>
  </si>
  <si>
    <t xml:space="preserve">Субсидия на выполнение муниципального задания муниципальный бюджет </t>
  </si>
  <si>
    <t>Заработная плата пед персонал</t>
  </si>
  <si>
    <t>3</t>
  </si>
  <si>
    <t>4</t>
  </si>
  <si>
    <t>Заработная плата АУП</t>
  </si>
  <si>
    <t>Газ</t>
  </si>
  <si>
    <t xml:space="preserve">Обучение </t>
  </si>
  <si>
    <t xml:space="preserve"> финансово-хозяйственной деятельности на 2023 год</t>
  </si>
  <si>
    <r>
      <t>(на 2023 год и плановый период 2024 и 2025 годов</t>
    </r>
    <r>
      <rPr>
        <b/>
        <sz val="14"/>
        <color indexed="8"/>
        <rFont val="Times New Roman"/>
        <family val="1"/>
      </rPr>
      <t>)</t>
    </r>
  </si>
  <si>
    <t>на 2023 г. текущий финансовый год</t>
  </si>
  <si>
    <t>на 2024 г. первый год планового периода</t>
  </si>
  <si>
    <t>на 2025 г. второй год планового периода</t>
  </si>
  <si>
    <t>Муниципальное общеобразовательное бюджетное учреждение основная общеобразовательная школа №31 имени П.Я. Штанько станицы Бесскорбной Муниципального образования Новокубанский район</t>
  </si>
  <si>
    <t>С.В. Тишина</t>
  </si>
  <si>
    <t>П.И. Писарева</t>
  </si>
  <si>
    <t>Канализация</t>
  </si>
  <si>
    <t>ТКО</t>
  </si>
  <si>
    <t>Ремонтные работы техники</t>
  </si>
  <si>
    <t>Информ.услуги ЭЦП</t>
  </si>
  <si>
    <t>Утилизация отходов</t>
  </si>
  <si>
    <t>Прочие услуги</t>
  </si>
  <si>
    <t>СОУТ</t>
  </si>
  <si>
    <t>ГОСЭКСПЕРТИЗА</t>
  </si>
  <si>
    <t>Приобретение</t>
  </si>
  <si>
    <t>Обучение</t>
  </si>
  <si>
    <t>Директор МОБУООШ № 31 станицы Бесскорбной</t>
  </si>
  <si>
    <t>Субсидии на иные цели</t>
  </si>
  <si>
    <t>Стоимость</t>
  </si>
  <si>
    <t>МП "Обеспечение безопасности населения" (Техническое обслуживание установленного оборудования  РСПИ "Стрелец-Мониторинг")</t>
  </si>
  <si>
    <t>Итого</t>
  </si>
  <si>
    <t>МП "Обеспечение безопасности населения" (Специализированная физическая охрана)</t>
  </si>
  <si>
    <t>Краевой бюджет 925 07020110260860111 266 (т.с.50.03.07)</t>
  </si>
  <si>
    <t>Мун. бюджет 925 07020110200590111 211 (т.с. 50.06.00)</t>
  </si>
  <si>
    <t>Мун. бюджет  925 07020110200590111 266 (т.с. 50.06.00)</t>
  </si>
  <si>
    <t>Кравевой бюджет 925 07020110260860119 213 (т.с. 70.03.07)</t>
  </si>
  <si>
    <t>Мун.бюджет 925 07020110200590119 213 (т.с. 70.06.00)</t>
  </si>
  <si>
    <t>Краевой бюджет 925 07020110260860244 221 (т.с. 70.03.07)</t>
  </si>
  <si>
    <t>Мун. бюджет 925 07020110200590244 223 (т.с. 50.06.00)</t>
  </si>
  <si>
    <t>Мун.бюджет 925 07020110200590247 223 (т.с. 50.06.00)</t>
  </si>
  <si>
    <t>Мун. бюджет 925 07020110200590244 225 (т.с. 70.06.00)</t>
  </si>
  <si>
    <t>к.с. 061.01.4002</t>
  </si>
  <si>
    <t>к.с 061.01.5001</t>
  </si>
  <si>
    <t>МП "Развитие образование" Финансовое обеспечение муниципального задания на оказание услуг общеобразовательных организаций</t>
  </si>
  <si>
    <t>к.с. 010.05.9003</t>
  </si>
  <si>
    <t>к.с. 011.02.8001</t>
  </si>
  <si>
    <t>МП "Развитие образование" Создание условий для укрепления здоровья детей за счет обеспечения их сбалансированным горячим питанием из расчета 5,7 руб.</t>
  </si>
  <si>
    <t>к.с. 011.02.8002</t>
  </si>
  <si>
    <t>МП "Развитие образование" Обеспечение льготным питанием учащихся из малообеспеченных семей из расчета 15 руб. в день на одного обучающегося</t>
  </si>
  <si>
    <t>к.с. 016.23.7001</t>
  </si>
  <si>
    <t>МП "Развитие образование" Осуществление отдельных государстенных полномочий по обеспечению льготным питанием учащихся из  многодетных семей в муниципальных образовательных организациях</t>
  </si>
  <si>
    <t>к.с. 021.03.4001</t>
  </si>
  <si>
    <t>МП "Развитие образование" Субсидия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ОВЗ, получающих начальное общее, основное общее и среднее общее образование в муниципальных общеобразовательных организациях</t>
  </si>
  <si>
    <t>к.с. 030.30.4001</t>
  </si>
  <si>
    <t>МП "Развитие образование"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</si>
  <si>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07020110200590244 226 (к.с. 010.05.9003)</t>
  </si>
  <si>
    <t>925 07020110210280244 226 (к.с. 011.02.8001)</t>
  </si>
  <si>
    <t>925 07020110210290244 226 (к.с. 011.02.8002)</t>
  </si>
  <si>
    <t>925 07020110262370244 226 (к.с. 021.03.7001)</t>
  </si>
  <si>
    <t>925 070201102L3040244 226 (к.с. 030.30.4001)</t>
  </si>
  <si>
    <t>Услуги связи (кредиторская задолженность)</t>
  </si>
  <si>
    <t>Электрическая энергия (кредиторская задолженность)</t>
  </si>
  <si>
    <t>Тепло (кредиторская задолженность)</t>
  </si>
  <si>
    <t>Мун.бюджет 925 07020110200590244 226 (т.с. 70.06.00)</t>
  </si>
  <si>
    <t>Вывоз ТКО (кредиторской задолженности)</t>
  </si>
  <si>
    <t>Охрана (кредиторская задолженность</t>
  </si>
  <si>
    <t>Составление отчетности</t>
  </si>
  <si>
    <t>МП "Развитие образования"  Капитальный и текущий ремонт  образовательных учреждений (в том числе изготовление проектно-сметной документации, технадзор, проведение экспертизы зданий, оплата кредиторской задолжности) (муниципальный бюджет)</t>
  </si>
  <si>
    <t>МП "Развитие образование"</t>
  </si>
  <si>
    <t>к.с. 010.90.2001</t>
  </si>
  <si>
    <t>к.с. 011.02.2015</t>
  </si>
  <si>
    <t>МП "Развитие образование" Обеспечение льготным питанием учащихся из малообеспеченных семей из расчета 10 руб. в день на одного обучающегося</t>
  </si>
  <si>
    <t>к.с. 016.08.2002</t>
  </si>
  <si>
    <t>МП "Развитие образования"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учсреждений, проживающим и работающим в сельской местности</t>
  </si>
  <si>
    <t>к.с. 021.03.1001 (т.с. 60.06.00)</t>
  </si>
  <si>
    <t>к.с. 025.30.3001</t>
  </si>
  <si>
    <t>к.с. 030.20.4001</t>
  </si>
  <si>
    <t>к.с. 061.01.5001</t>
  </si>
  <si>
    <t>к.с. 061.05.0002</t>
  </si>
  <si>
    <t>Моющие средства</t>
  </si>
  <si>
    <t>с указанием источника финансирования (с/с);</t>
  </si>
  <si>
    <t>Остатки</t>
  </si>
  <si>
    <t>МП "Развитие образование" Субсидия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ОВЗ, получающих начальное общее, основное общее и среднее общее образование в муниципальных общеобразовательных организациях (компенсация)</t>
  </si>
  <si>
    <t>2655.1</t>
  </si>
  <si>
    <t>МП "Обеспечение безопасности населения" (Антитеррористические мероприятия объектов образования)</t>
  </si>
  <si>
    <t>МП "Обеспечение безопасности населения" (Антитеррористические мероприятия)</t>
  </si>
  <si>
    <t>МП "Обеспечение безопасности населения" (Противопожарные мероприятия)</t>
  </si>
  <si>
    <t>к.с. 061.01.4001</t>
  </si>
  <si>
    <t>925 07020110253030111 211 (к.с. 025.30.3001)</t>
  </si>
  <si>
    <t>925 07020110253030119 213 (к.с. 025.30.3001)</t>
  </si>
  <si>
    <t>Краевой бюджет 925 07020110260860244 225 (т.с. 50.03.07)</t>
  </si>
  <si>
    <t>Краевой бюджет 925 07020110260860244 226 (т.с. 50.03.07)</t>
  </si>
  <si>
    <t>Краевой бюджет 925 07020110260860244 349 (т.с. 50.03.07)</t>
  </si>
  <si>
    <t>925 07020110263540244 226 (к.с. 021.03.4001)</t>
  </si>
  <si>
    <t>925 07020620110140244 225 (к.с. 061.01.4001)</t>
  </si>
  <si>
    <t>925 07020630110150244 226 (к.с. 061.01.5001)</t>
  </si>
  <si>
    <t>925 07020110263540321 262 (к.с. 021.03.4001)</t>
  </si>
  <si>
    <t>925 07020620110140244 225 (к.с. 061.01.4002)</t>
  </si>
  <si>
    <t>к.с. 011.02.8003</t>
  </si>
  <si>
    <t>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края))</t>
  </si>
  <si>
    <t>МП "Развитие образования" Обеспечение бесплатным одноразовым горячим питанием (обедом) для обучающихся, осваивающих образовательные программы основного общего или среднего образования - детей граждан, призванных на военную службу по мобилизации в Вооруженные силы РФ, Добровольцев, а также членов семьи граждан, погибших (умерших) при исполнении обязанностей военной службы принимающих (принимавших) участие в специальной военной операции</t>
  </si>
  <si>
    <t>Краевой бюджет 925 07020110260860111 211 (т.с. 50.03.07)</t>
  </si>
  <si>
    <t>925 07020110260820112 267 (к.с. 016.08.2002)</t>
  </si>
  <si>
    <t>Краевой бюджет 925 07020110260860244 310 (т.с. 50.03.07)</t>
  </si>
  <si>
    <t>925 07020110260820321 265 (к.с. 016.08.2002)</t>
  </si>
  <si>
    <t>925 07020110200590244 346 (2.2) предпринимательская деятельность</t>
  </si>
  <si>
    <t>925 07020630110150244 225 (к.с. 061.01.5001)</t>
  </si>
  <si>
    <t>925 07020110210280244 226 (к.с. 011.02.8003)</t>
  </si>
  <si>
    <t>Налог на доход - 1 447</t>
  </si>
  <si>
    <t>Краевой бюджет 925 07020110260860244 346 (т.с. 50.03.07)</t>
  </si>
  <si>
    <t>Ведущий бухгалтер МКУ "ЦБМО"</t>
  </si>
  <si>
    <t>Свет</t>
  </si>
  <si>
    <t>Техническое и аварийно-диспетчерское обслуживание</t>
  </si>
  <si>
    <t>Ремонт насоса скважинного</t>
  </si>
  <si>
    <t>ЭВМ Куб CMS</t>
  </si>
  <si>
    <t>Услуги по публикации сообщений в Федресурсе</t>
  </si>
  <si>
    <t>Контур</t>
  </si>
  <si>
    <t>Образовательные услуги</t>
  </si>
  <si>
    <t>Мун.бюджет 92507020110200590851 291 (т.с. 70.06.00)</t>
  </si>
  <si>
    <t>Налоговая декларация</t>
  </si>
  <si>
    <t>Телефон</t>
  </si>
  <si>
    <t>Заправка и замена картриджей</t>
  </si>
  <si>
    <t>Прочие</t>
  </si>
  <si>
    <t>Мебель</t>
  </si>
  <si>
    <t>Учебная литература</t>
  </si>
  <si>
    <t>Прочее</t>
  </si>
  <si>
    <t>Учебно-педагогическая документация в библиотеку</t>
  </si>
  <si>
    <t>Компенсация за участие в ГИА</t>
  </si>
  <si>
    <t>925 07020110262500113 226 (к.с.016.25.0001)</t>
  </si>
  <si>
    <t>МП "Развитие образования" участие в Гиа</t>
  </si>
  <si>
    <t>925 07020110262500119 226 (к.с.016.25.0001)</t>
  </si>
  <si>
    <t>МП "Развитие образования" компенсация за участие в ГИА</t>
  </si>
  <si>
    <t>И.Н. Траянова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</si>
</sst>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#,##0.0"/>
    <numFmt numFmtId="198" formatCode="0.0"/>
    <numFmt numFmtId="199" formatCode="0.0000"/>
    <numFmt numFmtId="200" formatCode="0.0000%"/>
    <numFmt numFmtId="201" formatCode="0.00000%"/>
    <numFmt numFmtId="202" formatCode="0.000"/>
    <numFmt numFmtId="203" formatCode="0.000%"/>
    <numFmt numFmtId="204" formatCode="_-* #,##0.00\ _р_._-;\-* #,##0.00\ _р_._-;_-* \-??\ _р_._-;_-@_-"/>
    <numFmt numFmtId="205" formatCode="#,##0.00;[Red]\-#,##0.00;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u val="single"/>
      <vertAlign val="superscript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u val="single"/>
      <vertAlign val="superscript"/>
      <sz val="11"/>
      <name val="Calibri"/>
      <family val="2"/>
    </font>
    <font>
      <b/>
      <u val="single"/>
      <vertAlign val="superscript"/>
      <sz val="11"/>
      <name val="Calibri"/>
      <family val="2"/>
    </font>
    <font>
      <sz val="10"/>
      <color indexed="1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0" fillId="0" borderId="0">
      <alignment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0" fontId="17" fillId="0" borderId="0">
      <alignment/>
      <protection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204" fontId="20" fillId="0" borderId="0" applyFill="0" applyBorder="0" applyAlignment="0" applyProtection="0"/>
    <xf numFmtId="0" fontId="17" fillId="0" borderId="0">
      <alignment/>
      <protection/>
    </xf>
    <xf numFmtId="0" fontId="7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73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74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7" fillId="0" borderId="11" xfId="42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0" fontId="57" fillId="0" borderId="0" xfId="42" applyAlignment="1">
      <alignment horizontal="left"/>
    </xf>
    <xf numFmtId="0" fontId="57" fillId="34" borderId="11" xfId="42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1" xfId="42" applyFont="1" applyBorder="1" applyAlignment="1">
      <alignment horizontal="left" vertical="center" wrapText="1"/>
    </xf>
    <xf numFmtId="0" fontId="44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5" fillId="33" borderId="11" xfId="42" applyFont="1" applyFill="1" applyBorder="1" applyAlignment="1">
      <alignment horizontal="left" vertical="center" wrapText="1"/>
    </xf>
    <xf numFmtId="0" fontId="46" fillId="0" borderId="11" xfId="42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71" fontId="5" fillId="0" borderId="11" xfId="81" applyFont="1" applyFill="1" applyBorder="1" applyAlignment="1">
      <alignment wrapText="1"/>
    </xf>
    <xf numFmtId="171" fontId="5" fillId="0" borderId="0" xfId="81" applyFont="1" applyFill="1" applyBorder="1" applyAlignment="1">
      <alignment wrapText="1"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71" fillId="0" borderId="10" xfId="0" applyFont="1" applyBorder="1" applyAlignment="1">
      <alignment/>
    </xf>
    <xf numFmtId="4" fontId="43" fillId="33" borderId="0" xfId="0" applyNumberFormat="1" applyFont="1" applyFill="1" applyAlignment="1">
      <alignment/>
    </xf>
    <xf numFmtId="4" fontId="19" fillId="35" borderId="12" xfId="65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0" fontId="44" fillId="0" borderId="11" xfId="73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" fontId="44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9" fontId="5" fillId="0" borderId="11" xfId="73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9" fontId="5" fillId="0" borderId="0" xfId="73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wrapText="1"/>
    </xf>
    <xf numFmtId="171" fontId="5" fillId="0" borderId="0" xfId="81" applyFont="1" applyFill="1" applyBorder="1" applyAlignment="1">
      <alignment vertical="center" wrapText="1"/>
    </xf>
    <xf numFmtId="171" fontId="5" fillId="0" borderId="11" xfId="8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vertical="center" wrapText="1"/>
    </xf>
    <xf numFmtId="2" fontId="17" fillId="0" borderId="13" xfId="68" applyNumberFormat="1" applyFont="1" applyFill="1" applyBorder="1" applyAlignment="1">
      <alignment horizontal="right" vertical="top"/>
      <protection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1" fontId="19" fillId="0" borderId="11" xfId="8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171" fontId="19" fillId="0" borderId="11" xfId="8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wrapText="1"/>
    </xf>
    <xf numFmtId="4" fontId="17" fillId="0" borderId="13" xfId="66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17" fillId="0" borderId="13" xfId="67" applyNumberFormat="1" applyFont="1" applyFill="1" applyBorder="1" applyAlignment="1">
      <alignment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1" fillId="0" borderId="11" xfId="0" applyNumberFormat="1" applyFont="1" applyFill="1" applyBorder="1" applyAlignment="1">
      <alignment vertical="center" wrapText="1"/>
    </xf>
    <xf numFmtId="171" fontId="21" fillId="0" borderId="11" xfId="8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19" fillId="0" borderId="11" xfId="81" applyNumberFormat="1" applyFont="1" applyFill="1" applyBorder="1" applyAlignment="1">
      <alignment horizontal="right" vertical="center" wrapText="1"/>
    </xf>
    <xf numFmtId="4" fontId="5" fillId="0" borderId="11" xfId="8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36" borderId="1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7" fillId="0" borderId="0" xfId="0" applyFont="1" applyAlignment="1">
      <alignment horizontal="center" wrapText="1"/>
    </xf>
    <xf numFmtId="172" fontId="2" fillId="0" borderId="0" xfId="0" applyNumberFormat="1" applyFont="1" applyAlignment="1">
      <alignment horizontal="center" vertical="center"/>
    </xf>
    <xf numFmtId="0" fontId="74" fillId="0" borderId="19" xfId="0" applyFont="1" applyBorder="1" applyAlignment="1">
      <alignment horizontal="right" wrapText="1"/>
    </xf>
    <xf numFmtId="0" fontId="71" fillId="0" borderId="0" xfId="0" applyFont="1" applyAlignment="1">
      <alignment horizontal="center" wrapText="1"/>
    </xf>
    <xf numFmtId="0" fontId="78" fillId="0" borderId="0" xfId="0" applyFont="1" applyAlignment="1">
      <alignment horizontal="left" wrapText="1"/>
    </xf>
    <xf numFmtId="0" fontId="74" fillId="0" borderId="19" xfId="0" applyFont="1" applyBorder="1" applyAlignment="1">
      <alignment horizontal="center" wrapText="1"/>
    </xf>
    <xf numFmtId="0" fontId="0" fillId="36" borderId="0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75" fillId="36" borderId="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45" fillId="0" borderId="11" xfId="42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9" fillId="0" borderId="0" xfId="0" applyFont="1" applyAlignment="1">
      <alignment horizontal="center"/>
    </xf>
    <xf numFmtId="0" fontId="19" fillId="0" borderId="16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" fontId="8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5 2" xfId="62"/>
    <cellStyle name="Обычный 6" xfId="63"/>
    <cellStyle name="Обычный 7" xfId="64"/>
    <cellStyle name="Обычный 8" xfId="65"/>
    <cellStyle name="Обычный_111" xfId="66"/>
    <cellStyle name="Обычный_Программные" xfId="67"/>
    <cellStyle name="Обычный_проч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Процентный 2 3" xfId="76"/>
    <cellStyle name="Процентный 3" xfId="77"/>
    <cellStyle name="Процентный 4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Финансовый 2 2" xfId="84"/>
    <cellStyle name="Финансовый 2 3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61925" y="16983075"/>
          <a:ext cx="7067550" cy="24955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2" name="Прямоугольник 3"/>
        <xdr:cNvSpPr>
          <a:spLocks/>
        </xdr:cNvSpPr>
      </xdr:nvSpPr>
      <xdr:spPr>
        <a:xfrm>
          <a:off x="161925" y="16983075"/>
          <a:ext cx="7067550" cy="24955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9\obmen\&#1054;&#1073;&#1097;&#1072;&#1103;\&#1055;&#1051;&#1040;&#1053;&#1054;&#1042;&#1067;&#1049;%20&#1054;&#1058;&#1044;&#1045;&#1051;\&#1055;&#1060;&#1061;&#1044;\&#1055;&#1060;&#1061;&#1044;%20&#1085;&#1072;%202022%20&#1075;&#1086;&#1076;\&#1089;&#1096;%209\&#1089;&#1096;%209%20&#1055;&#1060;&#1061;&#1044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 1"/>
      <sheetName val="Раздел 1"/>
      <sheetName val="Раздел 2"/>
      <sheetName val="111"/>
      <sheetName val="112"/>
      <sheetName val="321"/>
      <sheetName val="213"/>
      <sheetName val="221"/>
      <sheetName val="223"/>
      <sheetName val="225"/>
      <sheetName val="226"/>
      <sheetName val="227"/>
      <sheetName val="310"/>
      <sheetName val="342"/>
      <sheetName val="343"/>
      <sheetName val="346"/>
      <sheetName val="349"/>
      <sheetName val="проч"/>
      <sheetName val="примечания"/>
    </sheetNames>
    <sheetDataSet>
      <sheetData sheetId="10">
        <row r="6">
          <cell r="A6">
            <v>1</v>
          </cell>
        </row>
        <row r="16">
          <cell r="D1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C25">
      <selection activeCell="K41" sqref="K41"/>
    </sheetView>
  </sheetViews>
  <sheetFormatPr defaultColWidth="9.140625" defaultRowHeight="15"/>
  <sheetData>
    <row r="1" spans="9:15" ht="15" customHeight="1" hidden="1">
      <c r="I1" s="2"/>
      <c r="J1" s="171" t="s">
        <v>0</v>
      </c>
      <c r="K1" s="171"/>
      <c r="L1" s="171"/>
      <c r="M1" s="171"/>
      <c r="N1" s="171"/>
      <c r="O1" s="171"/>
    </row>
    <row r="2" spans="9:15" ht="15" customHeight="1" hidden="1">
      <c r="I2" s="2"/>
      <c r="J2" s="171" t="s">
        <v>1</v>
      </c>
      <c r="K2" s="171"/>
      <c r="L2" s="171"/>
      <c r="M2" s="171"/>
      <c r="N2" s="171"/>
      <c r="O2" s="171"/>
    </row>
    <row r="3" spans="9:15" ht="15" customHeight="1" hidden="1">
      <c r="I3" s="2"/>
      <c r="J3" s="171"/>
      <c r="K3" s="171"/>
      <c r="L3" s="171"/>
      <c r="M3" s="171"/>
      <c r="N3" s="171"/>
      <c r="O3" s="171"/>
    </row>
    <row r="4" spans="9:15" ht="15" customHeight="1" hidden="1">
      <c r="I4" s="2"/>
      <c r="J4" s="171"/>
      <c r="K4" s="171"/>
      <c r="L4" s="171"/>
      <c r="M4" s="171"/>
      <c r="N4" s="171"/>
      <c r="O4" s="171"/>
    </row>
    <row r="5" spans="9:15" ht="15" customHeight="1" hidden="1">
      <c r="I5" s="2"/>
      <c r="J5" s="171"/>
      <c r="K5" s="171"/>
      <c r="L5" s="171"/>
      <c r="M5" s="171"/>
      <c r="N5" s="171"/>
      <c r="O5" s="171"/>
    </row>
    <row r="6" spans="9:15" ht="15" customHeight="1" hidden="1">
      <c r="I6" s="2"/>
      <c r="J6" s="171"/>
      <c r="K6" s="171"/>
      <c r="L6" s="171"/>
      <c r="M6" s="171"/>
      <c r="N6" s="171"/>
      <c r="O6" s="171"/>
    </row>
    <row r="8" spans="10:15" ht="18.75" customHeight="1">
      <c r="J8" s="175" t="s">
        <v>2</v>
      </c>
      <c r="K8" s="175"/>
      <c r="L8" s="175"/>
      <c r="M8" s="175"/>
      <c r="N8" s="175"/>
      <c r="O8" s="175"/>
    </row>
    <row r="9" ht="9" customHeight="1"/>
    <row r="10" spans="10:15" ht="81.75" customHeight="1">
      <c r="J10" s="176" t="s">
        <v>284</v>
      </c>
      <c r="K10" s="176"/>
      <c r="L10" s="176"/>
      <c r="M10" s="176"/>
      <c r="N10" s="176"/>
      <c r="O10" s="176"/>
    </row>
    <row r="11" spans="10:15" ht="15" customHeight="1">
      <c r="J11" s="177" t="s">
        <v>3</v>
      </c>
      <c r="K11" s="177"/>
      <c r="L11" s="177"/>
      <c r="M11" s="177"/>
      <c r="N11" s="177"/>
      <c r="O11" s="177"/>
    </row>
    <row r="12" spans="10:15" ht="18.75">
      <c r="J12" s="3"/>
      <c r="K12" s="3"/>
      <c r="L12" s="84" t="s">
        <v>272</v>
      </c>
      <c r="M12" s="3"/>
      <c r="N12" s="3"/>
      <c r="O12" s="3"/>
    </row>
    <row r="13" spans="10:15" ht="15" customHeight="1">
      <c r="J13" s="177" t="s">
        <v>233</v>
      </c>
      <c r="K13" s="177"/>
      <c r="L13" s="177"/>
      <c r="M13" s="174" t="s">
        <v>106</v>
      </c>
      <c r="N13" s="174"/>
      <c r="O13" s="174"/>
    </row>
    <row r="15" spans="10:15" ht="18.75">
      <c r="J15" s="173">
        <f>N26</f>
        <v>45237</v>
      </c>
      <c r="K15" s="173"/>
      <c r="L15" s="173"/>
      <c r="M15" s="173"/>
      <c r="N15" s="173"/>
      <c r="O15" s="173"/>
    </row>
    <row r="17" spans="1:15" ht="18.75">
      <c r="A17" s="172" t="s">
        <v>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  <row r="18" spans="1:15" ht="18.75">
      <c r="A18" s="172" t="s">
        <v>266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</row>
    <row r="19" spans="1:15" ht="18.75">
      <c r="A19" s="172" t="s">
        <v>267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</row>
    <row r="20" spans="1:15" s="5" customFormat="1" ht="18.75" customHeight="1">
      <c r="A20" s="173">
        <f>J15</f>
        <v>45237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ht="8.25" customHeight="1"/>
    <row r="22" spans="1:15" ht="18.75">
      <c r="A22" s="171" t="s">
        <v>5</v>
      </c>
      <c r="B22" s="171"/>
      <c r="C22" s="171"/>
      <c r="D22" s="171"/>
      <c r="E22" s="171"/>
      <c r="F22" s="171"/>
      <c r="G22" s="178" t="s">
        <v>169</v>
      </c>
      <c r="H22" s="178"/>
      <c r="I22" s="178"/>
      <c r="J22" s="178"/>
      <c r="K22" s="178"/>
      <c r="L22" s="178"/>
      <c r="M22" s="178"/>
      <c r="N22" s="178"/>
      <c r="O22" s="178"/>
    </row>
    <row r="23" spans="1:15" ht="18.75">
      <c r="A23" s="171" t="s">
        <v>6</v>
      </c>
      <c r="B23" s="171"/>
      <c r="C23" s="171"/>
      <c r="D23" s="171"/>
      <c r="E23" s="171"/>
      <c r="F23" s="171"/>
      <c r="G23" s="179"/>
      <c r="H23" s="179"/>
      <c r="I23" s="179"/>
      <c r="J23" s="179"/>
      <c r="K23" s="179"/>
      <c r="L23" s="179"/>
      <c r="M23" s="179"/>
      <c r="N23" s="179"/>
      <c r="O23" s="179"/>
    </row>
    <row r="24" ht="11.25" customHeight="1"/>
    <row r="25" spans="13:15" ht="18.75">
      <c r="M25" s="6"/>
      <c r="N25" s="169" t="s">
        <v>7</v>
      </c>
      <c r="O25" s="169"/>
    </row>
    <row r="26" spans="1:15" ht="18.75">
      <c r="A26" s="171" t="s">
        <v>14</v>
      </c>
      <c r="B26" s="171"/>
      <c r="C26" s="171"/>
      <c r="D26" s="171"/>
      <c r="E26" s="171"/>
      <c r="F26" s="171"/>
      <c r="L26" s="167" t="s">
        <v>8</v>
      </c>
      <c r="M26" s="168"/>
      <c r="N26" s="170">
        <v>45237</v>
      </c>
      <c r="O26" s="170"/>
    </row>
    <row r="27" spans="1:15" ht="38.25" customHeight="1">
      <c r="A27" s="180" t="s">
        <v>271</v>
      </c>
      <c r="B27" s="180"/>
      <c r="C27" s="180"/>
      <c r="D27" s="180"/>
      <c r="E27" s="180"/>
      <c r="F27" s="180"/>
      <c r="G27" s="180"/>
      <c r="H27" s="180"/>
      <c r="I27" s="180"/>
      <c r="J27" s="180"/>
      <c r="L27" s="167" t="s">
        <v>9</v>
      </c>
      <c r="M27" s="168"/>
      <c r="N27" s="169"/>
      <c r="O27" s="169"/>
    </row>
    <row r="28" spans="1:15" ht="18.7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L28" s="167" t="s">
        <v>10</v>
      </c>
      <c r="M28" s="168"/>
      <c r="N28" s="169">
        <v>925</v>
      </c>
      <c r="O28" s="169"/>
    </row>
    <row r="29" spans="12:15" ht="37.5" customHeight="1">
      <c r="L29" s="167" t="s">
        <v>9</v>
      </c>
      <c r="M29" s="168"/>
      <c r="N29" s="169"/>
      <c r="O29" s="169"/>
    </row>
    <row r="30" spans="1:15" ht="18.75">
      <c r="A30" s="171" t="s">
        <v>15</v>
      </c>
      <c r="B30" s="171"/>
      <c r="C30" s="171"/>
      <c r="D30" s="171"/>
      <c r="E30" s="171"/>
      <c r="F30" s="171"/>
      <c r="L30" s="167" t="s">
        <v>11</v>
      </c>
      <c r="M30" s="168"/>
      <c r="N30" s="169">
        <v>2343015126</v>
      </c>
      <c r="O30" s="169"/>
    </row>
    <row r="31" spans="12:15" ht="18.75">
      <c r="L31" s="167" t="s">
        <v>12</v>
      </c>
      <c r="M31" s="168"/>
      <c r="N31" s="169">
        <v>234301001</v>
      </c>
      <c r="O31" s="169"/>
    </row>
    <row r="32" spans="12:15" ht="18.75" customHeight="1">
      <c r="L32" s="167" t="s">
        <v>13</v>
      </c>
      <c r="M32" s="168"/>
      <c r="N32" s="169">
        <v>383</v>
      </c>
      <c r="O32" s="169"/>
    </row>
  </sheetData>
  <sheetProtection/>
  <mergeCells count="33">
    <mergeCell ref="A26:F26"/>
    <mergeCell ref="L27:M27"/>
    <mergeCell ref="L28:M28"/>
    <mergeCell ref="L29:M29"/>
    <mergeCell ref="L30:M30"/>
    <mergeCell ref="N29:O29"/>
    <mergeCell ref="N30:O30"/>
    <mergeCell ref="A27:J28"/>
    <mergeCell ref="A30:F30"/>
    <mergeCell ref="A22:F22"/>
    <mergeCell ref="A23:F23"/>
    <mergeCell ref="M13:O13"/>
    <mergeCell ref="J8:O8"/>
    <mergeCell ref="J10:O10"/>
    <mergeCell ref="J15:O15"/>
    <mergeCell ref="J11:O11"/>
    <mergeCell ref="J13:L13"/>
    <mergeCell ref="G22:O23"/>
    <mergeCell ref="J1:O1"/>
    <mergeCell ref="J2:O6"/>
    <mergeCell ref="A17:O17"/>
    <mergeCell ref="A18:O18"/>
    <mergeCell ref="A19:O19"/>
    <mergeCell ref="A20:O20"/>
    <mergeCell ref="L32:M32"/>
    <mergeCell ref="N25:O25"/>
    <mergeCell ref="N26:O26"/>
    <mergeCell ref="N27:O27"/>
    <mergeCell ref="N28:O28"/>
    <mergeCell ref="N32:O32"/>
    <mergeCell ref="L26:M26"/>
    <mergeCell ref="L31:M31"/>
    <mergeCell ref="N31:O31"/>
  </mergeCells>
  <printOptions/>
  <pageMargins left="0.25" right="0.25" top="0.75" bottom="0.75" header="0.3" footer="0.3"/>
  <pageSetup fitToWidth="0" fitToHeight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4">
      <selection activeCell="D29" sqref="D29"/>
    </sheetView>
  </sheetViews>
  <sheetFormatPr defaultColWidth="7.421875" defaultRowHeight="15"/>
  <cols>
    <col min="1" max="1" width="4.140625" style="88" customWidth="1"/>
    <col min="2" max="2" width="19.421875" style="88" customWidth="1"/>
    <col min="3" max="3" width="15.7109375" style="88" customWidth="1"/>
    <col min="4" max="4" width="35.57421875" style="88" customWidth="1"/>
    <col min="5" max="5" width="7.421875" style="88" customWidth="1"/>
    <col min="6" max="6" width="8.421875" style="88" bestFit="1" customWidth="1"/>
    <col min="7" max="16384" width="7.421875" style="88" customWidth="1"/>
  </cols>
  <sheetData>
    <row r="1" spans="1:4" ht="12.75">
      <c r="A1" s="195" t="s">
        <v>213</v>
      </c>
      <c r="B1" s="195"/>
      <c r="C1" s="195"/>
      <c r="D1" s="195"/>
    </row>
    <row r="2" spans="1:4" ht="12.75">
      <c r="A2" s="87"/>
      <c r="B2" s="87"/>
      <c r="C2" s="87"/>
      <c r="D2" s="87"/>
    </row>
    <row r="3" spans="1:5" ht="16.5" customHeight="1">
      <c r="A3" s="195" t="s">
        <v>107</v>
      </c>
      <c r="B3" s="195"/>
      <c r="C3" s="199" t="s">
        <v>321</v>
      </c>
      <c r="D3" s="199"/>
      <c r="E3" s="104"/>
    </row>
    <row r="4" spans="1:4" ht="12.75">
      <c r="A4" s="87"/>
      <c r="B4" s="87"/>
      <c r="C4" s="87"/>
      <c r="D4" s="87"/>
    </row>
    <row r="5" spans="1:4" ht="25.5">
      <c r="A5" s="63" t="str">
        <f>'225'!A5</f>
        <v>№ п/п</v>
      </c>
      <c r="B5" s="68" t="s">
        <v>110</v>
      </c>
      <c r="C5" s="63" t="s">
        <v>217</v>
      </c>
      <c r="D5" s="68" t="str">
        <f>'225'!E5</f>
        <v>Сумма, руб.</v>
      </c>
    </row>
    <row r="6" spans="1:4" ht="12.75">
      <c r="A6" s="68">
        <v>1</v>
      </c>
      <c r="B6" s="68">
        <v>2</v>
      </c>
      <c r="C6" s="68">
        <v>3</v>
      </c>
      <c r="D6" s="68">
        <v>4</v>
      </c>
    </row>
    <row r="7" spans="1:4" ht="12.75">
      <c r="A7" s="68">
        <v>1</v>
      </c>
      <c r="B7" s="106" t="s">
        <v>277</v>
      </c>
      <c r="C7" s="68"/>
      <c r="D7" s="66">
        <v>4000</v>
      </c>
    </row>
    <row r="8" spans="1:4" ht="12.75">
      <c r="A8" s="68">
        <v>3</v>
      </c>
      <c r="B8" s="106" t="s">
        <v>280</v>
      </c>
      <c r="C8" s="68"/>
      <c r="D8" s="66">
        <f>14400-6774.07</f>
        <v>7625.93</v>
      </c>
    </row>
    <row r="9" spans="1:4" ht="12.75">
      <c r="A9" s="68">
        <v>4</v>
      </c>
      <c r="B9" s="106" t="s">
        <v>281</v>
      </c>
      <c r="C9" s="68"/>
      <c r="D9" s="66">
        <v>4500</v>
      </c>
    </row>
    <row r="10" spans="1:4" ht="12.75">
      <c r="A10" s="68">
        <v>5</v>
      </c>
      <c r="B10" s="158" t="s">
        <v>215</v>
      </c>
      <c r="C10" s="159">
        <v>1</v>
      </c>
      <c r="D10" s="154">
        <v>8900</v>
      </c>
    </row>
    <row r="11" spans="1:4" ht="12.75">
      <c r="A11" s="68">
        <v>6</v>
      </c>
      <c r="B11" s="158" t="s">
        <v>265</v>
      </c>
      <c r="C11" s="159">
        <v>1</v>
      </c>
      <c r="D11" s="154">
        <v>5100</v>
      </c>
    </row>
    <row r="12" spans="1:4" ht="12.75">
      <c r="A12" s="68">
        <v>7</v>
      </c>
      <c r="B12" s="106" t="s">
        <v>278</v>
      </c>
      <c r="C12" s="68"/>
      <c r="D12" s="66">
        <v>7700</v>
      </c>
    </row>
    <row r="13" spans="1:4" ht="25.5">
      <c r="A13" s="68">
        <v>8</v>
      </c>
      <c r="B13" s="158" t="s">
        <v>324</v>
      </c>
      <c r="C13" s="159">
        <v>1</v>
      </c>
      <c r="D13" s="154">
        <v>4500</v>
      </c>
    </row>
    <row r="14" spans="1:4" ht="38.25">
      <c r="A14" s="68">
        <v>9</v>
      </c>
      <c r="B14" s="158" t="s">
        <v>323</v>
      </c>
      <c r="C14" s="159">
        <v>1</v>
      </c>
      <c r="D14" s="154">
        <v>2274.07</v>
      </c>
    </row>
    <row r="15" spans="1:4" ht="12.75">
      <c r="A15" s="68"/>
      <c r="B15" s="106" t="s">
        <v>374</v>
      </c>
      <c r="C15" s="159">
        <v>1</v>
      </c>
      <c r="D15" s="154">
        <v>5000</v>
      </c>
    </row>
    <row r="16" spans="1:4" ht="12.75">
      <c r="A16" s="68"/>
      <c r="B16" s="158" t="s">
        <v>372</v>
      </c>
      <c r="C16" s="159">
        <v>1</v>
      </c>
      <c r="D16" s="154">
        <v>8000</v>
      </c>
    </row>
    <row r="17" spans="1:4" ht="51">
      <c r="A17" s="68"/>
      <c r="B17" s="158" t="s">
        <v>373</v>
      </c>
      <c r="C17" s="159">
        <v>1</v>
      </c>
      <c r="D17" s="154">
        <v>4000</v>
      </c>
    </row>
    <row r="18" spans="1:4" ht="25.5">
      <c r="A18" s="68"/>
      <c r="B18" s="158" t="s">
        <v>375</v>
      </c>
      <c r="C18" s="159">
        <v>1</v>
      </c>
      <c r="D18" s="154">
        <v>4800</v>
      </c>
    </row>
    <row r="19" spans="1:4" ht="12.75">
      <c r="A19" s="68">
        <v>10</v>
      </c>
      <c r="B19" s="106" t="s">
        <v>279</v>
      </c>
      <c r="C19" s="68"/>
      <c r="D19" s="66">
        <f>49799.24+13800</f>
        <v>63599.24</v>
      </c>
    </row>
    <row r="20" spans="1:4" ht="12.75">
      <c r="A20" s="193" t="s">
        <v>288</v>
      </c>
      <c r="B20" s="194"/>
      <c r="C20" s="113" t="s">
        <v>21</v>
      </c>
      <c r="D20" s="121">
        <f>SUM(D7:D19)</f>
        <v>129999.23999999999</v>
      </c>
    </row>
    <row r="21" spans="2:4" ht="12.75">
      <c r="B21" s="111"/>
      <c r="C21" s="87"/>
      <c r="D21" s="112"/>
    </row>
    <row r="22" spans="1:5" ht="27.75" customHeight="1">
      <c r="A22" s="195" t="s">
        <v>107</v>
      </c>
      <c r="B22" s="195"/>
      <c r="C22" s="199" t="s">
        <v>349</v>
      </c>
      <c r="D22" s="199"/>
      <c r="E22" s="104"/>
    </row>
    <row r="23" spans="1:4" ht="12.75">
      <c r="A23" s="87"/>
      <c r="B23" s="87"/>
      <c r="C23" s="87"/>
      <c r="D23" s="87"/>
    </row>
    <row r="24" spans="1:4" ht="25.5">
      <c r="A24" s="68" t="str">
        <f>A5</f>
        <v>№ п/п</v>
      </c>
      <c r="B24" s="68" t="s">
        <v>110</v>
      </c>
      <c r="C24" s="68" t="s">
        <v>217</v>
      </c>
      <c r="D24" s="68" t="str">
        <f>D5</f>
        <v>Сумма, руб.</v>
      </c>
    </row>
    <row r="25" spans="1:4" ht="12.75">
      <c r="A25" s="68">
        <v>1</v>
      </c>
      <c r="B25" s="68">
        <v>2</v>
      </c>
      <c r="C25" s="68">
        <v>3</v>
      </c>
      <c r="D25" s="68">
        <v>4</v>
      </c>
    </row>
    <row r="26" spans="1:4" ht="12.75">
      <c r="A26" s="68">
        <v>1</v>
      </c>
      <c r="B26" s="158" t="s">
        <v>215</v>
      </c>
      <c r="C26" s="159">
        <v>1</v>
      </c>
      <c r="D26" s="154">
        <v>36640</v>
      </c>
    </row>
    <row r="27" spans="1:4" ht="12.75">
      <c r="A27" s="68">
        <v>2</v>
      </c>
      <c r="B27" s="106" t="s">
        <v>251</v>
      </c>
      <c r="C27" s="63"/>
      <c r="D27" s="66">
        <v>15000</v>
      </c>
    </row>
    <row r="28" spans="1:4" ht="12.75">
      <c r="A28" s="68">
        <v>3</v>
      </c>
      <c r="B28" s="106" t="s">
        <v>283</v>
      </c>
      <c r="C28" s="63"/>
      <c r="D28" s="66">
        <f>50000-27510</f>
        <v>22490</v>
      </c>
    </row>
    <row r="29" spans="1:6" ht="12.75">
      <c r="A29" s="193" t="s">
        <v>288</v>
      </c>
      <c r="B29" s="194"/>
      <c r="C29" s="102" t="s">
        <v>21</v>
      </c>
      <c r="D29" s="91">
        <f>SUM(D26:D28)</f>
        <v>74130</v>
      </c>
      <c r="F29" s="105">
        <f>74130-D29</f>
        <v>0</v>
      </c>
    </row>
    <row r="32" spans="2:4" ht="12.75">
      <c r="B32" s="111"/>
      <c r="C32" s="87"/>
      <c r="D32" s="112"/>
    </row>
  </sheetData>
  <sheetProtection/>
  <mergeCells count="7">
    <mergeCell ref="A29:B29"/>
    <mergeCell ref="A3:B3"/>
    <mergeCell ref="A1:D1"/>
    <mergeCell ref="C3:D3"/>
    <mergeCell ref="A20:B20"/>
    <mergeCell ref="A22:B22"/>
    <mergeCell ref="C22:D2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4"/>
  <sheetViews>
    <sheetView view="pageBreakPreview" zoomScaleSheetLayoutView="100" zoomScalePageLayoutView="0" workbookViewId="0" topLeftCell="A1">
      <selection activeCell="E22" sqref="E22"/>
    </sheetView>
  </sheetViews>
  <sheetFormatPr defaultColWidth="7.421875" defaultRowHeight="15"/>
  <cols>
    <col min="1" max="1" width="5.28125" style="61" customWidth="1"/>
    <col min="2" max="2" width="23.421875" style="61" customWidth="1"/>
    <col min="3" max="3" width="13.421875" style="61" customWidth="1"/>
    <col min="4" max="4" width="25.7109375" style="61" customWidth="1"/>
    <col min="5" max="5" width="36.00390625" style="61" customWidth="1"/>
    <col min="6" max="9" width="9.00390625" style="61" customWidth="1"/>
    <col min="10" max="30" width="1.1484375" style="61" customWidth="1"/>
    <col min="31" max="31" width="7.421875" style="61" bestFit="1" customWidth="1"/>
    <col min="32" max="44" width="1.1484375" style="61" customWidth="1"/>
    <col min="45" max="45" width="7.421875" style="81" customWidth="1"/>
    <col min="46" max="54" width="1.1484375" style="61" customWidth="1"/>
    <col min="55" max="55" width="7.421875" style="81" customWidth="1"/>
    <col min="56" max="65" width="1.1484375" style="61" customWidth="1"/>
    <col min="66" max="66" width="7.421875" style="81" customWidth="1"/>
    <col min="67" max="255" width="1.1484375" style="61" customWidth="1"/>
    <col min="256" max="16384" width="7.421875" style="61" customWidth="1"/>
  </cols>
  <sheetData>
    <row r="1" spans="1:80" s="88" customFormat="1" ht="12.75">
      <c r="A1" s="195" t="s">
        <v>232</v>
      </c>
      <c r="B1" s="195"/>
      <c r="C1" s="195"/>
      <c r="D1" s="195"/>
      <c r="E1" s="195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T1" s="60"/>
      <c r="AU1" s="60"/>
      <c r="AV1" s="60"/>
      <c r="AW1" s="60"/>
      <c r="AX1" s="60"/>
      <c r="AY1" s="60"/>
      <c r="AZ1" s="60"/>
      <c r="BA1" s="60"/>
      <c r="BB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s="88" customFormat="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T2" s="60"/>
      <c r="AU2" s="60"/>
      <c r="AV2" s="60"/>
      <c r="AW2" s="60"/>
      <c r="AX2" s="60"/>
      <c r="AY2" s="60"/>
      <c r="AZ2" s="60"/>
      <c r="BA2" s="60"/>
      <c r="BB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s="88" customFormat="1" ht="12.75">
      <c r="A3" s="195" t="s">
        <v>107</v>
      </c>
      <c r="B3" s="195"/>
      <c r="C3" s="199" t="s">
        <v>361</v>
      </c>
      <c r="D3" s="199"/>
      <c r="E3" s="199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T3" s="104"/>
      <c r="AU3" s="104"/>
      <c r="AV3" s="104"/>
      <c r="AW3" s="104"/>
      <c r="AX3" s="104"/>
      <c r="AY3" s="104"/>
      <c r="AZ3" s="104"/>
      <c r="BA3" s="104"/>
      <c r="BB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s="88" customFormat="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T4" s="87"/>
      <c r="AU4" s="87"/>
      <c r="AV4" s="87"/>
      <c r="AW4" s="87"/>
      <c r="AX4" s="87"/>
      <c r="AY4" s="87"/>
      <c r="AZ4" s="87"/>
      <c r="BA4" s="87"/>
      <c r="BB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s="88" customFormat="1" ht="25.5">
      <c r="A5" s="68" t="str">
        <f>'226'!A5</f>
        <v>№ п/п</v>
      </c>
      <c r="B5" s="68" t="s">
        <v>110</v>
      </c>
      <c r="C5" s="68" t="s">
        <v>111</v>
      </c>
      <c r="D5" s="68" t="s">
        <v>222</v>
      </c>
      <c r="E5" s="68" t="str">
        <f>'226'!D24</f>
        <v>Сумма, руб.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T5" s="60"/>
      <c r="AU5" s="60"/>
      <c r="AV5" s="60"/>
      <c r="AW5" s="60"/>
      <c r="AX5" s="60"/>
      <c r="AY5" s="60"/>
      <c r="AZ5" s="60"/>
      <c r="BA5" s="60"/>
      <c r="BB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s="88" customFormat="1" ht="12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T6" s="60"/>
      <c r="AU6" s="60"/>
      <c r="AV6" s="60"/>
      <c r="AW6" s="60"/>
      <c r="AX6" s="60"/>
      <c r="AY6" s="60"/>
      <c r="AZ6" s="60"/>
      <c r="BA6" s="60"/>
      <c r="BB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s="88" customFormat="1" ht="12.75">
      <c r="A7" s="68">
        <v>1</v>
      </c>
      <c r="B7" s="157" t="s">
        <v>282</v>
      </c>
      <c r="C7" s="159">
        <v>1</v>
      </c>
      <c r="D7" s="157"/>
      <c r="E7" s="162">
        <v>14000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T7" s="60"/>
      <c r="AU7" s="60"/>
      <c r="AV7" s="60"/>
      <c r="AW7" s="60"/>
      <c r="AX7" s="60"/>
      <c r="AY7" s="60"/>
      <c r="AZ7" s="60"/>
      <c r="BA7" s="60"/>
      <c r="BB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s="88" customFormat="1" ht="12.75">
      <c r="A8" s="68">
        <v>2</v>
      </c>
      <c r="B8" s="157" t="s">
        <v>381</v>
      </c>
      <c r="C8" s="159">
        <v>1</v>
      </c>
      <c r="D8" s="157"/>
      <c r="E8" s="162">
        <v>46000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T8" s="60"/>
      <c r="AU8" s="60"/>
      <c r="AV8" s="60"/>
      <c r="AW8" s="60"/>
      <c r="AX8" s="60"/>
      <c r="AY8" s="60"/>
      <c r="AZ8" s="60"/>
      <c r="BA8" s="60"/>
      <c r="BB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s="88" customFormat="1" ht="12.75">
      <c r="A9" s="68">
        <v>3</v>
      </c>
      <c r="B9" s="157" t="s">
        <v>382</v>
      </c>
      <c r="C9" s="159">
        <v>1</v>
      </c>
      <c r="D9" s="157"/>
      <c r="E9" s="162">
        <v>4370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T9" s="60"/>
      <c r="AU9" s="60"/>
      <c r="AV9" s="60"/>
      <c r="AW9" s="60"/>
      <c r="AX9" s="60"/>
      <c r="AY9" s="60"/>
      <c r="AZ9" s="60"/>
      <c r="BA9" s="60"/>
      <c r="BB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s="88" customFormat="1" ht="12.75">
      <c r="A10" s="68">
        <v>4</v>
      </c>
      <c r="B10" s="157" t="s">
        <v>252</v>
      </c>
      <c r="C10" s="159">
        <v>1</v>
      </c>
      <c r="D10" s="157"/>
      <c r="E10" s="162">
        <v>81240.5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80" s="88" customFormat="1" ht="12.75">
      <c r="A11" s="68">
        <v>3</v>
      </c>
      <c r="B11" s="106" t="s">
        <v>383</v>
      </c>
      <c r="C11" s="63"/>
      <c r="D11" s="106"/>
      <c r="E11" s="116">
        <v>110491.5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T11" s="60"/>
      <c r="AU11" s="60"/>
      <c r="AV11" s="60"/>
      <c r="AW11" s="60"/>
      <c r="AX11" s="60"/>
      <c r="AY11" s="60"/>
      <c r="AZ11" s="60"/>
      <c r="BA11" s="60"/>
      <c r="BB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s="88" customFormat="1" ht="12.75">
      <c r="A12" s="193" t="s">
        <v>288</v>
      </c>
      <c r="B12" s="194"/>
      <c r="C12" s="102" t="s">
        <v>21</v>
      </c>
      <c r="D12" s="102" t="s">
        <v>21</v>
      </c>
      <c r="E12" s="130">
        <f>SUM(E7:E11)</f>
        <v>256102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T12" s="60"/>
      <c r="AU12" s="60"/>
      <c r="AV12" s="60"/>
      <c r="AW12" s="60"/>
      <c r="AX12" s="60"/>
      <c r="AY12" s="60"/>
      <c r="AZ12" s="60"/>
      <c r="BA12" s="60"/>
      <c r="BB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</row>
    <row r="13" spans="45:66" ht="12.75">
      <c r="AS13" s="61"/>
      <c r="BC13" s="61"/>
      <c r="BN13" s="61"/>
    </row>
    <row r="14" spans="45:66" ht="12.75">
      <c r="AS14" s="61"/>
      <c r="BC14" s="61"/>
      <c r="BN14" s="61"/>
    </row>
  </sheetData>
  <sheetProtection/>
  <mergeCells count="4">
    <mergeCell ref="A1:E1"/>
    <mergeCell ref="A3:B3"/>
    <mergeCell ref="C3:E3"/>
    <mergeCell ref="A12:B12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"/>
  <sheetViews>
    <sheetView view="pageBreakPreview" zoomScale="160" zoomScaleSheetLayoutView="160" zoomScalePageLayoutView="0" workbookViewId="0" topLeftCell="A1">
      <selection activeCell="E14" sqref="E14"/>
    </sheetView>
  </sheetViews>
  <sheetFormatPr defaultColWidth="7.421875" defaultRowHeight="15"/>
  <cols>
    <col min="1" max="1" width="3.00390625" style="61" customWidth="1"/>
    <col min="2" max="2" width="23.421875" style="61" customWidth="1"/>
    <col min="3" max="3" width="13.421875" style="61" hidden="1" customWidth="1"/>
    <col min="4" max="4" width="25.7109375" style="61" hidden="1" customWidth="1"/>
    <col min="5" max="5" width="29.57421875" style="61" customWidth="1"/>
    <col min="6" max="9" width="9.00390625" style="61" customWidth="1"/>
    <col min="10" max="30" width="1.1484375" style="61" customWidth="1"/>
    <col min="31" max="31" width="7.421875" style="61" bestFit="1" customWidth="1"/>
    <col min="32" max="44" width="1.1484375" style="61" customWidth="1"/>
    <col min="45" max="45" width="7.421875" style="81" customWidth="1"/>
    <col min="46" max="54" width="1.1484375" style="61" customWidth="1"/>
    <col min="55" max="55" width="7.421875" style="81" customWidth="1"/>
    <col min="56" max="65" width="1.1484375" style="61" customWidth="1"/>
    <col min="66" max="66" width="7.421875" style="81" customWidth="1"/>
    <col min="67" max="255" width="1.1484375" style="61" customWidth="1"/>
    <col min="256" max="16384" width="7.421875" style="61" customWidth="1"/>
  </cols>
  <sheetData>
    <row r="1" spans="1:80" ht="12.75" customHeight="1">
      <c r="A1" s="218" t="s">
        <v>223</v>
      </c>
      <c r="B1" s="218"/>
      <c r="C1" s="218"/>
      <c r="D1" s="218"/>
      <c r="E1" s="21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61"/>
      <c r="AT1" s="58"/>
      <c r="AU1" s="58"/>
      <c r="AV1" s="58"/>
      <c r="AW1" s="58"/>
      <c r="AX1" s="58"/>
      <c r="AY1" s="58"/>
      <c r="AZ1" s="58"/>
      <c r="BA1" s="58"/>
      <c r="BB1" s="58"/>
      <c r="BC1" s="61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61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</row>
    <row r="2" spans="1:80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61"/>
      <c r="AT2" s="58"/>
      <c r="AU2" s="58"/>
      <c r="AV2" s="58"/>
      <c r="AW2" s="58"/>
      <c r="AX2" s="58"/>
      <c r="AY2" s="58"/>
      <c r="AZ2" s="58"/>
      <c r="BA2" s="58"/>
      <c r="BB2" s="58"/>
      <c r="BC2" s="61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61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</row>
    <row r="3" spans="1:80" ht="28.5" customHeight="1">
      <c r="A3" s="218" t="s">
        <v>107</v>
      </c>
      <c r="B3" s="218"/>
      <c r="C3" s="219" t="s">
        <v>193</v>
      </c>
      <c r="D3" s="219"/>
      <c r="E3" s="219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61"/>
      <c r="AT3" s="72"/>
      <c r="AU3" s="72"/>
      <c r="AV3" s="72"/>
      <c r="AW3" s="72"/>
      <c r="AX3" s="72"/>
      <c r="AY3" s="72"/>
      <c r="AZ3" s="72"/>
      <c r="BA3" s="72"/>
      <c r="BB3" s="72"/>
      <c r="BC3" s="61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61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1"/>
      <c r="AT4" s="69"/>
      <c r="AU4" s="69"/>
      <c r="AV4" s="69"/>
      <c r="AW4" s="69"/>
      <c r="AX4" s="69"/>
      <c r="AY4" s="69"/>
      <c r="AZ4" s="69"/>
      <c r="BA4" s="69"/>
      <c r="BB4" s="69"/>
      <c r="BC4" s="61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1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38.25">
      <c r="A5" s="63" t="str">
        <f>'226'!A5</f>
        <v>№ п/п</v>
      </c>
      <c r="B5" s="68" t="s">
        <v>110</v>
      </c>
      <c r="C5" s="63" t="s">
        <v>111</v>
      </c>
      <c r="D5" s="63" t="s">
        <v>222</v>
      </c>
      <c r="E5" s="68" t="str">
        <f>'226'!D5</f>
        <v>Сумма, руб.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1"/>
      <c r="AT5" s="60"/>
      <c r="AU5" s="60"/>
      <c r="AV5" s="60"/>
      <c r="AW5" s="60"/>
      <c r="AX5" s="60"/>
      <c r="AY5" s="60"/>
      <c r="AZ5" s="60"/>
      <c r="BA5" s="60"/>
      <c r="BB5" s="60"/>
      <c r="BC5" s="61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1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3"/>
      <c r="B6" s="63">
        <v>1</v>
      </c>
      <c r="C6" s="63">
        <v>2</v>
      </c>
      <c r="D6" s="63">
        <v>3</v>
      </c>
      <c r="E6" s="63">
        <v>2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1"/>
      <c r="AT6" s="60"/>
      <c r="AU6" s="60"/>
      <c r="AV6" s="60"/>
      <c r="AW6" s="60"/>
      <c r="AX6" s="60"/>
      <c r="AY6" s="60"/>
      <c r="AZ6" s="60"/>
      <c r="BA6" s="60"/>
      <c r="BB6" s="60"/>
      <c r="BC6" s="61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1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4">
        <v>1</v>
      </c>
      <c r="B7" s="65" t="s">
        <v>176</v>
      </c>
      <c r="C7" s="64"/>
      <c r="D7" s="65"/>
      <c r="E7" s="73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61"/>
      <c r="AT7" s="58"/>
      <c r="AU7" s="58"/>
      <c r="AV7" s="58"/>
      <c r="AW7" s="58"/>
      <c r="AX7" s="58"/>
      <c r="AY7" s="58"/>
      <c r="AZ7" s="58"/>
      <c r="BA7" s="58"/>
      <c r="BB7" s="58"/>
      <c r="BC7" s="61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61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12.75">
      <c r="A8" s="216" t="s">
        <v>109</v>
      </c>
      <c r="B8" s="217"/>
      <c r="C8" s="64" t="s">
        <v>21</v>
      </c>
      <c r="D8" s="64" t="s">
        <v>21</v>
      </c>
      <c r="E8" s="73">
        <f>SUM(E7:CB7)</f>
        <v>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61"/>
      <c r="AT8" s="58"/>
      <c r="AU8" s="58"/>
      <c r="AV8" s="58"/>
      <c r="AW8" s="58"/>
      <c r="AX8" s="58"/>
      <c r="AY8" s="58"/>
      <c r="AZ8" s="58"/>
      <c r="BA8" s="58"/>
      <c r="BB8" s="58"/>
      <c r="BC8" s="61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61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45:66" ht="12.75">
      <c r="AS9" s="61"/>
      <c r="BC9" s="61"/>
      <c r="BN9" s="61"/>
    </row>
    <row r="10" spans="1:80" ht="39.75" customHeight="1">
      <c r="A10" s="218" t="s">
        <v>107</v>
      </c>
      <c r="B10" s="218"/>
      <c r="C10" s="219" t="s">
        <v>237</v>
      </c>
      <c r="D10" s="219"/>
      <c r="E10" s="21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61"/>
      <c r="AT10" s="72"/>
      <c r="AU10" s="72"/>
      <c r="AV10" s="72"/>
      <c r="AW10" s="72"/>
      <c r="AX10" s="72"/>
      <c r="AY10" s="72"/>
      <c r="AZ10" s="72"/>
      <c r="BA10" s="72"/>
      <c r="BB10" s="72"/>
      <c r="BC10" s="61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61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1"/>
      <c r="AT11" s="69"/>
      <c r="AU11" s="69"/>
      <c r="AV11" s="69"/>
      <c r="AW11" s="69"/>
      <c r="AX11" s="69"/>
      <c r="AY11" s="69"/>
      <c r="AZ11" s="69"/>
      <c r="BA11" s="69"/>
      <c r="BB11" s="69"/>
      <c r="BC11" s="61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1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</row>
    <row r="12" spans="1:80" ht="38.25">
      <c r="A12" s="63" t="str">
        <f>A5</f>
        <v>№ п/п</v>
      </c>
      <c r="B12" s="68" t="s">
        <v>110</v>
      </c>
      <c r="C12" s="63" t="s">
        <v>111</v>
      </c>
      <c r="D12" s="63" t="s">
        <v>222</v>
      </c>
      <c r="E12" s="68" t="str">
        <f>E5</f>
        <v>Сумма, руб.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1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1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ht="12.75">
      <c r="A13" s="63"/>
      <c r="B13" s="63">
        <v>1</v>
      </c>
      <c r="C13" s="63">
        <v>2</v>
      </c>
      <c r="D13" s="63">
        <v>3</v>
      </c>
      <c r="E13" s="63">
        <v>2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1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1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ht="12.75">
      <c r="A14" s="64">
        <v>1</v>
      </c>
      <c r="B14" s="65" t="s">
        <v>176</v>
      </c>
      <c r="C14" s="64"/>
      <c r="D14" s="65"/>
      <c r="E14" s="73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61"/>
      <c r="AT14" s="58"/>
      <c r="AU14" s="58"/>
      <c r="AV14" s="58"/>
      <c r="AW14" s="58"/>
      <c r="AX14" s="58"/>
      <c r="AY14" s="58"/>
      <c r="AZ14" s="58"/>
      <c r="BA14" s="58"/>
      <c r="BB14" s="58"/>
      <c r="BC14" s="61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61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80" ht="12.75">
      <c r="A15" s="216" t="s">
        <v>109</v>
      </c>
      <c r="B15" s="217"/>
      <c r="C15" s="64" t="s">
        <v>21</v>
      </c>
      <c r="D15" s="64" t="s">
        <v>21</v>
      </c>
      <c r="E15" s="73">
        <f>SUM(E14:CB14)</f>
        <v>0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61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61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</row>
    <row r="16" spans="45:66" ht="12.75">
      <c r="AS16" s="61"/>
      <c r="BC16" s="61"/>
      <c r="BN16" s="61"/>
    </row>
    <row r="17" spans="45:66" ht="12.75">
      <c r="AS17" s="61"/>
      <c r="BC17" s="61"/>
      <c r="BN17" s="61"/>
    </row>
  </sheetData>
  <sheetProtection/>
  <mergeCells count="7">
    <mergeCell ref="A15:B15"/>
    <mergeCell ref="A1:E1"/>
    <mergeCell ref="A3:B3"/>
    <mergeCell ref="C3:E3"/>
    <mergeCell ref="A8:B8"/>
    <mergeCell ref="A10:B10"/>
    <mergeCell ref="C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8" sqref="E8"/>
    </sheetView>
  </sheetViews>
  <sheetFormatPr defaultColWidth="0" defaultRowHeight="15"/>
  <cols>
    <col min="1" max="4" width="9.140625" style="0" customWidth="1"/>
    <col min="5" max="5" width="22.421875" style="0" customWidth="1"/>
    <col min="6" max="6" width="9.140625" style="0" customWidth="1"/>
    <col min="7" max="16384" width="0" style="0" hidden="1" customWidth="1"/>
  </cols>
  <sheetData>
    <row r="2" spans="1:6" ht="15">
      <c r="A2" s="218" t="s">
        <v>232</v>
      </c>
      <c r="B2" s="218"/>
      <c r="C2" s="218"/>
      <c r="D2" s="218"/>
      <c r="E2" s="218"/>
      <c r="F2" s="58"/>
    </row>
    <row r="3" spans="1:6" ht="15">
      <c r="A3" s="58"/>
      <c r="B3" s="58"/>
      <c r="C3" s="58"/>
      <c r="D3" s="58"/>
      <c r="E3" s="58"/>
      <c r="F3" s="58"/>
    </row>
    <row r="4" spans="1:6" ht="15">
      <c r="A4" s="218" t="s">
        <v>107</v>
      </c>
      <c r="B4" s="218"/>
      <c r="C4" s="219" t="s">
        <v>257</v>
      </c>
      <c r="D4" s="219"/>
      <c r="E4" s="219"/>
      <c r="F4" s="61"/>
    </row>
    <row r="5" spans="1:6" ht="15">
      <c r="A5" s="69"/>
      <c r="B5" s="69"/>
      <c r="C5" s="69"/>
      <c r="D5" s="69"/>
      <c r="E5" s="69"/>
      <c r="F5" s="69"/>
    </row>
    <row r="6" spans="1:6" ht="38.25">
      <c r="A6" s="63">
        <f>'[1]226'!A6</f>
        <v>1</v>
      </c>
      <c r="B6" s="63" t="s">
        <v>110</v>
      </c>
      <c r="C6" s="63" t="s">
        <v>111</v>
      </c>
      <c r="D6" s="63" t="s">
        <v>222</v>
      </c>
      <c r="E6" s="63">
        <f>'[1]226'!D16</f>
        <v>3</v>
      </c>
      <c r="F6" s="60"/>
    </row>
    <row r="7" spans="1:6" ht="15">
      <c r="A7" s="63">
        <v>1</v>
      </c>
      <c r="B7" s="63">
        <v>2</v>
      </c>
      <c r="C7" s="63">
        <v>2</v>
      </c>
      <c r="D7" s="63">
        <v>3</v>
      </c>
      <c r="E7" s="63">
        <v>3</v>
      </c>
      <c r="F7" s="60"/>
    </row>
    <row r="8" spans="1:6" ht="15">
      <c r="A8" s="64">
        <v>1</v>
      </c>
      <c r="B8" s="65" t="s">
        <v>258</v>
      </c>
      <c r="C8" s="64"/>
      <c r="D8" s="65"/>
      <c r="E8" s="73"/>
      <c r="F8" s="58"/>
    </row>
    <row r="9" spans="1:6" ht="15">
      <c r="A9" s="216" t="s">
        <v>109</v>
      </c>
      <c r="B9" s="217"/>
      <c r="C9" s="64" t="s">
        <v>21</v>
      </c>
      <c r="D9" s="64" t="s">
        <v>21</v>
      </c>
      <c r="E9" s="73">
        <f>SUM(E8)</f>
        <v>0</v>
      </c>
      <c r="F9" s="58"/>
    </row>
    <row r="10" spans="1:6" ht="15">
      <c r="A10" s="61"/>
      <c r="B10" s="61"/>
      <c r="C10" s="61"/>
      <c r="D10" s="61"/>
      <c r="E10" s="61"/>
      <c r="F10" s="61"/>
    </row>
    <row r="11" spans="1:6" ht="15">
      <c r="A11" s="61"/>
      <c r="B11" s="61"/>
      <c r="C11" s="61"/>
      <c r="D11" s="61"/>
      <c r="E11" s="61"/>
      <c r="F11" s="61"/>
    </row>
  </sheetData>
  <sheetProtection/>
  <mergeCells count="4">
    <mergeCell ref="A2:E2"/>
    <mergeCell ref="A4:B4"/>
    <mergeCell ref="C4:E4"/>
    <mergeCell ref="A9:B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"/>
  <sheetViews>
    <sheetView view="pageBreakPreview" zoomScaleSheetLayoutView="100" zoomScalePageLayoutView="0" workbookViewId="0" topLeftCell="A1">
      <selection activeCell="E15" sqref="E15"/>
    </sheetView>
  </sheetViews>
  <sheetFormatPr defaultColWidth="7.421875" defaultRowHeight="15"/>
  <cols>
    <col min="1" max="1" width="5.57421875" style="88" customWidth="1"/>
    <col min="2" max="2" width="19.7109375" style="88" customWidth="1"/>
    <col min="3" max="3" width="13.421875" style="88" hidden="1" customWidth="1"/>
    <col min="4" max="4" width="25.7109375" style="88" hidden="1" customWidth="1"/>
    <col min="5" max="5" width="42.7109375" style="88" customWidth="1"/>
    <col min="6" max="6" width="18.7109375" style="88" customWidth="1"/>
    <col min="7" max="9" width="9.00390625" style="88" customWidth="1"/>
    <col min="10" max="30" width="1.1484375" style="88" customWidth="1"/>
    <col min="31" max="31" width="7.421875" style="88" bestFit="1" customWidth="1"/>
    <col min="32" max="44" width="1.1484375" style="88" customWidth="1"/>
    <col min="45" max="45" width="7.421875" style="139" customWidth="1"/>
    <col min="46" max="54" width="1.1484375" style="88" customWidth="1"/>
    <col min="55" max="55" width="7.421875" style="139" customWidth="1"/>
    <col min="56" max="65" width="1.1484375" style="88" customWidth="1"/>
    <col min="66" max="66" width="7.421875" style="139" customWidth="1"/>
    <col min="67" max="255" width="1.1484375" style="88" customWidth="1"/>
    <col min="256" max="16384" width="7.421875" style="88" bestFit="1" customWidth="1"/>
  </cols>
  <sheetData>
    <row r="1" spans="1:80" ht="12.75">
      <c r="A1" s="195" t="s">
        <v>221</v>
      </c>
      <c r="B1" s="195"/>
      <c r="C1" s="195"/>
      <c r="D1" s="195"/>
      <c r="E1" s="195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88"/>
      <c r="AT1" s="60"/>
      <c r="AU1" s="60"/>
      <c r="AV1" s="60"/>
      <c r="AW1" s="60"/>
      <c r="AX1" s="60"/>
      <c r="AY1" s="60"/>
      <c r="AZ1" s="60"/>
      <c r="BA1" s="60"/>
      <c r="BB1" s="60"/>
      <c r="BC1" s="88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88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88"/>
      <c r="AT2" s="60"/>
      <c r="AU2" s="60"/>
      <c r="AV2" s="60"/>
      <c r="AW2" s="60"/>
      <c r="AX2" s="60"/>
      <c r="AY2" s="60"/>
      <c r="AZ2" s="60"/>
      <c r="BA2" s="60"/>
      <c r="BB2" s="60"/>
      <c r="BC2" s="88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88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27.75" customHeight="1">
      <c r="A3" s="195" t="s">
        <v>107</v>
      </c>
      <c r="B3" s="195"/>
      <c r="C3" s="199" t="s">
        <v>363</v>
      </c>
      <c r="D3" s="199"/>
      <c r="E3" s="199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88"/>
      <c r="AT3" s="104"/>
      <c r="AU3" s="104"/>
      <c r="AV3" s="104"/>
      <c r="AW3" s="104"/>
      <c r="AX3" s="104"/>
      <c r="AY3" s="104"/>
      <c r="AZ3" s="104"/>
      <c r="BA3" s="104"/>
      <c r="BB3" s="104"/>
      <c r="BC3" s="88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88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8"/>
      <c r="AT4" s="87"/>
      <c r="AU4" s="87"/>
      <c r="AV4" s="87"/>
      <c r="AW4" s="87"/>
      <c r="AX4" s="87"/>
      <c r="AY4" s="87"/>
      <c r="AZ4" s="87"/>
      <c r="BA4" s="87"/>
      <c r="BB4" s="87"/>
      <c r="BC4" s="88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8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25.5">
      <c r="A5" s="68" t="str">
        <f>'226'!A5</f>
        <v>№ п/п</v>
      </c>
      <c r="B5" s="68" t="s">
        <v>110</v>
      </c>
      <c r="C5" s="68" t="s">
        <v>111</v>
      </c>
      <c r="D5" s="68" t="s">
        <v>222</v>
      </c>
      <c r="E5" s="68" t="str">
        <f>'342'!E12</f>
        <v>Сумма, руб.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8"/>
      <c r="AT5" s="60"/>
      <c r="AU5" s="60"/>
      <c r="AV5" s="60"/>
      <c r="AW5" s="60"/>
      <c r="AX5" s="60"/>
      <c r="AY5" s="60"/>
      <c r="AZ5" s="60"/>
      <c r="BA5" s="60"/>
      <c r="BB5" s="60"/>
      <c r="BC5" s="88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88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8">
        <v>1</v>
      </c>
      <c r="B6" s="68">
        <v>2</v>
      </c>
      <c r="C6" s="68">
        <v>2</v>
      </c>
      <c r="D6" s="68">
        <v>3</v>
      </c>
      <c r="E6" s="68">
        <v>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88"/>
      <c r="AT6" s="60"/>
      <c r="AU6" s="60"/>
      <c r="AV6" s="60"/>
      <c r="AW6" s="60"/>
      <c r="AX6" s="60"/>
      <c r="AY6" s="60"/>
      <c r="AZ6" s="60"/>
      <c r="BA6" s="60"/>
      <c r="BB6" s="60"/>
      <c r="BC6" s="88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88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25.5" customHeight="1">
      <c r="A7" s="68">
        <v>1</v>
      </c>
      <c r="B7" s="106" t="s">
        <v>337</v>
      </c>
      <c r="C7" s="63"/>
      <c r="D7" s="106"/>
      <c r="E7" s="116">
        <f>7233-1447</f>
        <v>5786</v>
      </c>
      <c r="F7" s="60" t="s">
        <v>366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88"/>
      <c r="AT7" s="60"/>
      <c r="AU7" s="60"/>
      <c r="AV7" s="60"/>
      <c r="AW7" s="60"/>
      <c r="AX7" s="60"/>
      <c r="AY7" s="60"/>
      <c r="AZ7" s="60"/>
      <c r="BA7" s="60"/>
      <c r="BB7" s="60"/>
      <c r="BC7" s="88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88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12.75">
      <c r="A8" s="193" t="s">
        <v>288</v>
      </c>
      <c r="B8" s="194"/>
      <c r="C8" s="102" t="s">
        <v>21</v>
      </c>
      <c r="D8" s="102" t="s">
        <v>21</v>
      </c>
      <c r="E8" s="130">
        <f>SUM(E7)</f>
        <v>5786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88"/>
      <c r="AT8" s="60"/>
      <c r="AU8" s="60"/>
      <c r="AV8" s="60"/>
      <c r="AW8" s="60"/>
      <c r="AX8" s="60"/>
      <c r="AY8" s="60"/>
      <c r="AZ8" s="60"/>
      <c r="BA8" s="60"/>
      <c r="BB8" s="60"/>
      <c r="BC8" s="88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88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45:66" ht="12.75">
      <c r="AS9" s="88"/>
      <c r="BC9" s="88"/>
      <c r="BN9" s="88"/>
    </row>
    <row r="10" spans="1:66" ht="24" customHeight="1">
      <c r="A10" s="207" t="s">
        <v>107</v>
      </c>
      <c r="B10" s="207"/>
      <c r="C10" s="220" t="s">
        <v>367</v>
      </c>
      <c r="D10" s="220"/>
      <c r="E10" s="220"/>
      <c r="AS10" s="88"/>
      <c r="BC10" s="88"/>
      <c r="BN10" s="88"/>
    </row>
    <row r="11" spans="1:66" ht="12.75">
      <c r="A11" s="87"/>
      <c r="B11" s="87"/>
      <c r="C11" s="87"/>
      <c r="D11" s="87"/>
      <c r="E11" s="87"/>
      <c r="AS11" s="88"/>
      <c r="BC11" s="88"/>
      <c r="BN11" s="88"/>
    </row>
    <row r="12" spans="1:66" ht="25.5">
      <c r="A12" s="68" t="str">
        <f>A5</f>
        <v>№ п/п</v>
      </c>
      <c r="B12" s="68" t="s">
        <v>110</v>
      </c>
      <c r="C12" s="68" t="s">
        <v>111</v>
      </c>
      <c r="D12" s="68" t="s">
        <v>222</v>
      </c>
      <c r="E12" s="68" t="str">
        <f>E5</f>
        <v>Сумма, руб.</v>
      </c>
      <c r="AS12" s="88"/>
      <c r="BC12" s="88"/>
      <c r="BN12" s="88"/>
    </row>
    <row r="13" spans="1:66" ht="12.75">
      <c r="A13" s="68">
        <v>1</v>
      </c>
      <c r="B13" s="68">
        <v>2</v>
      </c>
      <c r="C13" s="68">
        <v>2</v>
      </c>
      <c r="D13" s="68">
        <v>3</v>
      </c>
      <c r="E13" s="68">
        <v>3</v>
      </c>
      <c r="AS13" s="88"/>
      <c r="BC13" s="88"/>
      <c r="BN13" s="88"/>
    </row>
    <row r="14" spans="1:66" ht="51">
      <c r="A14" s="68">
        <v>1</v>
      </c>
      <c r="B14" s="148" t="s">
        <v>384</v>
      </c>
      <c r="C14" s="68"/>
      <c r="D14" s="68"/>
      <c r="E14" s="90">
        <v>4775</v>
      </c>
      <c r="AS14" s="88"/>
      <c r="BC14" s="88"/>
      <c r="BN14" s="88"/>
    </row>
    <row r="15" spans="1:66" ht="12.75">
      <c r="A15" s="193" t="s">
        <v>288</v>
      </c>
      <c r="B15" s="194"/>
      <c r="C15" s="102" t="s">
        <v>21</v>
      </c>
      <c r="D15" s="102" t="s">
        <v>21</v>
      </c>
      <c r="E15" s="165">
        <f>SUM(E14)</f>
        <v>4775</v>
      </c>
      <c r="AS15" s="88"/>
      <c r="BC15" s="88"/>
      <c r="BN15" s="88"/>
    </row>
    <row r="16" spans="45:66" ht="12.75">
      <c r="AS16" s="88"/>
      <c r="BC16" s="88"/>
      <c r="BN16" s="88"/>
    </row>
    <row r="17" spans="45:66" ht="12.75">
      <c r="AS17" s="88"/>
      <c r="BC17" s="88"/>
      <c r="BN17" s="88"/>
    </row>
  </sheetData>
  <sheetProtection/>
  <mergeCells count="7">
    <mergeCell ref="A15:B15"/>
    <mergeCell ref="A1:E1"/>
    <mergeCell ref="C3:E3"/>
    <mergeCell ref="A8:B8"/>
    <mergeCell ref="A3:B3"/>
    <mergeCell ref="A10:B10"/>
    <mergeCell ref="C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"/>
  <sheetViews>
    <sheetView view="pageBreakPreview" zoomScaleSheetLayoutView="100" zoomScalePageLayoutView="0" workbookViewId="0" topLeftCell="A1">
      <selection activeCell="I14" sqref="I14"/>
    </sheetView>
  </sheetViews>
  <sheetFormatPr defaultColWidth="7.421875" defaultRowHeight="15"/>
  <cols>
    <col min="1" max="1" width="5.57421875" style="88" customWidth="1"/>
    <col min="2" max="2" width="20.28125" style="88" customWidth="1"/>
    <col min="3" max="3" width="13.421875" style="88" customWidth="1"/>
    <col min="4" max="4" width="25.7109375" style="88" customWidth="1"/>
    <col min="5" max="5" width="37.28125" style="88" customWidth="1"/>
    <col min="6" max="9" width="9.00390625" style="88" customWidth="1"/>
    <col min="10" max="30" width="1.1484375" style="88" customWidth="1"/>
    <col min="31" max="31" width="7.421875" style="88" bestFit="1" customWidth="1"/>
    <col min="32" max="44" width="1.1484375" style="88" customWidth="1"/>
    <col min="45" max="45" width="7.421875" style="139" customWidth="1"/>
    <col min="46" max="54" width="1.1484375" style="88" customWidth="1"/>
    <col min="55" max="55" width="7.421875" style="139" customWidth="1"/>
    <col min="56" max="65" width="1.1484375" style="88" customWidth="1"/>
    <col min="66" max="66" width="7.421875" style="139" customWidth="1"/>
    <col min="67" max="255" width="1.1484375" style="88" customWidth="1"/>
    <col min="256" max="16384" width="7.421875" style="88" customWidth="1"/>
  </cols>
  <sheetData>
    <row r="1" spans="1:80" ht="12.75">
      <c r="A1" s="195" t="s">
        <v>221</v>
      </c>
      <c r="B1" s="195"/>
      <c r="C1" s="195"/>
      <c r="D1" s="195"/>
      <c r="E1" s="195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88"/>
      <c r="AT1" s="60"/>
      <c r="AU1" s="60"/>
      <c r="AV1" s="60"/>
      <c r="AW1" s="60"/>
      <c r="AX1" s="60"/>
      <c r="AY1" s="60"/>
      <c r="AZ1" s="60"/>
      <c r="BA1" s="60"/>
      <c r="BB1" s="60"/>
      <c r="BC1" s="88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88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88"/>
      <c r="AT2" s="60"/>
      <c r="AU2" s="60"/>
      <c r="AV2" s="60"/>
      <c r="AW2" s="60"/>
      <c r="AX2" s="60"/>
      <c r="AY2" s="60"/>
      <c r="AZ2" s="60"/>
      <c r="BA2" s="60"/>
      <c r="BB2" s="60"/>
      <c r="BC2" s="88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88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15" customHeight="1">
      <c r="A3" s="195" t="s">
        <v>107</v>
      </c>
      <c r="B3" s="195"/>
      <c r="C3" s="199" t="s">
        <v>350</v>
      </c>
      <c r="D3" s="199"/>
      <c r="E3" s="199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88"/>
      <c r="AT3" s="104"/>
      <c r="AU3" s="104"/>
      <c r="AV3" s="104"/>
      <c r="AW3" s="104"/>
      <c r="AX3" s="104"/>
      <c r="AY3" s="104"/>
      <c r="AZ3" s="104"/>
      <c r="BA3" s="104"/>
      <c r="BB3" s="104"/>
      <c r="BC3" s="88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88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8"/>
      <c r="AT4" s="87"/>
      <c r="AU4" s="87"/>
      <c r="AV4" s="87"/>
      <c r="AW4" s="87"/>
      <c r="AX4" s="87"/>
      <c r="AY4" s="87"/>
      <c r="AZ4" s="87"/>
      <c r="BA4" s="87"/>
      <c r="BB4" s="87"/>
      <c r="BC4" s="88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8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25.5">
      <c r="A5" s="68" t="str">
        <f>'226'!A5</f>
        <v>№ п/п</v>
      </c>
      <c r="B5" s="68" t="s">
        <v>110</v>
      </c>
      <c r="C5" s="68" t="s">
        <v>111</v>
      </c>
      <c r="D5" s="68" t="s">
        <v>222</v>
      </c>
      <c r="E5" s="68" t="str">
        <f>'342'!E12</f>
        <v>Сумма, руб.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8"/>
      <c r="AT5" s="60"/>
      <c r="AU5" s="60"/>
      <c r="AV5" s="60"/>
      <c r="AW5" s="60"/>
      <c r="AX5" s="60"/>
      <c r="AY5" s="60"/>
      <c r="AZ5" s="60"/>
      <c r="BA5" s="60"/>
      <c r="BB5" s="60"/>
      <c r="BC5" s="88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88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88"/>
      <c r="AT6" s="60"/>
      <c r="AU6" s="60"/>
      <c r="AV6" s="60"/>
      <c r="AW6" s="60"/>
      <c r="AX6" s="60"/>
      <c r="AY6" s="60"/>
      <c r="AZ6" s="60"/>
      <c r="BA6" s="60"/>
      <c r="BB6" s="60"/>
      <c r="BC6" s="88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88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8">
        <v>1</v>
      </c>
      <c r="B7" s="148" t="s">
        <v>383</v>
      </c>
      <c r="C7" s="68"/>
      <c r="D7" s="68"/>
      <c r="E7" s="90">
        <f>8761-4370</f>
        <v>4391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88"/>
      <c r="AT7" s="60"/>
      <c r="AU7" s="60"/>
      <c r="AV7" s="60"/>
      <c r="AW7" s="60"/>
      <c r="AX7" s="60"/>
      <c r="AY7" s="60"/>
      <c r="AZ7" s="60"/>
      <c r="BA7" s="60"/>
      <c r="BB7" s="60"/>
      <c r="BC7" s="88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88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2.75">
      <c r="A8" s="159">
        <v>2</v>
      </c>
      <c r="B8" s="158" t="s">
        <v>253</v>
      </c>
      <c r="C8" s="159">
        <v>1</v>
      </c>
      <c r="D8" s="158"/>
      <c r="E8" s="166">
        <v>5834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88"/>
      <c r="AT8" s="60"/>
      <c r="AU8" s="60"/>
      <c r="AV8" s="60"/>
      <c r="AW8" s="60"/>
      <c r="AX8" s="60"/>
      <c r="AY8" s="60"/>
      <c r="AZ8" s="60"/>
      <c r="BA8" s="60"/>
      <c r="BB8" s="60"/>
      <c r="BC8" s="88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88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12.75">
      <c r="A9" s="193" t="s">
        <v>288</v>
      </c>
      <c r="B9" s="194"/>
      <c r="C9" s="102" t="s">
        <v>21</v>
      </c>
      <c r="D9" s="102" t="s">
        <v>21</v>
      </c>
      <c r="E9" s="130">
        <f>SUM(E7:E8)</f>
        <v>10225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88"/>
      <c r="AT9" s="60"/>
      <c r="AU9" s="60"/>
      <c r="AV9" s="60"/>
      <c r="AW9" s="60"/>
      <c r="AX9" s="60"/>
      <c r="AY9" s="60"/>
      <c r="AZ9" s="60"/>
      <c r="BA9" s="60"/>
      <c r="BB9" s="60"/>
      <c r="BC9" s="88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88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45:66" ht="12.75">
      <c r="AS10" s="88"/>
      <c r="BC10" s="88"/>
      <c r="BN10" s="88"/>
    </row>
    <row r="11" spans="45:66" ht="12.75">
      <c r="AS11" s="88"/>
      <c r="BC11" s="88"/>
      <c r="BN11" s="88"/>
    </row>
    <row r="12" spans="45:66" ht="12.75">
      <c r="AS12" s="88"/>
      <c r="BC12" s="88"/>
      <c r="BN12" s="88"/>
    </row>
  </sheetData>
  <sheetProtection/>
  <mergeCells count="4">
    <mergeCell ref="A1:E1"/>
    <mergeCell ref="A3:B3"/>
    <mergeCell ref="C3:E3"/>
    <mergeCell ref="A9:B9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1"/>
  <sheetViews>
    <sheetView view="pageBreakPreview" zoomScaleSheetLayoutView="100" zoomScalePageLayoutView="0" workbookViewId="0" topLeftCell="A1">
      <selection activeCell="E10" sqref="E10"/>
    </sheetView>
  </sheetViews>
  <sheetFormatPr defaultColWidth="1.1484375" defaultRowHeight="15"/>
  <cols>
    <col min="1" max="1" width="3.8515625" style="61" customWidth="1"/>
    <col min="2" max="2" width="23.7109375" style="61" customWidth="1"/>
    <col min="3" max="3" width="11.8515625" style="61" customWidth="1"/>
    <col min="4" max="4" width="25.7109375" style="61" customWidth="1"/>
    <col min="5" max="5" width="15.7109375" style="61" customWidth="1"/>
    <col min="6" max="31" width="10.28125" style="61" customWidth="1"/>
    <col min="32" max="39" width="1.1484375" style="61" customWidth="1"/>
    <col min="40" max="40" width="1.1484375" style="80" customWidth="1"/>
    <col min="41" max="53" width="1.1484375" style="61" customWidth="1"/>
    <col min="54" max="54" width="1.1484375" style="80" customWidth="1"/>
    <col min="55" max="61" width="1.1484375" style="61" customWidth="1"/>
    <col min="62" max="62" width="1.1484375" style="80" customWidth="1"/>
    <col min="63" max="16384" width="1.1484375" style="61" customWidth="1"/>
  </cols>
  <sheetData>
    <row r="1" spans="1:80" ht="12.75">
      <c r="A1" s="221" t="s">
        <v>218</v>
      </c>
      <c r="B1" s="221"/>
      <c r="C1" s="221"/>
      <c r="D1" s="221"/>
      <c r="E1" s="22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61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61"/>
      <c r="BC1" s="58"/>
      <c r="BD1" s="58"/>
      <c r="BE1" s="58"/>
      <c r="BF1" s="58"/>
      <c r="BG1" s="58"/>
      <c r="BH1" s="58"/>
      <c r="BI1" s="58"/>
      <c r="BJ1" s="61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</row>
    <row r="2" spans="1:80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1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1"/>
      <c r="BC2" s="69"/>
      <c r="BD2" s="69"/>
      <c r="BE2" s="69"/>
      <c r="BF2" s="69"/>
      <c r="BG2" s="69"/>
      <c r="BH2" s="69"/>
      <c r="BI2" s="69"/>
      <c r="BJ2" s="61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12.75">
      <c r="A3" s="195" t="s">
        <v>107</v>
      </c>
      <c r="B3" s="195"/>
      <c r="C3" s="199" t="s">
        <v>376</v>
      </c>
      <c r="D3" s="199"/>
      <c r="E3" s="19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6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61"/>
      <c r="BC3" s="72"/>
      <c r="BD3" s="72"/>
      <c r="BE3" s="72"/>
      <c r="BF3" s="72"/>
      <c r="BG3" s="72"/>
      <c r="BH3" s="72"/>
      <c r="BI3" s="72"/>
      <c r="BJ3" s="61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1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1"/>
      <c r="BC4" s="69"/>
      <c r="BD4" s="69"/>
      <c r="BE4" s="69"/>
      <c r="BF4" s="69"/>
      <c r="BG4" s="69"/>
      <c r="BH4" s="69"/>
      <c r="BI4" s="69"/>
      <c r="BJ4" s="61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25.5">
      <c r="A5" s="68" t="str">
        <f>'226'!A5</f>
        <v>№ п/п</v>
      </c>
      <c r="B5" s="68" t="s">
        <v>110</v>
      </c>
      <c r="C5" s="68" t="s">
        <v>219</v>
      </c>
      <c r="D5" s="68" t="s">
        <v>220</v>
      </c>
      <c r="E5" s="68" t="str">
        <f>'346'!E5</f>
        <v>Сумма, руб.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1"/>
      <c r="BC5" s="60"/>
      <c r="BD5" s="60"/>
      <c r="BE5" s="60"/>
      <c r="BF5" s="60"/>
      <c r="BG5" s="60"/>
      <c r="BH5" s="60"/>
      <c r="BI5" s="60"/>
      <c r="BJ5" s="61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1"/>
      <c r="BC6" s="60"/>
      <c r="BD6" s="60"/>
      <c r="BE6" s="60"/>
      <c r="BF6" s="60"/>
      <c r="BG6" s="60"/>
      <c r="BH6" s="60"/>
      <c r="BI6" s="60"/>
      <c r="BJ6" s="61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8">
        <v>1</v>
      </c>
      <c r="B7" s="64" t="s">
        <v>117</v>
      </c>
      <c r="C7" s="64"/>
      <c r="D7" s="64"/>
      <c r="E7" s="67">
        <v>10000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61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61"/>
      <c r="BC7" s="58"/>
      <c r="BD7" s="58"/>
      <c r="BE7" s="58"/>
      <c r="BF7" s="58"/>
      <c r="BG7" s="58"/>
      <c r="BH7" s="58"/>
      <c r="BI7" s="58"/>
      <c r="BJ7" s="61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ht="12.75">
      <c r="A8" s="68">
        <v>2</v>
      </c>
      <c r="B8" s="160" t="s">
        <v>377</v>
      </c>
      <c r="C8" s="160"/>
      <c r="D8" s="160"/>
      <c r="E8" s="161">
        <v>12616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61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61"/>
      <c r="BC8" s="58"/>
      <c r="BD8" s="58"/>
      <c r="BE8" s="58"/>
      <c r="BF8" s="58"/>
      <c r="BG8" s="58"/>
      <c r="BH8" s="58"/>
      <c r="BI8" s="58"/>
      <c r="BJ8" s="61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ht="12.75">
      <c r="A9" s="68">
        <v>3</v>
      </c>
      <c r="B9" s="64" t="s">
        <v>118</v>
      </c>
      <c r="C9" s="64"/>
      <c r="D9" s="64"/>
      <c r="E9" s="67">
        <f>19000-12616</f>
        <v>6384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61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61"/>
      <c r="BC9" s="58"/>
      <c r="BD9" s="58"/>
      <c r="BE9" s="58"/>
      <c r="BF9" s="58"/>
      <c r="BG9" s="58"/>
      <c r="BH9" s="58"/>
      <c r="BI9" s="58"/>
      <c r="BJ9" s="61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ht="12.75">
      <c r="A10" s="64"/>
      <c r="B10" s="102" t="s">
        <v>288</v>
      </c>
      <c r="C10" s="114"/>
      <c r="D10" s="114" t="s">
        <v>21</v>
      </c>
      <c r="E10" s="132">
        <f>SUM(E7:E9)</f>
        <v>29000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61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61"/>
      <c r="BC10" s="58"/>
      <c r="BD10" s="58"/>
      <c r="BE10" s="58"/>
      <c r="BF10" s="58"/>
      <c r="BG10" s="58"/>
      <c r="BH10" s="58"/>
      <c r="BI10" s="58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2" spans="1:80" ht="12.75">
      <c r="A12" s="195" t="s">
        <v>107</v>
      </c>
      <c r="B12" s="195"/>
      <c r="C12" s="199" t="s">
        <v>254</v>
      </c>
      <c r="D12" s="199"/>
      <c r="E12" s="19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61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1"/>
      <c r="BC12" s="72"/>
      <c r="BD12" s="72"/>
      <c r="BE12" s="72"/>
      <c r="BF12" s="72"/>
      <c r="BG12" s="72"/>
      <c r="BH12" s="72"/>
      <c r="BI12" s="72"/>
      <c r="BJ12" s="61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</row>
    <row r="13" spans="1:80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1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1"/>
      <c r="BC13" s="69"/>
      <c r="BD13" s="69"/>
      <c r="BE13" s="69"/>
      <c r="BF13" s="69"/>
      <c r="BG13" s="69"/>
      <c r="BH13" s="69"/>
      <c r="BI13" s="69"/>
      <c r="BJ13" s="61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ht="25.5">
      <c r="A14" s="68" t="str">
        <f>A5</f>
        <v>№ п/п</v>
      </c>
      <c r="B14" s="68" t="s">
        <v>110</v>
      </c>
      <c r="C14" s="68" t="str">
        <f>C5</f>
        <v>Налоговая баз, руб.</v>
      </c>
      <c r="D14" s="68" t="str">
        <f>D5</f>
        <v>Ставка налога, %</v>
      </c>
      <c r="E14" s="68" t="str">
        <f>E5</f>
        <v>Сумма, руб.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1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60"/>
      <c r="BD14" s="60"/>
      <c r="BE14" s="60"/>
      <c r="BF14" s="60"/>
      <c r="BG14" s="60"/>
      <c r="BH14" s="60"/>
      <c r="BI14" s="60"/>
      <c r="BJ14" s="61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ht="12.75">
      <c r="A15" s="68">
        <v>1</v>
      </c>
      <c r="B15" s="68">
        <v>2</v>
      </c>
      <c r="C15" s="68">
        <v>3</v>
      </c>
      <c r="D15" s="68">
        <v>4</v>
      </c>
      <c r="E15" s="68">
        <v>5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1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60"/>
      <c r="BD15" s="60"/>
      <c r="BE15" s="60"/>
      <c r="BF15" s="60"/>
      <c r="BG15" s="60"/>
      <c r="BH15" s="60"/>
      <c r="BI15" s="60"/>
      <c r="BJ15" s="61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68">
        <v>1</v>
      </c>
      <c r="B16" s="64" t="s">
        <v>116</v>
      </c>
      <c r="C16" s="64"/>
      <c r="D16" s="64"/>
      <c r="E16" s="90">
        <v>200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61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61"/>
      <c r="BC16" s="58"/>
      <c r="BD16" s="58"/>
      <c r="BE16" s="58"/>
      <c r="BF16" s="58"/>
      <c r="BG16" s="58"/>
      <c r="BH16" s="58"/>
      <c r="BI16" s="58"/>
      <c r="BJ16" s="61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</row>
    <row r="17" spans="1:80" ht="12.75">
      <c r="A17" s="64"/>
      <c r="B17" s="102" t="s">
        <v>288</v>
      </c>
      <c r="C17" s="102"/>
      <c r="D17" s="102" t="s">
        <v>21</v>
      </c>
      <c r="E17" s="91">
        <f>SUM(E16)</f>
        <v>200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1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61"/>
      <c r="BC17" s="58"/>
      <c r="BD17" s="58"/>
      <c r="BE17" s="58"/>
      <c r="BF17" s="58"/>
      <c r="BG17" s="58"/>
      <c r="BH17" s="58"/>
      <c r="BI17" s="58"/>
      <c r="BJ17" s="61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</row>
    <row r="19" spans="1:5" ht="15" hidden="1">
      <c r="A19" s="218" t="s">
        <v>107</v>
      </c>
      <c r="B19" s="218"/>
      <c r="C19" s="219" t="s">
        <v>240</v>
      </c>
      <c r="D19" s="219"/>
      <c r="E19" s="219"/>
    </row>
    <row r="20" spans="1:5" ht="15" hidden="1">
      <c r="A20" s="69"/>
      <c r="B20" s="69"/>
      <c r="C20" s="69"/>
      <c r="D20" s="69"/>
      <c r="E20" s="69"/>
    </row>
    <row r="21" spans="1:5" ht="15" hidden="1">
      <c r="A21" s="63">
        <f>A13</f>
        <v>0</v>
      </c>
      <c r="B21" s="63" t="s">
        <v>110</v>
      </c>
      <c r="C21" s="63">
        <f>C13</f>
        <v>0</v>
      </c>
      <c r="D21" s="63">
        <f>D13</f>
        <v>0</v>
      </c>
      <c r="E21" s="63">
        <f>E13</f>
        <v>0</v>
      </c>
    </row>
    <row r="22" spans="1:5" ht="15" hidden="1">
      <c r="A22" s="63">
        <v>1</v>
      </c>
      <c r="B22" s="63">
        <v>2</v>
      </c>
      <c r="C22" s="63">
        <v>3</v>
      </c>
      <c r="D22" s="63">
        <v>4</v>
      </c>
      <c r="E22" s="63">
        <v>5</v>
      </c>
    </row>
    <row r="23" spans="1:5" ht="15" hidden="1">
      <c r="A23" s="64">
        <v>1</v>
      </c>
      <c r="B23" s="64" t="s">
        <v>239</v>
      </c>
      <c r="C23" s="64"/>
      <c r="D23" s="64"/>
      <c r="E23" s="122"/>
    </row>
    <row r="24" spans="1:5" ht="15" hidden="1">
      <c r="A24" s="64"/>
      <c r="B24" s="64" t="s">
        <v>109</v>
      </c>
      <c r="C24" s="64"/>
      <c r="D24" s="64" t="s">
        <v>21</v>
      </c>
      <c r="E24" s="67">
        <f>SUM(E23)</f>
        <v>0</v>
      </c>
    </row>
    <row r="25" ht="15" hidden="1"/>
    <row r="26" spans="1:5" ht="15" hidden="1">
      <c r="A26" s="218" t="s">
        <v>107</v>
      </c>
      <c r="B26" s="218"/>
      <c r="C26" s="219" t="s">
        <v>241</v>
      </c>
      <c r="D26" s="219"/>
      <c r="E26" s="219"/>
    </row>
    <row r="27" spans="1:5" ht="15" hidden="1">
      <c r="A27" s="69"/>
      <c r="B27" s="69"/>
      <c r="C27" s="69"/>
      <c r="D27" s="69"/>
      <c r="E27" s="69"/>
    </row>
    <row r="28" spans="1:5" ht="15" hidden="1">
      <c r="A28" s="63">
        <f>A20</f>
        <v>0</v>
      </c>
      <c r="B28" s="63" t="s">
        <v>110</v>
      </c>
      <c r="C28" s="63">
        <f>C20</f>
        <v>0</v>
      </c>
      <c r="D28" s="63">
        <f>D20</f>
        <v>0</v>
      </c>
      <c r="E28" s="63">
        <f>E20</f>
        <v>0</v>
      </c>
    </row>
    <row r="29" spans="1:5" ht="15" hidden="1">
      <c r="A29" s="63">
        <v>1</v>
      </c>
      <c r="B29" s="63">
        <v>2</v>
      </c>
      <c r="C29" s="63">
        <v>3</v>
      </c>
      <c r="D29" s="63">
        <v>4</v>
      </c>
      <c r="E29" s="63">
        <v>5</v>
      </c>
    </row>
    <row r="30" spans="1:5" ht="15" hidden="1">
      <c r="A30" s="64">
        <v>1</v>
      </c>
      <c r="B30" s="64" t="s">
        <v>242</v>
      </c>
      <c r="C30" s="64"/>
      <c r="D30" s="64"/>
      <c r="E30" s="122"/>
    </row>
    <row r="31" spans="1:5" ht="15" hidden="1">
      <c r="A31" s="64"/>
      <c r="B31" s="64" t="s">
        <v>109</v>
      </c>
      <c r="C31" s="64"/>
      <c r="D31" s="64" t="s">
        <v>21</v>
      </c>
      <c r="E31" s="67">
        <f>SUM(E30)</f>
        <v>0</v>
      </c>
    </row>
    <row r="32" ht="15" hidden="1"/>
  </sheetData>
  <sheetProtection/>
  <mergeCells count="9">
    <mergeCell ref="A26:B26"/>
    <mergeCell ref="C26:E26"/>
    <mergeCell ref="A1:E1"/>
    <mergeCell ref="A3:B3"/>
    <mergeCell ref="A12:B12"/>
    <mergeCell ref="C3:E3"/>
    <mergeCell ref="C12:E12"/>
    <mergeCell ref="A19:B19"/>
    <mergeCell ref="C19:E1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4"/>
  <sheetViews>
    <sheetView view="pageBreakPreview" zoomScaleSheetLayoutView="100" zoomScalePageLayoutView="0" workbookViewId="0" topLeftCell="A22">
      <selection activeCell="D39" sqref="D39"/>
    </sheetView>
  </sheetViews>
  <sheetFormatPr defaultColWidth="9.140625" defaultRowHeight="15"/>
  <cols>
    <col min="1" max="1" width="7.00390625" style="144" customWidth="1"/>
    <col min="2" max="2" width="28.421875" style="144" customWidth="1"/>
    <col min="3" max="3" width="16.7109375" style="144" customWidth="1"/>
    <col min="4" max="4" width="21.00390625" style="144" customWidth="1"/>
    <col min="5" max="16384" width="9.140625" style="144" customWidth="1"/>
  </cols>
  <sheetData>
    <row r="1" spans="1:4" ht="12.75">
      <c r="A1" s="225" t="s">
        <v>285</v>
      </c>
      <c r="B1" s="225"/>
      <c r="C1" s="225"/>
      <c r="D1" s="225"/>
    </row>
    <row r="2" spans="1:4" ht="12.75">
      <c r="A2" s="147"/>
      <c r="B2" s="147"/>
      <c r="C2" s="142"/>
      <c r="D2" s="142"/>
    </row>
    <row r="3" spans="1:4" ht="12.75">
      <c r="A3" s="124" t="s">
        <v>107</v>
      </c>
      <c r="B3" s="124"/>
      <c r="C3" s="123" t="s">
        <v>355</v>
      </c>
      <c r="D3" s="123"/>
    </row>
    <row r="4" spans="1:4" ht="12.75">
      <c r="A4" s="142"/>
      <c r="B4" s="142"/>
      <c r="C4" s="142"/>
      <c r="D4" s="142"/>
    </row>
    <row r="5" spans="1:4" ht="12.75">
      <c r="A5" s="120" t="s">
        <v>194</v>
      </c>
      <c r="B5" s="120" t="s">
        <v>110</v>
      </c>
      <c r="C5" s="120" t="s">
        <v>111</v>
      </c>
      <c r="D5" s="120" t="s">
        <v>286</v>
      </c>
    </row>
    <row r="6" spans="1:4" ht="12.75">
      <c r="A6" s="120">
        <v>1</v>
      </c>
      <c r="B6" s="120">
        <v>2</v>
      </c>
      <c r="C6" s="120">
        <v>3</v>
      </c>
      <c r="D6" s="120">
        <v>4</v>
      </c>
    </row>
    <row r="7" spans="1:4" ht="75" customHeight="1">
      <c r="A7" s="120">
        <v>1</v>
      </c>
      <c r="B7" s="148" t="s">
        <v>287</v>
      </c>
      <c r="C7" s="120"/>
      <c r="D7" s="127">
        <v>42000</v>
      </c>
    </row>
    <row r="8" spans="1:4" ht="12.75">
      <c r="A8" s="222" t="s">
        <v>288</v>
      </c>
      <c r="B8" s="223"/>
      <c r="C8" s="143" t="s">
        <v>21</v>
      </c>
      <c r="D8" s="126">
        <f>SUM(D7:Q7)</f>
        <v>42000</v>
      </c>
    </row>
    <row r="9" spans="1:4" ht="12.75">
      <c r="A9" s="124"/>
      <c r="B9" s="124"/>
      <c r="C9" s="124"/>
      <c r="D9" s="124"/>
    </row>
    <row r="10" spans="1:4" ht="12.75">
      <c r="A10" s="142" t="s">
        <v>107</v>
      </c>
      <c r="B10" s="142"/>
      <c r="C10" s="123" t="s">
        <v>353</v>
      </c>
      <c r="D10" s="123"/>
    </row>
    <row r="11" spans="1:4" ht="12.75">
      <c r="A11" s="125"/>
      <c r="B11" s="125"/>
      <c r="C11" s="125"/>
      <c r="D11" s="125"/>
    </row>
    <row r="12" spans="1:4" ht="12.75">
      <c r="A12" s="120" t="s">
        <v>194</v>
      </c>
      <c r="B12" s="120" t="s">
        <v>110</v>
      </c>
      <c r="C12" s="149" t="s">
        <v>111</v>
      </c>
      <c r="D12" s="119" t="s">
        <v>286</v>
      </c>
    </row>
    <row r="13" spans="1:4" ht="12.75">
      <c r="A13" s="120">
        <v>1</v>
      </c>
      <c r="B13" s="120">
        <v>2</v>
      </c>
      <c r="C13" s="149">
        <v>3</v>
      </c>
      <c r="D13" s="120">
        <v>4</v>
      </c>
    </row>
    <row r="14" spans="1:4" ht="51.75" customHeight="1">
      <c r="A14" s="120">
        <v>1</v>
      </c>
      <c r="B14" s="148" t="s">
        <v>289</v>
      </c>
      <c r="C14" s="150"/>
      <c r="D14" s="127">
        <v>99008</v>
      </c>
    </row>
    <row r="15" spans="1:4" ht="63.75" customHeight="1">
      <c r="A15" s="120">
        <v>2</v>
      </c>
      <c r="B15" s="148" t="s">
        <v>342</v>
      </c>
      <c r="C15" s="150"/>
      <c r="D15" s="127">
        <f>234735.2-27126+126590</f>
        <v>334199.2</v>
      </c>
    </row>
    <row r="16" spans="1:4" ht="12.75">
      <c r="A16" s="222" t="s">
        <v>288</v>
      </c>
      <c r="B16" s="223"/>
      <c r="C16" s="141" t="s">
        <v>21</v>
      </c>
      <c r="D16" s="128">
        <f>SUM(D14:D15)</f>
        <v>433207.2</v>
      </c>
    </row>
    <row r="17" spans="1:4" ht="12.75">
      <c r="A17" s="129"/>
      <c r="B17" s="129"/>
      <c r="C17" s="129"/>
      <c r="D17" s="129"/>
    </row>
    <row r="18" spans="1:4" ht="12.75">
      <c r="A18" s="226" t="s">
        <v>107</v>
      </c>
      <c r="B18" s="226"/>
      <c r="C18" s="224" t="s">
        <v>313</v>
      </c>
      <c r="D18" s="224"/>
    </row>
    <row r="19" spans="1:4" ht="12.75">
      <c r="A19" s="226"/>
      <c r="B19" s="226"/>
      <c r="C19" s="224"/>
      <c r="D19" s="224"/>
    </row>
    <row r="20" ht="12.75">
      <c r="C20" s="151"/>
    </row>
    <row r="21" spans="1:4" ht="12.75">
      <c r="A21" s="120" t="s">
        <v>194</v>
      </c>
      <c r="B21" s="120" t="s">
        <v>110</v>
      </c>
      <c r="C21" s="149" t="s">
        <v>111</v>
      </c>
      <c r="D21" s="120" t="s">
        <v>243</v>
      </c>
    </row>
    <row r="22" spans="1:4" ht="12.75">
      <c r="A22" s="120">
        <v>1</v>
      </c>
      <c r="B22" s="120">
        <v>2</v>
      </c>
      <c r="C22" s="149">
        <v>3</v>
      </c>
      <c r="D22" s="120">
        <v>4</v>
      </c>
    </row>
    <row r="23" spans="1:4" ht="76.5">
      <c r="A23" s="120">
        <v>1</v>
      </c>
      <c r="B23" s="148" t="s">
        <v>301</v>
      </c>
      <c r="C23" s="149"/>
      <c r="D23" s="127">
        <v>158779</v>
      </c>
    </row>
    <row r="24" spans="1:4" ht="12.75">
      <c r="A24" s="222" t="s">
        <v>288</v>
      </c>
      <c r="B24" s="223"/>
      <c r="C24" s="141" t="s">
        <v>21</v>
      </c>
      <c r="D24" s="128">
        <f>SUM(D23:Q23)</f>
        <v>158779</v>
      </c>
    </row>
    <row r="26" spans="1:4" ht="12.75">
      <c r="A26" s="226" t="s">
        <v>107</v>
      </c>
      <c r="B26" s="226"/>
      <c r="C26" s="224" t="s">
        <v>314</v>
      </c>
      <c r="D26" s="224"/>
    </row>
    <row r="27" spans="1:4" ht="12.75">
      <c r="A27" s="226"/>
      <c r="B27" s="226"/>
      <c r="C27" s="224"/>
      <c r="D27" s="224"/>
    </row>
    <row r="28" ht="12.75">
      <c r="C28" s="151"/>
    </row>
    <row r="29" spans="1:4" ht="12.75">
      <c r="A29" s="120" t="s">
        <v>194</v>
      </c>
      <c r="B29" s="120" t="s">
        <v>110</v>
      </c>
      <c r="C29" s="149" t="s">
        <v>111</v>
      </c>
      <c r="D29" s="120" t="s">
        <v>243</v>
      </c>
    </row>
    <row r="30" spans="1:4" ht="12.75">
      <c r="A30" s="120">
        <v>1</v>
      </c>
      <c r="B30" s="120">
        <v>2</v>
      </c>
      <c r="C30" s="149">
        <v>3</v>
      </c>
      <c r="D30" s="120">
        <v>4</v>
      </c>
    </row>
    <row r="31" spans="1:6" ht="76.5">
      <c r="A31" s="120">
        <v>1</v>
      </c>
      <c r="B31" s="148" t="s">
        <v>304</v>
      </c>
      <c r="C31" s="149"/>
      <c r="D31" s="127">
        <v>43617.1</v>
      </c>
      <c r="F31" s="144" t="s">
        <v>339</v>
      </c>
    </row>
    <row r="32" spans="1:4" ht="12.75">
      <c r="A32" s="222" t="s">
        <v>288</v>
      </c>
      <c r="B32" s="223"/>
      <c r="C32" s="141" t="s">
        <v>21</v>
      </c>
      <c r="D32" s="128">
        <f>SUM(D31:D31)</f>
        <v>43617.1</v>
      </c>
    </row>
    <row r="34" spans="1:4" ht="12.75">
      <c r="A34" s="226" t="s">
        <v>107</v>
      </c>
      <c r="B34" s="226"/>
      <c r="C34" s="224" t="s">
        <v>315</v>
      </c>
      <c r="D34" s="224"/>
    </row>
    <row r="35" spans="1:4" ht="12.75">
      <c r="A35" s="226"/>
      <c r="B35" s="226"/>
      <c r="C35" s="224"/>
      <c r="D35" s="224"/>
    </row>
    <row r="36" ht="12.75">
      <c r="C36" s="151"/>
    </row>
    <row r="37" spans="1:4" ht="12.75">
      <c r="A37" s="120" t="s">
        <v>194</v>
      </c>
      <c r="B37" s="120" t="s">
        <v>110</v>
      </c>
      <c r="C37" s="149" t="s">
        <v>111</v>
      </c>
      <c r="D37" s="120" t="s">
        <v>243</v>
      </c>
    </row>
    <row r="38" spans="1:4" ht="12.75">
      <c r="A38" s="120">
        <v>1</v>
      </c>
      <c r="B38" s="120">
        <v>2</v>
      </c>
      <c r="C38" s="149">
        <v>3</v>
      </c>
      <c r="D38" s="120">
        <v>4</v>
      </c>
    </row>
    <row r="39" spans="1:4" ht="76.5">
      <c r="A39" s="120">
        <v>1</v>
      </c>
      <c r="B39" s="148" t="s">
        <v>306</v>
      </c>
      <c r="C39" s="149"/>
      <c r="D39" s="127"/>
    </row>
    <row r="40" spans="1:4" ht="15" customHeight="1">
      <c r="A40" s="222" t="s">
        <v>288</v>
      </c>
      <c r="B40" s="223"/>
      <c r="C40" s="141" t="s">
        <v>21</v>
      </c>
      <c r="D40" s="128">
        <f>SUM(D39:Q39)</f>
        <v>0</v>
      </c>
    </row>
    <row r="42" spans="1:4" ht="12.75">
      <c r="A42" s="226" t="s">
        <v>107</v>
      </c>
      <c r="B42" s="226"/>
      <c r="C42" s="224" t="s">
        <v>316</v>
      </c>
      <c r="D42" s="224"/>
    </row>
    <row r="43" spans="1:4" ht="12.75">
      <c r="A43" s="226"/>
      <c r="B43" s="226"/>
      <c r="C43" s="224"/>
      <c r="D43" s="224"/>
    </row>
    <row r="44" ht="12.75">
      <c r="C44" s="151"/>
    </row>
    <row r="45" spans="1:4" ht="12.75">
      <c r="A45" s="120" t="s">
        <v>194</v>
      </c>
      <c r="B45" s="120" t="s">
        <v>110</v>
      </c>
      <c r="C45" s="149" t="s">
        <v>111</v>
      </c>
      <c r="D45" s="120" t="s">
        <v>243</v>
      </c>
    </row>
    <row r="46" spans="1:4" ht="12.75">
      <c r="A46" s="120">
        <v>1</v>
      </c>
      <c r="B46" s="120">
        <v>2</v>
      </c>
      <c r="C46" s="149">
        <v>3</v>
      </c>
      <c r="D46" s="120">
        <v>4</v>
      </c>
    </row>
    <row r="47" spans="1:4" ht="102">
      <c r="A47" s="120">
        <v>1</v>
      </c>
      <c r="B47" s="148" t="s">
        <v>308</v>
      </c>
      <c r="C47" s="150"/>
      <c r="D47" s="127">
        <v>18305</v>
      </c>
    </row>
    <row r="48" spans="1:4" ht="12.75">
      <c r="A48" s="222" t="s">
        <v>288</v>
      </c>
      <c r="B48" s="223"/>
      <c r="C48" s="141" t="s">
        <v>21</v>
      </c>
      <c r="D48" s="128">
        <f>SUM(D47:Q47)</f>
        <v>18305</v>
      </c>
    </row>
    <row r="50" spans="1:4" ht="12.75">
      <c r="A50" s="226" t="s">
        <v>107</v>
      </c>
      <c r="B50" s="226"/>
      <c r="C50" s="224" t="s">
        <v>351</v>
      </c>
      <c r="D50" s="224"/>
    </row>
    <row r="51" spans="1:4" ht="12.75">
      <c r="A51" s="226"/>
      <c r="B51" s="226"/>
      <c r="C51" s="224"/>
      <c r="D51" s="224"/>
    </row>
    <row r="52" ht="12.75">
      <c r="C52" s="151"/>
    </row>
    <row r="53" spans="1:4" ht="12.75">
      <c r="A53" s="120" t="s">
        <v>194</v>
      </c>
      <c r="B53" s="120" t="s">
        <v>110</v>
      </c>
      <c r="C53" s="149" t="s">
        <v>111</v>
      </c>
      <c r="D53" s="120" t="s">
        <v>243</v>
      </c>
    </row>
    <row r="54" spans="1:4" ht="12.75">
      <c r="A54" s="120">
        <v>1</v>
      </c>
      <c r="B54" s="120">
        <v>2</v>
      </c>
      <c r="C54" s="149">
        <v>3</v>
      </c>
      <c r="D54" s="120">
        <v>4</v>
      </c>
    </row>
    <row r="55" spans="1:4" ht="178.5">
      <c r="A55" s="120">
        <v>1</v>
      </c>
      <c r="B55" s="148" t="s">
        <v>310</v>
      </c>
      <c r="C55" s="150"/>
      <c r="D55" s="127">
        <v>22580.2</v>
      </c>
    </row>
    <row r="56" spans="1:4" ht="12.75">
      <c r="A56" s="222" t="s">
        <v>288</v>
      </c>
      <c r="B56" s="223"/>
      <c r="C56" s="141" t="s">
        <v>21</v>
      </c>
      <c r="D56" s="128">
        <f>SUM(D55:Q55)</f>
        <v>22580.2</v>
      </c>
    </row>
    <row r="57" spans="1:4" ht="12.75">
      <c r="A57" s="125"/>
      <c r="B57" s="125"/>
      <c r="C57" s="125"/>
      <c r="D57" s="131"/>
    </row>
    <row r="58" spans="1:4" ht="12.75">
      <c r="A58" s="226" t="s">
        <v>107</v>
      </c>
      <c r="B58" s="226"/>
      <c r="C58" s="224" t="s">
        <v>354</v>
      </c>
      <c r="D58" s="224"/>
    </row>
    <row r="59" spans="1:4" ht="12.75">
      <c r="A59" s="226"/>
      <c r="B59" s="226"/>
      <c r="C59" s="224"/>
      <c r="D59" s="224"/>
    </row>
    <row r="60" ht="12.75">
      <c r="C60" s="151"/>
    </row>
    <row r="61" spans="1:4" ht="12.75">
      <c r="A61" s="120" t="s">
        <v>194</v>
      </c>
      <c r="B61" s="120" t="s">
        <v>110</v>
      </c>
      <c r="C61" s="149" t="s">
        <v>111</v>
      </c>
      <c r="D61" s="120" t="s">
        <v>243</v>
      </c>
    </row>
    <row r="62" spans="1:4" ht="12.75">
      <c r="A62" s="120">
        <v>1</v>
      </c>
      <c r="B62" s="120">
        <v>2</v>
      </c>
      <c r="C62" s="149">
        <v>3</v>
      </c>
      <c r="D62" s="120">
        <v>4</v>
      </c>
    </row>
    <row r="63" spans="1:4" ht="178.5">
      <c r="A63" s="120">
        <v>1</v>
      </c>
      <c r="B63" s="148" t="s">
        <v>340</v>
      </c>
      <c r="C63" s="149"/>
      <c r="D63" s="127">
        <f>6327.6+4050-1120</f>
        <v>9257.6</v>
      </c>
    </row>
    <row r="64" spans="1:4" ht="12.75">
      <c r="A64" s="222" t="s">
        <v>288</v>
      </c>
      <c r="B64" s="223"/>
      <c r="C64" s="141" t="s">
        <v>21</v>
      </c>
      <c r="D64" s="128">
        <f>SUM(D63:Q63)</f>
        <v>9257.6</v>
      </c>
    </row>
    <row r="66" spans="1:4" ht="12.75">
      <c r="A66" s="226" t="s">
        <v>107</v>
      </c>
      <c r="B66" s="226"/>
      <c r="C66" s="224" t="s">
        <v>317</v>
      </c>
      <c r="D66" s="224"/>
    </row>
    <row r="67" spans="1:4" ht="12.75">
      <c r="A67" s="226"/>
      <c r="B67" s="226"/>
      <c r="C67" s="224"/>
      <c r="D67" s="224"/>
    </row>
    <row r="68" ht="12.75">
      <c r="C68" s="151"/>
    </row>
    <row r="69" spans="1:4" ht="12.75">
      <c r="A69" s="120" t="s">
        <v>194</v>
      </c>
      <c r="B69" s="120" t="s">
        <v>110</v>
      </c>
      <c r="C69" s="149" t="s">
        <v>111</v>
      </c>
      <c r="D69" s="120" t="s">
        <v>243</v>
      </c>
    </row>
    <row r="70" spans="1:4" ht="12.75">
      <c r="A70" s="120">
        <v>1</v>
      </c>
      <c r="B70" s="120">
        <v>2</v>
      </c>
      <c r="C70" s="149">
        <v>3</v>
      </c>
      <c r="D70" s="120">
        <v>4</v>
      </c>
    </row>
    <row r="71" spans="1:4" ht="89.25">
      <c r="A71" s="120">
        <v>1</v>
      </c>
      <c r="B71" s="148" t="s">
        <v>312</v>
      </c>
      <c r="C71" s="149"/>
      <c r="D71" s="127">
        <v>434382.44</v>
      </c>
    </row>
    <row r="72" spans="1:4" ht="12.75">
      <c r="A72" s="222" t="s">
        <v>288</v>
      </c>
      <c r="B72" s="223"/>
      <c r="C72" s="152" t="s">
        <v>21</v>
      </c>
      <c r="D72" s="128">
        <f>SUM(D71:Q71)</f>
        <v>434382.44</v>
      </c>
    </row>
    <row r="74" spans="1:4" ht="12.75">
      <c r="A74" s="124" t="s">
        <v>107</v>
      </c>
      <c r="B74" s="124"/>
      <c r="C74" s="123" t="s">
        <v>352</v>
      </c>
      <c r="D74" s="123"/>
    </row>
    <row r="75" spans="1:4" ht="12.75">
      <c r="A75" s="142"/>
      <c r="B75" s="142"/>
      <c r="C75" s="142"/>
      <c r="D75" s="142"/>
    </row>
    <row r="76" spans="1:4" ht="12.75">
      <c r="A76" s="120" t="s">
        <v>194</v>
      </c>
      <c r="B76" s="120" t="s">
        <v>110</v>
      </c>
      <c r="C76" s="120" t="s">
        <v>111</v>
      </c>
      <c r="D76" s="120" t="s">
        <v>286</v>
      </c>
    </row>
    <row r="77" spans="1:4" ht="12.75">
      <c r="A77" s="120">
        <v>1</v>
      </c>
      <c r="B77" s="120">
        <v>2</v>
      </c>
      <c r="C77" s="120">
        <v>3</v>
      </c>
      <c r="D77" s="120">
        <v>4</v>
      </c>
    </row>
    <row r="78" spans="1:4" ht="38.25">
      <c r="A78" s="120">
        <v>1</v>
      </c>
      <c r="B78" s="148" t="s">
        <v>344</v>
      </c>
      <c r="C78" s="120"/>
      <c r="D78" s="127">
        <v>25560</v>
      </c>
    </row>
    <row r="79" spans="1:4" ht="12.75">
      <c r="A79" s="222" t="s">
        <v>288</v>
      </c>
      <c r="B79" s="223"/>
      <c r="C79" s="143" t="s">
        <v>21</v>
      </c>
      <c r="D79" s="126">
        <f>SUM(D78:Q78)</f>
        <v>25560</v>
      </c>
    </row>
    <row r="81" spans="1:4" ht="30" customHeight="1">
      <c r="A81" s="195" t="s">
        <v>107</v>
      </c>
      <c r="B81" s="195"/>
      <c r="C81" s="199" t="s">
        <v>362</v>
      </c>
      <c r="D81" s="199"/>
    </row>
    <row r="82" spans="1:4" ht="15">
      <c r="A82" s="153"/>
      <c r="B82" s="111"/>
      <c r="C82" s="111"/>
      <c r="D82" s="87"/>
    </row>
    <row r="83" spans="1:4" ht="12.75">
      <c r="A83" s="68" t="s">
        <v>194</v>
      </c>
      <c r="B83" s="68" t="s">
        <v>110</v>
      </c>
      <c r="C83" s="68" t="s">
        <v>111</v>
      </c>
      <c r="D83" s="68" t="s">
        <v>286</v>
      </c>
    </row>
    <row r="84" spans="1:4" ht="12.75">
      <c r="A84" s="68">
        <v>1</v>
      </c>
      <c r="B84" s="68">
        <v>2</v>
      </c>
      <c r="C84" s="68">
        <v>3</v>
      </c>
      <c r="D84" s="68">
        <v>4</v>
      </c>
    </row>
    <row r="85" spans="1:4" ht="191.25">
      <c r="A85" s="68">
        <v>1</v>
      </c>
      <c r="B85" s="106" t="s">
        <v>357</v>
      </c>
      <c r="C85" s="68"/>
      <c r="D85" s="90">
        <v>15484.54</v>
      </c>
    </row>
    <row r="86" spans="1:4" ht="12.75">
      <c r="A86" s="63"/>
      <c r="B86" s="101" t="s">
        <v>109</v>
      </c>
      <c r="C86" s="68" t="s">
        <v>21</v>
      </c>
      <c r="D86" s="90">
        <f>SUM(D85)</f>
        <v>15484.54</v>
      </c>
    </row>
    <row r="88" spans="1:4" ht="12.75">
      <c r="A88" s="142" t="s">
        <v>107</v>
      </c>
      <c r="B88" s="142"/>
      <c r="C88" s="123" t="s">
        <v>364</v>
      </c>
      <c r="D88" s="123"/>
    </row>
    <row r="89" spans="1:4" ht="12.75">
      <c r="A89" s="125"/>
      <c r="B89" s="125"/>
      <c r="C89" s="125"/>
      <c r="D89" s="125"/>
    </row>
    <row r="90" spans="1:4" ht="12.75">
      <c r="A90" s="120" t="s">
        <v>194</v>
      </c>
      <c r="B90" s="120" t="s">
        <v>110</v>
      </c>
      <c r="C90" s="149" t="s">
        <v>111</v>
      </c>
      <c r="D90" s="119" t="s">
        <v>286</v>
      </c>
    </row>
    <row r="91" spans="1:4" ht="12.75">
      <c r="A91" s="120">
        <v>1</v>
      </c>
      <c r="B91" s="120">
        <v>2</v>
      </c>
      <c r="C91" s="149">
        <v>3</v>
      </c>
      <c r="D91" s="120">
        <v>4</v>
      </c>
    </row>
    <row r="92" spans="1:4" ht="63.75">
      <c r="A92" s="120">
        <v>1</v>
      </c>
      <c r="B92" s="148" t="s">
        <v>342</v>
      </c>
      <c r="C92" s="150"/>
      <c r="D92" s="127">
        <v>27126</v>
      </c>
    </row>
    <row r="93" spans="1:4" ht="12.75">
      <c r="A93" s="222" t="s">
        <v>288</v>
      </c>
      <c r="B93" s="223"/>
      <c r="C93" s="141" t="s">
        <v>21</v>
      </c>
      <c r="D93" s="128">
        <f>SUM(D92:Q92)</f>
        <v>27126</v>
      </c>
    </row>
    <row r="95" spans="1:4" ht="12.75">
      <c r="A95" s="142" t="s">
        <v>107</v>
      </c>
      <c r="B95" s="142"/>
      <c r="C95" s="123" t="s">
        <v>365</v>
      </c>
      <c r="D95" s="123"/>
    </row>
    <row r="96" spans="1:4" ht="12.75">
      <c r="A96" s="125"/>
      <c r="B96" s="125"/>
      <c r="C96" s="125"/>
      <c r="D96" s="125"/>
    </row>
    <row r="97" spans="1:4" ht="12.75">
      <c r="A97" s="120" t="s">
        <v>194</v>
      </c>
      <c r="B97" s="120" t="s">
        <v>110</v>
      </c>
      <c r="C97" s="149" t="s">
        <v>111</v>
      </c>
      <c r="D97" s="119" t="s">
        <v>286</v>
      </c>
    </row>
    <row r="98" spans="1:4" ht="12.75">
      <c r="A98" s="120">
        <v>1</v>
      </c>
      <c r="B98" s="120">
        <v>2</v>
      </c>
      <c r="C98" s="149">
        <v>3</v>
      </c>
      <c r="D98" s="120">
        <v>4</v>
      </c>
    </row>
    <row r="99" spans="1:4" ht="216.75">
      <c r="A99" s="120">
        <v>1</v>
      </c>
      <c r="B99" s="148" t="s">
        <v>358</v>
      </c>
      <c r="C99" s="150"/>
      <c r="D99" s="127">
        <v>19580</v>
      </c>
    </row>
    <row r="100" spans="1:4" ht="12.75">
      <c r="A100" s="222" t="s">
        <v>288</v>
      </c>
      <c r="B100" s="223"/>
      <c r="C100" s="141" t="s">
        <v>21</v>
      </c>
      <c r="D100" s="128">
        <f>SUM(D99:Q99)</f>
        <v>19580</v>
      </c>
    </row>
    <row r="102" spans="1:4" ht="12.75">
      <c r="A102" s="142" t="s">
        <v>107</v>
      </c>
      <c r="B102" s="142"/>
      <c r="C102" s="123" t="s">
        <v>386</v>
      </c>
      <c r="D102" s="123"/>
    </row>
    <row r="103" spans="1:4" ht="12.75">
      <c r="A103" s="125"/>
      <c r="B103" s="125"/>
      <c r="C103" s="125"/>
      <c r="D103" s="125"/>
    </row>
    <row r="104" spans="1:4" ht="12.75">
      <c r="A104" s="120" t="s">
        <v>194</v>
      </c>
      <c r="B104" s="120" t="s">
        <v>110</v>
      </c>
      <c r="C104" s="149" t="s">
        <v>111</v>
      </c>
      <c r="D104" s="119" t="s">
        <v>286</v>
      </c>
    </row>
    <row r="105" spans="1:4" ht="12.75">
      <c r="A105" s="120">
        <v>1</v>
      </c>
      <c r="B105" s="120">
        <v>2</v>
      </c>
      <c r="C105" s="149">
        <v>3</v>
      </c>
      <c r="D105" s="120">
        <v>4</v>
      </c>
    </row>
    <row r="106" spans="1:4" ht="25.5">
      <c r="A106" s="120">
        <v>1</v>
      </c>
      <c r="B106" s="148" t="s">
        <v>387</v>
      </c>
      <c r="C106" s="150"/>
      <c r="D106" s="127">
        <v>6760</v>
      </c>
    </row>
    <row r="107" spans="1:4" ht="12.75">
      <c r="A107" s="222" t="s">
        <v>288</v>
      </c>
      <c r="B107" s="223"/>
      <c r="C107" s="141" t="s">
        <v>21</v>
      </c>
      <c r="D107" s="128">
        <f>SUM(D106:Q106)</f>
        <v>6760</v>
      </c>
    </row>
    <row r="109" spans="1:4" ht="12.75">
      <c r="A109" s="142" t="s">
        <v>107</v>
      </c>
      <c r="B109" s="142"/>
      <c r="C109" s="123" t="s">
        <v>388</v>
      </c>
      <c r="D109" s="123"/>
    </row>
    <row r="110" spans="1:4" ht="12.75">
      <c r="A110" s="125"/>
      <c r="B110" s="125"/>
      <c r="C110" s="125"/>
      <c r="D110" s="125"/>
    </row>
    <row r="111" spans="1:4" ht="12.75">
      <c r="A111" s="120" t="s">
        <v>194</v>
      </c>
      <c r="B111" s="120" t="s">
        <v>110</v>
      </c>
      <c r="C111" s="149" t="s">
        <v>111</v>
      </c>
      <c r="D111" s="119" t="s">
        <v>286</v>
      </c>
    </row>
    <row r="112" spans="1:4" ht="12.75">
      <c r="A112" s="120">
        <v>1</v>
      </c>
      <c r="B112" s="120">
        <v>2</v>
      </c>
      <c r="C112" s="149">
        <v>3</v>
      </c>
      <c r="D112" s="120">
        <v>4</v>
      </c>
    </row>
    <row r="113" spans="1:4" ht="25.5">
      <c r="A113" s="120">
        <v>1</v>
      </c>
      <c r="B113" s="148" t="s">
        <v>387</v>
      </c>
      <c r="C113" s="150"/>
      <c r="D113" s="127">
        <v>2041.52</v>
      </c>
    </row>
    <row r="114" spans="1:4" ht="12.75">
      <c r="A114" s="222" t="s">
        <v>288</v>
      </c>
      <c r="B114" s="223"/>
      <c r="C114" s="141" t="s">
        <v>21</v>
      </c>
      <c r="D114" s="128">
        <f>SUM(D113:Q113)</f>
        <v>2041.52</v>
      </c>
    </row>
  </sheetData>
  <sheetProtection/>
  <mergeCells count="31">
    <mergeCell ref="A79:B79"/>
    <mergeCell ref="A24:B24"/>
    <mergeCell ref="A32:B32"/>
    <mergeCell ref="A48:B48"/>
    <mergeCell ref="A40:B40"/>
    <mergeCell ref="A56:B56"/>
    <mergeCell ref="A64:B64"/>
    <mergeCell ref="A72:B72"/>
    <mergeCell ref="A66:B67"/>
    <mergeCell ref="C66:D67"/>
    <mergeCell ref="A34:B35"/>
    <mergeCell ref="C34:D35"/>
    <mergeCell ref="A42:B43"/>
    <mergeCell ref="A8:B8"/>
    <mergeCell ref="A16:B16"/>
    <mergeCell ref="C42:D43"/>
    <mergeCell ref="A50:B51"/>
    <mergeCell ref="C50:D51"/>
    <mergeCell ref="A58:B59"/>
    <mergeCell ref="C58:D59"/>
    <mergeCell ref="A1:D1"/>
    <mergeCell ref="C18:D19"/>
    <mergeCell ref="A18:B19"/>
    <mergeCell ref="A26:B27"/>
    <mergeCell ref="C26:D27"/>
    <mergeCell ref="A107:B107"/>
    <mergeCell ref="A114:B114"/>
    <mergeCell ref="A81:B81"/>
    <mergeCell ref="C81:D81"/>
    <mergeCell ref="A93:B93"/>
    <mergeCell ref="A100:B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82.7109375" style="79" bestFit="1" customWidth="1"/>
    <col min="2" max="16384" width="9.140625" style="79" customWidth="1"/>
  </cols>
  <sheetData>
    <row r="1" ht="17.25">
      <c r="A1" s="78" t="s">
        <v>142</v>
      </c>
    </row>
    <row r="3" ht="18">
      <c r="A3" s="79" t="s">
        <v>125</v>
      </c>
    </row>
    <row r="5" ht="18">
      <c r="A5" s="79" t="s">
        <v>126</v>
      </c>
    </row>
    <row r="6" ht="15">
      <c r="A6" s="79" t="s">
        <v>121</v>
      </c>
    </row>
    <row r="7" ht="15">
      <c r="A7" s="79" t="s">
        <v>122</v>
      </c>
    </row>
    <row r="8" ht="15">
      <c r="A8" s="79" t="s">
        <v>123</v>
      </c>
    </row>
    <row r="9" ht="15">
      <c r="A9" s="79" t="s">
        <v>127</v>
      </c>
    </row>
    <row r="10" ht="15">
      <c r="A10" s="79" t="s">
        <v>128</v>
      </c>
    </row>
    <row r="11" ht="15">
      <c r="A11" s="79" t="s">
        <v>124</v>
      </c>
    </row>
    <row r="13" ht="18">
      <c r="A13" s="79" t="s">
        <v>129</v>
      </c>
    </row>
    <row r="14" ht="15">
      <c r="A14" s="79" t="s">
        <v>130</v>
      </c>
    </row>
    <row r="16" ht="18">
      <c r="A16" s="79" t="s">
        <v>132</v>
      </c>
    </row>
    <row r="17" ht="15">
      <c r="A17" s="79" t="s">
        <v>131</v>
      </c>
    </row>
    <row r="19" ht="18">
      <c r="A19" s="79" t="s">
        <v>133</v>
      </c>
    </row>
    <row r="20" ht="15">
      <c r="A20" s="79" t="s">
        <v>134</v>
      </c>
    </row>
    <row r="21" ht="15">
      <c r="A21" s="79" t="s">
        <v>135</v>
      </c>
    </row>
    <row r="23" ht="18">
      <c r="A23" s="79" t="s">
        <v>136</v>
      </c>
    </row>
    <row r="24" ht="15">
      <c r="A24" s="79" t="s">
        <v>137</v>
      </c>
    </row>
    <row r="26" ht="18">
      <c r="A26" s="79" t="s">
        <v>138</v>
      </c>
    </row>
    <row r="28" ht="18">
      <c r="A28" s="79" t="s">
        <v>139</v>
      </c>
    </row>
    <row r="29" ht="15">
      <c r="A29" s="79" t="s">
        <v>140</v>
      </c>
    </row>
    <row r="30" ht="15">
      <c r="A30" s="79" t="s">
        <v>141</v>
      </c>
    </row>
    <row r="32" ht="18">
      <c r="A32" s="79" t="s">
        <v>143</v>
      </c>
    </row>
    <row r="33" ht="15">
      <c r="A33" s="79" t="s">
        <v>144</v>
      </c>
    </row>
    <row r="35" ht="18">
      <c r="A35" s="79" t="s">
        <v>150</v>
      </c>
    </row>
    <row r="36" ht="15">
      <c r="A36" s="79" t="s">
        <v>145</v>
      </c>
    </row>
    <row r="37" ht="15">
      <c r="A37" s="79" t="s">
        <v>146</v>
      </c>
    </row>
    <row r="38" ht="15">
      <c r="A38" s="79" t="s">
        <v>147</v>
      </c>
    </row>
    <row r="39" ht="15">
      <c r="A39" s="79" t="s">
        <v>148</v>
      </c>
    </row>
    <row r="40" ht="15">
      <c r="A40" s="79" t="s">
        <v>149</v>
      </c>
    </row>
    <row r="42" ht="18">
      <c r="A42" s="79" t="s">
        <v>151</v>
      </c>
    </row>
    <row r="43" ht="15">
      <c r="A43" s="79" t="s">
        <v>152</v>
      </c>
    </row>
    <row r="45" ht="18">
      <c r="A45" s="79" t="s">
        <v>153</v>
      </c>
    </row>
    <row r="47" ht="18.75">
      <c r="A47" s="79" t="s">
        <v>154</v>
      </c>
    </row>
    <row r="49" ht="17.25">
      <c r="A49" s="78" t="s">
        <v>155</v>
      </c>
    </row>
    <row r="51" ht="18">
      <c r="A51" s="79" t="s">
        <v>156</v>
      </c>
    </row>
    <row r="52" ht="15">
      <c r="A52" s="79" t="s">
        <v>157</v>
      </c>
    </row>
    <row r="53" ht="15">
      <c r="A53" s="79" t="s">
        <v>158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view="pageBreakPreview" zoomScale="70" zoomScaleNormal="85" zoomScaleSheetLayoutView="70" zoomScalePageLayoutView="0" workbookViewId="0" topLeftCell="A158">
      <selection activeCell="E156" sqref="E156"/>
    </sheetView>
  </sheetViews>
  <sheetFormatPr defaultColWidth="9.140625" defaultRowHeight="15"/>
  <cols>
    <col min="1" max="1" width="42.00390625" style="83" customWidth="1"/>
    <col min="2" max="2" width="9.140625" style="38" customWidth="1"/>
    <col min="3" max="3" width="15.8515625" style="38" customWidth="1"/>
    <col min="4" max="4" width="7.57421875" style="38" customWidth="1"/>
    <col min="5" max="8" width="18.00390625" style="38" customWidth="1"/>
    <col min="9" max="9" width="17.8515625" style="82" customWidth="1"/>
    <col min="10" max="10" width="13.7109375" style="83" customWidth="1"/>
    <col min="11" max="11" width="11.421875" style="83" bestFit="1" customWidth="1"/>
    <col min="12" max="12" width="12.7109375" style="83" bestFit="1" customWidth="1"/>
    <col min="13" max="13" width="12.421875" style="83" bestFit="1" customWidth="1"/>
    <col min="14" max="17" width="9.140625" style="83" customWidth="1"/>
    <col min="18" max="18" width="12.00390625" style="83" bestFit="1" customWidth="1"/>
    <col min="19" max="16384" width="9.140625" style="83" customWidth="1"/>
  </cols>
  <sheetData>
    <row r="1" spans="1:5" ht="18.75">
      <c r="A1" s="37" t="s">
        <v>16</v>
      </c>
      <c r="B1" s="37"/>
      <c r="C1" s="37"/>
      <c r="D1" s="37"/>
      <c r="E1" s="37"/>
    </row>
    <row r="2" spans="1:9" s="40" customFormat="1" ht="15.75">
      <c r="A2" s="183" t="s">
        <v>17</v>
      </c>
      <c r="B2" s="183" t="s">
        <v>18</v>
      </c>
      <c r="C2" s="182" t="s">
        <v>182</v>
      </c>
      <c r="D2" s="182" t="s">
        <v>183</v>
      </c>
      <c r="E2" s="183" t="s">
        <v>19</v>
      </c>
      <c r="F2" s="183"/>
      <c r="G2" s="183"/>
      <c r="H2" s="183"/>
      <c r="I2" s="39"/>
    </row>
    <row r="3" spans="1:9" s="40" customFormat="1" ht="63">
      <c r="A3" s="183"/>
      <c r="B3" s="183"/>
      <c r="C3" s="182"/>
      <c r="D3" s="182"/>
      <c r="E3" s="9" t="s">
        <v>268</v>
      </c>
      <c r="F3" s="9" t="s">
        <v>269</v>
      </c>
      <c r="G3" s="9" t="s">
        <v>270</v>
      </c>
      <c r="H3" s="9" t="s">
        <v>20</v>
      </c>
      <c r="I3" s="39"/>
    </row>
    <row r="4" spans="1:9" s="38" customFormat="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41"/>
    </row>
    <row r="5" spans="1:8" ht="32.25">
      <c r="A5" s="42" t="s">
        <v>184</v>
      </c>
      <c r="B5" s="9">
        <v>1</v>
      </c>
      <c r="C5" s="9" t="s">
        <v>21</v>
      </c>
      <c r="D5" s="9" t="s">
        <v>21</v>
      </c>
      <c r="E5" s="31">
        <f>49799.24+7233+462126.39</f>
        <v>519158.63</v>
      </c>
      <c r="F5" s="31">
        <v>0</v>
      </c>
      <c r="G5" s="31">
        <v>0</v>
      </c>
      <c r="H5" s="9"/>
    </row>
    <row r="6" spans="1:8" ht="32.25">
      <c r="A6" s="42" t="s">
        <v>185</v>
      </c>
      <c r="B6" s="9">
        <v>2</v>
      </c>
      <c r="C6" s="9" t="s">
        <v>21</v>
      </c>
      <c r="D6" s="9" t="s">
        <v>21</v>
      </c>
      <c r="E6" s="31">
        <f>E5+E7+E42-E45-E178</f>
        <v>1.0477378964424133E-09</v>
      </c>
      <c r="F6" s="31">
        <v>-0.0017249993979930878</v>
      </c>
      <c r="G6" s="31">
        <v>-0.0017249993979930878</v>
      </c>
      <c r="H6" s="9"/>
    </row>
    <row r="7" spans="1:9" s="44" customFormat="1" ht="16.5" thickBot="1">
      <c r="A7" s="24" t="s">
        <v>22</v>
      </c>
      <c r="B7" s="25">
        <v>1000</v>
      </c>
      <c r="C7" s="25"/>
      <c r="D7" s="25"/>
      <c r="E7" s="32">
        <f>E9+E11+E17+E19+E21</f>
        <v>12163416.96</v>
      </c>
      <c r="F7" s="32">
        <f>F9+F11+F17+F19+F21</f>
        <v>10703100</v>
      </c>
      <c r="G7" s="32">
        <f>G9+G11+G17+G19+G21</f>
        <v>10703100</v>
      </c>
      <c r="H7" s="32">
        <f>H9+H11+H17+H19+H21</f>
        <v>0</v>
      </c>
      <c r="I7" s="43"/>
    </row>
    <row r="8" spans="1:18" ht="16.5" thickBot="1">
      <c r="A8" s="10" t="s">
        <v>23</v>
      </c>
      <c r="B8" s="9"/>
      <c r="C8" s="9"/>
      <c r="D8" s="9"/>
      <c r="E8" s="31"/>
      <c r="F8" s="31"/>
      <c r="G8" s="31"/>
      <c r="H8" s="9"/>
      <c r="O8" s="86"/>
      <c r="R8" s="76"/>
    </row>
    <row r="9" spans="1:8" ht="15.75">
      <c r="A9" s="10" t="s">
        <v>24</v>
      </c>
      <c r="B9" s="9">
        <v>1100</v>
      </c>
      <c r="C9" s="9">
        <v>120</v>
      </c>
      <c r="D9" s="9"/>
      <c r="E9" s="31"/>
      <c r="F9" s="31"/>
      <c r="G9" s="31"/>
      <c r="H9" s="9"/>
    </row>
    <row r="10" spans="1:8" ht="15.75">
      <c r="A10" s="10" t="s">
        <v>23</v>
      </c>
      <c r="B10" s="9">
        <v>1110</v>
      </c>
      <c r="C10" s="9"/>
      <c r="D10" s="9"/>
      <c r="E10" s="31"/>
      <c r="F10" s="31"/>
      <c r="G10" s="31"/>
      <c r="H10" s="9"/>
    </row>
    <row r="11" spans="1:10" ht="31.5">
      <c r="A11" s="10" t="s">
        <v>25</v>
      </c>
      <c r="B11" s="9">
        <v>1200</v>
      </c>
      <c r="C11" s="9">
        <v>130</v>
      </c>
      <c r="D11" s="9"/>
      <c r="E11" s="31">
        <f>E13+E14+E15+E16</f>
        <v>10013653</v>
      </c>
      <c r="F11" s="31">
        <f>F13+F14+F15+F16</f>
        <v>10015100</v>
      </c>
      <c r="G11" s="31">
        <f>G13+G14+G15+G16</f>
        <v>10015100</v>
      </c>
      <c r="H11" s="9"/>
      <c r="I11" s="82" t="s">
        <v>246</v>
      </c>
      <c r="J11" s="83" t="s">
        <v>248</v>
      </c>
    </row>
    <row r="12" spans="1:11" ht="15.75">
      <c r="A12" s="10" t="s">
        <v>23</v>
      </c>
      <c r="B12" s="9"/>
      <c r="C12" s="9"/>
      <c r="D12" s="9"/>
      <c r="E12" s="31"/>
      <c r="F12" s="31"/>
      <c r="G12" s="31"/>
      <c r="H12" s="9"/>
      <c r="J12" s="76"/>
      <c r="K12" s="76"/>
    </row>
    <row r="13" spans="1:10" ht="15.75">
      <c r="A13" s="10" t="s">
        <v>26</v>
      </c>
      <c r="B13" s="9">
        <v>1210</v>
      </c>
      <c r="C13" s="35">
        <v>130</v>
      </c>
      <c r="D13" s="35"/>
      <c r="E13" s="31"/>
      <c r="F13" s="31"/>
      <c r="G13" s="31"/>
      <c r="H13" s="9"/>
      <c r="I13" s="75">
        <f>E13*0.1</f>
        <v>0</v>
      </c>
      <c r="J13" s="76">
        <f>E13-I13</f>
        <v>0</v>
      </c>
    </row>
    <row r="14" spans="1:8" ht="15.75">
      <c r="A14" s="10" t="s">
        <v>26</v>
      </c>
      <c r="B14" s="9">
        <v>1211</v>
      </c>
      <c r="C14" s="35">
        <v>180</v>
      </c>
      <c r="D14" s="35">
        <v>189</v>
      </c>
      <c r="E14" s="31">
        <v>-1447</v>
      </c>
      <c r="F14" s="31"/>
      <c r="G14" s="31"/>
      <c r="H14" s="9"/>
    </row>
    <row r="15" spans="1:13" ht="78.75">
      <c r="A15" s="10" t="s">
        <v>179</v>
      </c>
      <c r="B15" s="9">
        <v>1220</v>
      </c>
      <c r="C15" s="35">
        <v>130</v>
      </c>
      <c r="D15" s="35">
        <v>131</v>
      </c>
      <c r="E15" s="36">
        <v>2431300</v>
      </c>
      <c r="F15" s="36">
        <f>E15</f>
        <v>2431300</v>
      </c>
      <c r="G15" s="36">
        <f>F15</f>
        <v>2431300</v>
      </c>
      <c r="H15" s="9"/>
      <c r="I15" s="75" t="s">
        <v>246</v>
      </c>
      <c r="J15" s="75" t="s">
        <v>247</v>
      </c>
      <c r="K15" s="100">
        <v>266</v>
      </c>
      <c r="L15" s="83">
        <v>211</v>
      </c>
      <c r="M15" s="83">
        <v>213</v>
      </c>
    </row>
    <row r="16" spans="1:14" ht="78.75">
      <c r="A16" s="10" t="s">
        <v>178</v>
      </c>
      <c r="B16" s="9">
        <v>1220</v>
      </c>
      <c r="C16" s="35">
        <v>130</v>
      </c>
      <c r="D16" s="35">
        <v>131</v>
      </c>
      <c r="E16" s="36">
        <v>7583800</v>
      </c>
      <c r="F16" s="31">
        <f>E16</f>
        <v>7583800</v>
      </c>
      <c r="G16" s="31">
        <f>F16</f>
        <v>7583800</v>
      </c>
      <c r="H16" s="9"/>
      <c r="I16" s="95">
        <f>I17/J17</f>
        <v>0.04002295223066992</v>
      </c>
      <c r="J16" s="96"/>
      <c r="K16" s="96">
        <v>18000</v>
      </c>
      <c r="L16" s="97">
        <f>J19/1.302</f>
        <v>5139784.946236559</v>
      </c>
      <c r="M16" s="97">
        <f>J19-L16</f>
        <v>1552215.0537634408</v>
      </c>
      <c r="N16" s="98"/>
    </row>
    <row r="17" spans="1:14" ht="31.5">
      <c r="A17" s="10" t="s">
        <v>27</v>
      </c>
      <c r="B17" s="9">
        <v>1300</v>
      </c>
      <c r="C17" s="9">
        <v>140</v>
      </c>
      <c r="D17" s="9"/>
      <c r="E17" s="31"/>
      <c r="F17" s="31"/>
      <c r="G17" s="31"/>
      <c r="H17" s="9"/>
      <c r="I17" s="96">
        <v>279000</v>
      </c>
      <c r="J17" s="97">
        <v>6971000</v>
      </c>
      <c r="K17" s="98"/>
      <c r="L17" s="97">
        <f>ROUNDUP(L16,-3)</f>
        <v>5140000</v>
      </c>
      <c r="M17" s="97">
        <f>ROUNDUP(M16,-3)</f>
        <v>1553000</v>
      </c>
      <c r="N17" s="98"/>
    </row>
    <row r="18" spans="1:14" ht="15.75">
      <c r="A18" s="10" t="s">
        <v>23</v>
      </c>
      <c r="B18" s="9">
        <v>1310</v>
      </c>
      <c r="C18" s="9">
        <v>140</v>
      </c>
      <c r="D18" s="9"/>
      <c r="E18" s="31"/>
      <c r="F18" s="31"/>
      <c r="G18" s="31"/>
      <c r="H18" s="9"/>
      <c r="I18" s="99"/>
      <c r="J18" s="97"/>
      <c r="K18" s="98"/>
      <c r="L18" s="98"/>
      <c r="M18" s="98"/>
      <c r="N18" s="98"/>
    </row>
    <row r="19" spans="1:14" ht="31.5">
      <c r="A19" s="10" t="s">
        <v>28</v>
      </c>
      <c r="B19" s="9">
        <v>1400</v>
      </c>
      <c r="C19" s="9">
        <v>150</v>
      </c>
      <c r="D19" s="9"/>
      <c r="E19" s="31"/>
      <c r="F19" s="31"/>
      <c r="G19" s="31"/>
      <c r="H19" s="9"/>
      <c r="I19" s="99"/>
      <c r="J19" s="97">
        <f>J17-I17</f>
        <v>6692000</v>
      </c>
      <c r="K19" s="98"/>
      <c r="L19" s="98"/>
      <c r="M19" s="98"/>
      <c r="N19" s="98"/>
    </row>
    <row r="20" spans="1:8" ht="15.75">
      <c r="A20" s="10" t="s">
        <v>23</v>
      </c>
      <c r="B20" s="9"/>
      <c r="C20" s="9"/>
      <c r="D20" s="9"/>
      <c r="E20" s="31"/>
      <c r="F20" s="31"/>
      <c r="G20" s="31"/>
      <c r="H20" s="9"/>
    </row>
    <row r="21" spans="1:13" s="46" customFormat="1" ht="15.75">
      <c r="A21" s="12" t="s">
        <v>29</v>
      </c>
      <c r="B21" s="13">
        <v>1500</v>
      </c>
      <c r="C21" s="13">
        <v>150</v>
      </c>
      <c r="D21" s="13"/>
      <c r="E21" s="28">
        <f>E23+E38</f>
        <v>2149763.96</v>
      </c>
      <c r="F21" s="28">
        <f>F23+F38</f>
        <v>688000</v>
      </c>
      <c r="G21" s="28">
        <f>G23+G38</f>
        <v>688000</v>
      </c>
      <c r="H21" s="28">
        <f>H23+H38</f>
        <v>0</v>
      </c>
      <c r="I21" s="45"/>
      <c r="L21" s="46">
        <v>5319000</v>
      </c>
      <c r="M21" s="85">
        <f>J19-L21</f>
        <v>1373000</v>
      </c>
    </row>
    <row r="22" spans="1:8" ht="15.75">
      <c r="A22" s="10" t="s">
        <v>23</v>
      </c>
      <c r="B22" s="9"/>
      <c r="C22" s="9"/>
      <c r="D22" s="9"/>
      <c r="E22" s="31"/>
      <c r="F22" s="31"/>
      <c r="G22" s="31"/>
      <c r="H22" s="9"/>
    </row>
    <row r="23" spans="1:13" s="46" customFormat="1" ht="15.75">
      <c r="A23" s="12" t="s">
        <v>30</v>
      </c>
      <c r="B23" s="13">
        <v>1510</v>
      </c>
      <c r="C23" s="13">
        <v>150</v>
      </c>
      <c r="D23" s="13"/>
      <c r="E23" s="28">
        <f>SUM(E24:E37)</f>
        <v>2149763.96</v>
      </c>
      <c r="F23" s="28">
        <f>SUM(F24:F32)</f>
        <v>688000</v>
      </c>
      <c r="G23" s="28">
        <f>SUM(G24:G32)</f>
        <v>688000</v>
      </c>
      <c r="H23" s="28">
        <f>SUM(H24:H32)</f>
        <v>0</v>
      </c>
      <c r="I23" s="45"/>
      <c r="M23" s="85"/>
    </row>
    <row r="24" spans="1:10" ht="173.25">
      <c r="A24" s="10" t="s">
        <v>255</v>
      </c>
      <c r="B24" s="9">
        <v>1511</v>
      </c>
      <c r="C24" s="35">
        <f>C23</f>
        <v>150</v>
      </c>
      <c r="D24" s="35">
        <v>152</v>
      </c>
      <c r="E24" s="31">
        <v>688000</v>
      </c>
      <c r="F24" s="31">
        <f>E24</f>
        <v>688000</v>
      </c>
      <c r="G24" s="31">
        <f>E24</f>
        <v>688000</v>
      </c>
      <c r="H24" s="9"/>
      <c r="I24" s="82">
        <f>ROUND(E24/1.302,-3)</f>
        <v>528000</v>
      </c>
      <c r="J24" s="76">
        <f>E24-I24</f>
        <v>160000</v>
      </c>
    </row>
    <row r="25" spans="1:9" ht="63">
      <c r="A25" s="10" t="s">
        <v>287</v>
      </c>
      <c r="B25" s="9">
        <v>1512</v>
      </c>
      <c r="C25" s="35">
        <v>150</v>
      </c>
      <c r="D25" s="35">
        <v>152</v>
      </c>
      <c r="E25" s="31">
        <v>42000</v>
      </c>
      <c r="F25" s="31"/>
      <c r="G25" s="31"/>
      <c r="H25" s="9"/>
      <c r="I25" s="82" t="s">
        <v>299</v>
      </c>
    </row>
    <row r="26" spans="1:9" ht="47.25">
      <c r="A26" s="10" t="s">
        <v>289</v>
      </c>
      <c r="B26" s="9">
        <v>1513</v>
      </c>
      <c r="C26" s="35">
        <v>150</v>
      </c>
      <c r="D26" s="35">
        <v>152</v>
      </c>
      <c r="E26" s="31">
        <v>99008</v>
      </c>
      <c r="F26" s="31"/>
      <c r="G26" s="31"/>
      <c r="H26" s="9"/>
      <c r="I26" s="82" t="s">
        <v>300</v>
      </c>
    </row>
    <row r="27" spans="1:9" ht="63">
      <c r="A27" s="10" t="s">
        <v>301</v>
      </c>
      <c r="B27" s="9">
        <v>1514</v>
      </c>
      <c r="C27" s="35">
        <v>150</v>
      </c>
      <c r="D27" s="35">
        <v>152</v>
      </c>
      <c r="E27" s="31">
        <v>158779</v>
      </c>
      <c r="F27" s="31"/>
      <c r="G27" s="31"/>
      <c r="H27" s="9"/>
      <c r="I27" s="82" t="s">
        <v>302</v>
      </c>
    </row>
    <row r="28" spans="1:9" ht="78.75">
      <c r="A28" s="10" t="s">
        <v>304</v>
      </c>
      <c r="B28" s="9">
        <v>1515</v>
      </c>
      <c r="C28" s="35">
        <v>150</v>
      </c>
      <c r="D28" s="35">
        <v>152</v>
      </c>
      <c r="E28" s="31">
        <v>38185</v>
      </c>
      <c r="F28" s="31"/>
      <c r="G28" s="31"/>
      <c r="H28" s="9"/>
      <c r="I28" s="82" t="s">
        <v>303</v>
      </c>
    </row>
    <row r="29" spans="1:9" ht="78.75">
      <c r="A29" s="10" t="s">
        <v>306</v>
      </c>
      <c r="B29" s="9">
        <v>1516</v>
      </c>
      <c r="C29" s="35">
        <v>150</v>
      </c>
      <c r="D29" s="35">
        <v>152</v>
      </c>
      <c r="E29" s="31"/>
      <c r="F29" s="31"/>
      <c r="G29" s="31"/>
      <c r="H29" s="9"/>
      <c r="I29" s="82" t="s">
        <v>305</v>
      </c>
    </row>
    <row r="30" spans="1:9" ht="110.25">
      <c r="A30" s="10" t="s">
        <v>308</v>
      </c>
      <c r="B30" s="9">
        <v>1517</v>
      </c>
      <c r="C30" s="35">
        <v>150</v>
      </c>
      <c r="D30" s="35">
        <v>152</v>
      </c>
      <c r="E30" s="31">
        <v>18305</v>
      </c>
      <c r="F30" s="31"/>
      <c r="G30" s="31"/>
      <c r="H30" s="9"/>
      <c r="I30" s="82" t="s">
        <v>307</v>
      </c>
    </row>
    <row r="31" spans="1:9" ht="173.25">
      <c r="A31" s="10" t="s">
        <v>310</v>
      </c>
      <c r="B31" s="9">
        <v>1518</v>
      </c>
      <c r="C31" s="35">
        <v>150</v>
      </c>
      <c r="D31" s="35">
        <v>152</v>
      </c>
      <c r="E31" s="31">
        <v>31837.8</v>
      </c>
      <c r="F31" s="31"/>
      <c r="G31" s="31"/>
      <c r="H31" s="9"/>
      <c r="I31" s="82" t="s">
        <v>309</v>
      </c>
    </row>
    <row r="32" spans="1:9" ht="94.5">
      <c r="A32" s="10" t="s">
        <v>312</v>
      </c>
      <c r="B32" s="9">
        <v>1519</v>
      </c>
      <c r="C32" s="35">
        <f>C24</f>
        <v>150</v>
      </c>
      <c r="D32" s="35">
        <v>152</v>
      </c>
      <c r="E32" s="31">
        <v>434382.44</v>
      </c>
      <c r="F32" s="31"/>
      <c r="G32" s="31"/>
      <c r="H32" s="9"/>
      <c r="I32" s="82" t="s">
        <v>311</v>
      </c>
    </row>
    <row r="33" spans="1:9" ht="47.25">
      <c r="A33" s="10" t="s">
        <v>343</v>
      </c>
      <c r="B33" s="9">
        <v>1520</v>
      </c>
      <c r="C33" s="35">
        <v>150</v>
      </c>
      <c r="D33" s="35">
        <v>152</v>
      </c>
      <c r="E33" s="31">
        <f>234735.2+126590</f>
        <v>361325.2</v>
      </c>
      <c r="F33" s="31"/>
      <c r="G33" s="31"/>
      <c r="H33" s="9"/>
      <c r="I33" s="82" t="s">
        <v>335</v>
      </c>
    </row>
    <row r="34" spans="1:9" ht="47.25">
      <c r="A34" s="10" t="s">
        <v>344</v>
      </c>
      <c r="B34" s="9">
        <v>1521</v>
      </c>
      <c r="C34" s="35">
        <v>150</v>
      </c>
      <c r="D34" s="35">
        <v>152</v>
      </c>
      <c r="E34" s="31">
        <v>25560</v>
      </c>
      <c r="F34" s="31"/>
      <c r="G34" s="31"/>
      <c r="H34" s="9"/>
      <c r="I34" s="82" t="s">
        <v>345</v>
      </c>
    </row>
    <row r="35" spans="1:9" ht="235.5" customHeight="1">
      <c r="A35" s="10" t="s">
        <v>358</v>
      </c>
      <c r="B35" s="9">
        <v>1522</v>
      </c>
      <c r="C35" s="35">
        <v>150</v>
      </c>
      <c r="D35" s="35">
        <v>152</v>
      </c>
      <c r="E35" s="31">
        <v>19580</v>
      </c>
      <c r="F35" s="31"/>
      <c r="G35" s="31"/>
      <c r="H35" s="9"/>
      <c r="I35" s="82" t="s">
        <v>356</v>
      </c>
    </row>
    <row r="36" spans="1:8" ht="31.5">
      <c r="A36" s="10" t="s">
        <v>389</v>
      </c>
      <c r="B36" s="9">
        <v>1523</v>
      </c>
      <c r="C36" s="35">
        <v>150</v>
      </c>
      <c r="D36" s="35">
        <v>152</v>
      </c>
      <c r="E36" s="31">
        <v>8801.52</v>
      </c>
      <c r="F36" s="31"/>
      <c r="G36" s="31"/>
      <c r="H36" s="9"/>
    </row>
    <row r="37" spans="1:9" ht="204.75">
      <c r="A37" s="10" t="s">
        <v>357</v>
      </c>
      <c r="B37" s="9">
        <v>1524</v>
      </c>
      <c r="C37" s="35">
        <v>150</v>
      </c>
      <c r="D37" s="35">
        <v>152</v>
      </c>
      <c r="E37" s="31">
        <v>224000</v>
      </c>
      <c r="F37" s="31"/>
      <c r="G37" s="31"/>
      <c r="H37" s="9"/>
      <c r="I37" s="82" t="s">
        <v>330</v>
      </c>
    </row>
    <row r="38" spans="1:9" s="46" customFormat="1" ht="31.5">
      <c r="A38" s="12" t="s">
        <v>31</v>
      </c>
      <c r="B38" s="13">
        <v>1520</v>
      </c>
      <c r="C38" s="13">
        <v>180</v>
      </c>
      <c r="D38" s="13"/>
      <c r="E38" s="28">
        <f>SUM(E39:E39)</f>
        <v>0</v>
      </c>
      <c r="F38" s="28">
        <f>SUM(F39:F39)</f>
        <v>0</v>
      </c>
      <c r="G38" s="28">
        <f>SUM(G39:G39)</f>
        <v>0</v>
      </c>
      <c r="H38" s="28">
        <f>SUM(H39:H39)</f>
        <v>0</v>
      </c>
      <c r="I38" s="45"/>
    </row>
    <row r="39" spans="1:8" ht="47.25">
      <c r="A39" s="10" t="s">
        <v>32</v>
      </c>
      <c r="B39" s="9">
        <v>1521</v>
      </c>
      <c r="C39" s="9">
        <v>180</v>
      </c>
      <c r="D39" s="9"/>
      <c r="E39" s="31"/>
      <c r="F39" s="31"/>
      <c r="G39" s="31"/>
      <c r="H39" s="9"/>
    </row>
    <row r="40" spans="1:9" s="46" customFormat="1" ht="15.75">
      <c r="A40" s="12" t="s">
        <v>33</v>
      </c>
      <c r="B40" s="13">
        <v>1900</v>
      </c>
      <c r="C40" s="13"/>
      <c r="D40" s="13"/>
      <c r="E40" s="28">
        <f>E42</f>
        <v>0</v>
      </c>
      <c r="F40" s="28">
        <f>F42</f>
        <v>0</v>
      </c>
      <c r="G40" s="28">
        <f>G42</f>
        <v>0</v>
      </c>
      <c r="H40" s="22" t="str">
        <f>H42</f>
        <v>х</v>
      </c>
      <c r="I40" s="45"/>
    </row>
    <row r="41" spans="1:8" ht="15.75">
      <c r="A41" s="10" t="s">
        <v>23</v>
      </c>
      <c r="B41" s="9"/>
      <c r="C41" s="9"/>
      <c r="D41" s="9"/>
      <c r="E41" s="31"/>
      <c r="F41" s="31"/>
      <c r="G41" s="31"/>
      <c r="H41" s="9"/>
    </row>
    <row r="42" spans="1:9" s="46" customFormat="1" ht="17.25">
      <c r="A42" s="47" t="s">
        <v>186</v>
      </c>
      <c r="B42" s="13">
        <v>1980</v>
      </c>
      <c r="C42" s="13" t="s">
        <v>21</v>
      </c>
      <c r="D42" s="13"/>
      <c r="E42" s="28">
        <f>E44</f>
        <v>0</v>
      </c>
      <c r="F42" s="28">
        <f>F44</f>
        <v>0</v>
      </c>
      <c r="G42" s="28">
        <f>G44</f>
        <v>0</v>
      </c>
      <c r="H42" s="22" t="str">
        <f>H44</f>
        <v>х</v>
      </c>
      <c r="I42" s="45"/>
    </row>
    <row r="43" spans="1:8" ht="15.75">
      <c r="A43" s="10" t="s">
        <v>34</v>
      </c>
      <c r="B43" s="9"/>
      <c r="C43" s="9"/>
      <c r="D43" s="9"/>
      <c r="E43" s="31"/>
      <c r="F43" s="31"/>
      <c r="G43" s="31"/>
      <c r="H43" s="9"/>
    </row>
    <row r="44" spans="1:8" ht="47.25">
      <c r="A44" s="10" t="s">
        <v>35</v>
      </c>
      <c r="B44" s="9">
        <v>1981</v>
      </c>
      <c r="C44" s="9">
        <v>510</v>
      </c>
      <c r="D44" s="9"/>
      <c r="E44" s="31"/>
      <c r="F44" s="31"/>
      <c r="G44" s="31"/>
      <c r="H44" s="9" t="s">
        <v>21</v>
      </c>
    </row>
    <row r="45" spans="1:9" s="44" customFormat="1" ht="15.75">
      <c r="A45" s="24" t="s">
        <v>36</v>
      </c>
      <c r="B45" s="25">
        <v>2000</v>
      </c>
      <c r="C45" s="25" t="s">
        <v>21</v>
      </c>
      <c r="D45" s="25"/>
      <c r="E45" s="32">
        <f>E47+E74+E93+E103+E110+E116</f>
        <v>12225881.3</v>
      </c>
      <c r="F45" s="32">
        <f>F47+F74+F93+F103+F110+F116</f>
        <v>10752899.24</v>
      </c>
      <c r="G45" s="32">
        <f>G47+G74+G93+G103+G110+G116</f>
        <v>10752899.24</v>
      </c>
      <c r="H45" s="32"/>
      <c r="I45" s="43"/>
    </row>
    <row r="46" spans="1:8" ht="15.75">
      <c r="A46" s="10" t="s">
        <v>23</v>
      </c>
      <c r="B46" s="9"/>
      <c r="C46" s="9"/>
      <c r="D46" s="9"/>
      <c r="E46" s="31"/>
      <c r="F46" s="31"/>
      <c r="G46" s="31"/>
      <c r="H46" s="9"/>
    </row>
    <row r="47" spans="1:9" s="46" customFormat="1" ht="15.75">
      <c r="A47" s="33" t="s">
        <v>37</v>
      </c>
      <c r="B47" s="13">
        <v>2100</v>
      </c>
      <c r="C47" s="13" t="s">
        <v>21</v>
      </c>
      <c r="D47" s="13"/>
      <c r="E47" s="28">
        <f>E49+E56+E62+E67</f>
        <v>9767184.98</v>
      </c>
      <c r="F47" s="28">
        <f>F49+F56+F62+F67</f>
        <v>9549868</v>
      </c>
      <c r="G47" s="28">
        <f>G49+G56+G62+G67</f>
        <v>9549868</v>
      </c>
      <c r="H47" s="13" t="s">
        <v>21</v>
      </c>
      <c r="I47" s="45"/>
    </row>
    <row r="48" spans="1:8" ht="15.75">
      <c r="A48" s="10" t="s">
        <v>23</v>
      </c>
      <c r="B48" s="9"/>
      <c r="C48" s="9"/>
      <c r="D48" s="9"/>
      <c r="E48" s="31"/>
      <c r="F48" s="31"/>
      <c r="G48" s="31"/>
      <c r="H48" s="9"/>
    </row>
    <row r="49" spans="1:9" s="46" customFormat="1" ht="15.75">
      <c r="A49" s="12" t="s">
        <v>38</v>
      </c>
      <c r="B49" s="13">
        <v>2110</v>
      </c>
      <c r="C49" s="13">
        <v>111</v>
      </c>
      <c r="D49" s="13"/>
      <c r="E49" s="28">
        <f>SUM(E50:E55)</f>
        <v>7356167</v>
      </c>
      <c r="F49" s="28">
        <f>SUM(F50:F55)</f>
        <v>7356167</v>
      </c>
      <c r="G49" s="28">
        <f>SUM(G50:G55)</f>
        <v>7356167</v>
      </c>
      <c r="H49" s="13" t="s">
        <v>21</v>
      </c>
      <c r="I49" s="45"/>
    </row>
    <row r="50" spans="1:11" ht="47.25">
      <c r="A50" s="10" t="s">
        <v>180</v>
      </c>
      <c r="B50" s="9">
        <v>2111</v>
      </c>
      <c r="C50" s="9">
        <v>111</v>
      </c>
      <c r="D50" s="9">
        <v>211</v>
      </c>
      <c r="E50" s="36">
        <f>'111'!J30</f>
        <v>1283500</v>
      </c>
      <c r="F50" s="31">
        <f aca="true" t="shared" si="0" ref="F50:G54">E50</f>
        <v>1283500</v>
      </c>
      <c r="G50" s="31">
        <f t="shared" si="0"/>
        <v>1283500</v>
      </c>
      <c r="H50" s="9" t="s">
        <v>21</v>
      </c>
      <c r="I50" s="82">
        <f>ROUNDUP(1228000,-3)</f>
        <v>1228000</v>
      </c>
      <c r="J50" s="83">
        <f>I50*30.2%</f>
        <v>370856</v>
      </c>
      <c r="K50" s="83">
        <f>ROUNDUP(J50,-3)</f>
        <v>371000</v>
      </c>
    </row>
    <row r="51" spans="1:8" ht="47.25">
      <c r="A51" s="10" t="str">
        <f>A50</f>
        <v>Субсидия на выполнение муниципального задания местный бюджет;</v>
      </c>
      <c r="B51" s="9">
        <v>2112</v>
      </c>
      <c r="C51" s="9">
        <f>C50</f>
        <v>111</v>
      </c>
      <c r="D51" s="9">
        <v>266</v>
      </c>
      <c r="E51" s="36">
        <f>'111'!C38</f>
        <v>3000</v>
      </c>
      <c r="F51" s="31">
        <f t="shared" si="0"/>
        <v>3000</v>
      </c>
      <c r="G51" s="31">
        <f t="shared" si="0"/>
        <v>3000</v>
      </c>
      <c r="H51" s="9"/>
    </row>
    <row r="52" spans="1:8" ht="47.25">
      <c r="A52" s="10" t="s">
        <v>181</v>
      </c>
      <c r="B52" s="9">
        <v>2113</v>
      </c>
      <c r="C52" s="9">
        <v>111</v>
      </c>
      <c r="D52" s="9">
        <v>211</v>
      </c>
      <c r="E52" s="36">
        <f>'111'!J13</f>
        <v>5523667</v>
      </c>
      <c r="F52" s="31">
        <f t="shared" si="0"/>
        <v>5523667</v>
      </c>
      <c r="G52" s="31">
        <f t="shared" si="0"/>
        <v>5523667</v>
      </c>
      <c r="H52" s="9" t="s">
        <v>21</v>
      </c>
    </row>
    <row r="53" spans="1:8" ht="47.25">
      <c r="A53" s="10" t="s">
        <v>181</v>
      </c>
      <c r="B53" s="9">
        <v>2114</v>
      </c>
      <c r="C53" s="9">
        <f>C50</f>
        <v>111</v>
      </c>
      <c r="D53" s="9">
        <v>266</v>
      </c>
      <c r="E53" s="36">
        <f>'111'!C21</f>
        <v>18000</v>
      </c>
      <c r="F53" s="31">
        <f t="shared" si="0"/>
        <v>18000</v>
      </c>
      <c r="G53" s="31">
        <f t="shared" si="0"/>
        <v>18000</v>
      </c>
      <c r="H53" s="9" t="s">
        <v>21</v>
      </c>
    </row>
    <row r="54" spans="1:8" ht="173.25">
      <c r="A54" s="10" t="str">
        <f>A24</f>
        <v>МП "Развитие образования" (Обеспечение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образования, в том числе адаптированные основные образовательные прогреммы)</v>
      </c>
      <c r="B54" s="9">
        <v>2115</v>
      </c>
      <c r="C54" s="9">
        <v>111</v>
      </c>
      <c r="D54" s="9">
        <v>211</v>
      </c>
      <c r="E54" s="31">
        <f>'111'!J47</f>
        <v>528000</v>
      </c>
      <c r="F54" s="31">
        <f>E54</f>
        <v>528000</v>
      </c>
      <c r="G54" s="31">
        <f t="shared" si="0"/>
        <v>528000</v>
      </c>
      <c r="H54" s="9" t="s">
        <v>21</v>
      </c>
    </row>
    <row r="55" spans="1:8" ht="31.5">
      <c r="A55" s="10" t="s">
        <v>42</v>
      </c>
      <c r="B55" s="9">
        <v>2117</v>
      </c>
      <c r="C55" s="9">
        <v>111</v>
      </c>
      <c r="D55" s="9"/>
      <c r="E55" s="31"/>
      <c r="F55" s="31"/>
      <c r="G55" s="31"/>
      <c r="H55" s="9" t="s">
        <v>21</v>
      </c>
    </row>
    <row r="56" spans="1:9" s="46" customFormat="1" ht="31.5">
      <c r="A56" s="12" t="s">
        <v>43</v>
      </c>
      <c r="B56" s="13">
        <v>2120</v>
      </c>
      <c r="C56" s="13">
        <v>112</v>
      </c>
      <c r="D56" s="13"/>
      <c r="E56" s="28">
        <f>SUM(E57:E61)</f>
        <v>208515.46</v>
      </c>
      <c r="F56" s="28">
        <f>SUM(F58:F60)</f>
        <v>0</v>
      </c>
      <c r="G56" s="28">
        <f>SUM(G58:G60)</f>
        <v>0</v>
      </c>
      <c r="H56" s="13" t="s">
        <v>21</v>
      </c>
      <c r="I56" s="45"/>
    </row>
    <row r="57" spans="1:8" ht="47.25">
      <c r="A57" s="10" t="s">
        <v>259</v>
      </c>
      <c r="B57" s="9">
        <v>2121</v>
      </c>
      <c r="C57" s="9">
        <v>112</v>
      </c>
      <c r="D57" s="9">
        <v>212</v>
      </c>
      <c r="E57" s="36"/>
      <c r="F57" s="31">
        <f>E57</f>
        <v>0</v>
      </c>
      <c r="G57" s="31">
        <f>E57</f>
        <v>0</v>
      </c>
      <c r="H57" s="9" t="s">
        <v>21</v>
      </c>
    </row>
    <row r="58" spans="1:8" ht="47.25">
      <c r="A58" s="10" t="s">
        <v>181</v>
      </c>
      <c r="B58" s="9">
        <v>2122</v>
      </c>
      <c r="C58" s="9">
        <v>112</v>
      </c>
      <c r="D58" s="9">
        <v>212</v>
      </c>
      <c r="E58" s="31"/>
      <c r="F58" s="31">
        <f>E58</f>
        <v>0</v>
      </c>
      <c r="G58" s="31">
        <f>E58</f>
        <v>0</v>
      </c>
      <c r="H58" s="9" t="s">
        <v>21</v>
      </c>
    </row>
    <row r="59" spans="1:8" ht="31.5">
      <c r="A59" s="10" t="s">
        <v>40</v>
      </c>
      <c r="B59" s="9">
        <v>2123</v>
      </c>
      <c r="C59" s="9">
        <v>112</v>
      </c>
      <c r="D59" s="9"/>
      <c r="E59" s="31"/>
      <c r="F59" s="31"/>
      <c r="G59" s="31"/>
      <c r="H59" s="9" t="s">
        <v>21</v>
      </c>
    </row>
    <row r="60" spans="1:8" ht="31.5">
      <c r="A60" s="10" t="s">
        <v>41</v>
      </c>
      <c r="B60" s="9">
        <v>2124</v>
      </c>
      <c r="C60" s="9">
        <v>112</v>
      </c>
      <c r="D60" s="9"/>
      <c r="E60" s="31"/>
      <c r="F60" s="31"/>
      <c r="G60" s="31"/>
      <c r="H60" s="9" t="s">
        <v>21</v>
      </c>
    </row>
    <row r="61" spans="1:8" ht="204.75">
      <c r="A61" s="10" t="s">
        <v>357</v>
      </c>
      <c r="B61" s="9">
        <v>2125</v>
      </c>
      <c r="C61" s="9">
        <v>112</v>
      </c>
      <c r="D61" s="9">
        <v>267</v>
      </c>
      <c r="E61" s="31">
        <f>'112'!E6</f>
        <v>208515.46</v>
      </c>
      <c r="F61" s="31"/>
      <c r="G61" s="31"/>
      <c r="H61" s="9"/>
    </row>
    <row r="62" spans="1:9" s="46" customFormat="1" ht="63">
      <c r="A62" s="12" t="s">
        <v>44</v>
      </c>
      <c r="B62" s="13">
        <v>2130</v>
      </c>
      <c r="C62" s="13">
        <v>113</v>
      </c>
      <c r="D62" s="13"/>
      <c r="E62" s="28">
        <f>SUM(E63:E66)</f>
        <v>6760</v>
      </c>
      <c r="F62" s="28">
        <f>SUM(F63:F66)</f>
        <v>0</v>
      </c>
      <c r="G62" s="28">
        <f>SUM(G63:G66)</f>
        <v>0</v>
      </c>
      <c r="H62" s="13" t="s">
        <v>21</v>
      </c>
      <c r="I62" s="45"/>
    </row>
    <row r="63" spans="1:8" ht="15.75">
      <c r="A63" s="10" t="s">
        <v>385</v>
      </c>
      <c r="B63" s="9">
        <v>2131</v>
      </c>
      <c r="C63" s="9">
        <v>113</v>
      </c>
      <c r="D63" s="9">
        <v>226</v>
      </c>
      <c r="E63" s="31">
        <f>Программные!D107</f>
        <v>6760</v>
      </c>
      <c r="F63" s="31"/>
      <c r="G63" s="31"/>
      <c r="H63" s="9" t="s">
        <v>21</v>
      </c>
    </row>
    <row r="64" spans="1:8" ht="31.5">
      <c r="A64" s="10" t="s">
        <v>40</v>
      </c>
      <c r="B64" s="9">
        <v>2132</v>
      </c>
      <c r="C64" s="9">
        <v>113</v>
      </c>
      <c r="D64" s="9"/>
      <c r="E64" s="31"/>
      <c r="F64" s="31"/>
      <c r="G64" s="31"/>
      <c r="H64" s="9" t="s">
        <v>21</v>
      </c>
    </row>
    <row r="65" spans="1:8" ht="31.5">
      <c r="A65" s="10" t="s">
        <v>41</v>
      </c>
      <c r="B65" s="9">
        <v>2133</v>
      </c>
      <c r="C65" s="9">
        <v>113</v>
      </c>
      <c r="D65" s="9"/>
      <c r="E65" s="31"/>
      <c r="F65" s="31"/>
      <c r="G65" s="31"/>
      <c r="H65" s="9" t="s">
        <v>21</v>
      </c>
    </row>
    <row r="66" spans="1:8" ht="31.5">
      <c r="A66" s="10" t="s">
        <v>42</v>
      </c>
      <c r="B66" s="9">
        <v>2134</v>
      </c>
      <c r="C66" s="9">
        <v>113</v>
      </c>
      <c r="D66" s="9"/>
      <c r="E66" s="31"/>
      <c r="F66" s="31"/>
      <c r="G66" s="31"/>
      <c r="H66" s="9" t="s">
        <v>21</v>
      </c>
    </row>
    <row r="67" spans="1:9" s="46" customFormat="1" ht="63">
      <c r="A67" s="12" t="s">
        <v>45</v>
      </c>
      <c r="B67" s="13">
        <v>2140</v>
      </c>
      <c r="C67" s="13">
        <v>119</v>
      </c>
      <c r="D67" s="13"/>
      <c r="E67" s="28">
        <f>SUM(E69:E73)</f>
        <v>2195742.52</v>
      </c>
      <c r="F67" s="28">
        <f>SUM(F69:F73)</f>
        <v>2193701</v>
      </c>
      <c r="G67" s="28">
        <f>SUM(G69:G73)</f>
        <v>2193701</v>
      </c>
      <c r="H67" s="13" t="s">
        <v>21</v>
      </c>
      <c r="I67" s="45"/>
    </row>
    <row r="68" spans="1:8" ht="15.75">
      <c r="A68" s="10" t="s">
        <v>23</v>
      </c>
      <c r="B68" s="9"/>
      <c r="C68" s="9"/>
      <c r="D68" s="9"/>
      <c r="E68" s="31"/>
      <c r="F68" s="31"/>
      <c r="G68" s="31"/>
      <c r="H68" s="9" t="s">
        <v>21</v>
      </c>
    </row>
    <row r="69" spans="1:8" ht="15.75">
      <c r="A69" s="10" t="s">
        <v>46</v>
      </c>
      <c r="B69" s="9"/>
      <c r="C69" s="9"/>
      <c r="D69" s="9"/>
      <c r="E69" s="31"/>
      <c r="F69" s="31"/>
      <c r="G69" s="31"/>
      <c r="H69" s="9"/>
    </row>
    <row r="70" spans="1:8" ht="31.5">
      <c r="A70" s="10" t="s">
        <v>39</v>
      </c>
      <c r="B70" s="9">
        <v>2142</v>
      </c>
      <c r="C70" s="9">
        <v>119</v>
      </c>
      <c r="D70" s="9">
        <v>213</v>
      </c>
      <c r="E70" s="36">
        <f>'213'!D31</f>
        <v>387800</v>
      </c>
      <c r="F70" s="31">
        <f>E70</f>
        <v>387800</v>
      </c>
      <c r="G70" s="31">
        <f>F70</f>
        <v>387800</v>
      </c>
      <c r="H70" s="9" t="s">
        <v>21</v>
      </c>
    </row>
    <row r="71" spans="1:8" ht="31.5">
      <c r="A71" s="10" t="s">
        <v>40</v>
      </c>
      <c r="B71" s="9">
        <v>2143</v>
      </c>
      <c r="C71" s="9">
        <v>119</v>
      </c>
      <c r="D71" s="9">
        <f>D70</f>
        <v>213</v>
      </c>
      <c r="E71" s="36">
        <f>'213'!D16</f>
        <v>1645901</v>
      </c>
      <c r="F71" s="31">
        <f>E71</f>
        <v>1645901</v>
      </c>
      <c r="G71" s="31">
        <f>F71</f>
        <v>1645901</v>
      </c>
      <c r="H71" s="9" t="s">
        <v>21</v>
      </c>
    </row>
    <row r="72" spans="1:8" ht="173.25">
      <c r="A72" s="10" t="str">
        <f>A54</f>
        <v>МП "Развитие образования" (Обеспечение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образования, в том числе адаптированные основные образовательные прогреммы)</v>
      </c>
      <c r="B72" s="9">
        <v>2144</v>
      </c>
      <c r="C72" s="9">
        <v>119</v>
      </c>
      <c r="D72" s="9">
        <v>213</v>
      </c>
      <c r="E72" s="31">
        <f>'213'!D46</f>
        <v>160000</v>
      </c>
      <c r="F72" s="31">
        <f>E72</f>
        <v>160000</v>
      </c>
      <c r="G72" s="31">
        <f>E72</f>
        <v>160000</v>
      </c>
      <c r="H72" s="9" t="s">
        <v>21</v>
      </c>
    </row>
    <row r="73" spans="1:8" ht="15.75">
      <c r="A73" s="10" t="s">
        <v>385</v>
      </c>
      <c r="B73" s="9">
        <v>2145</v>
      </c>
      <c r="C73" s="9">
        <v>119</v>
      </c>
      <c r="D73" s="9">
        <v>226</v>
      </c>
      <c r="E73" s="31">
        <f>Программные!D114</f>
        <v>2041.52</v>
      </c>
      <c r="F73" s="31"/>
      <c r="G73" s="31"/>
      <c r="H73" s="9" t="s">
        <v>21</v>
      </c>
    </row>
    <row r="74" spans="1:9" s="46" customFormat="1" ht="31.5">
      <c r="A74" s="33" t="s">
        <v>47</v>
      </c>
      <c r="B74" s="13">
        <v>2200</v>
      </c>
      <c r="C74" s="13">
        <v>300</v>
      </c>
      <c r="D74" s="13"/>
      <c r="E74" s="28">
        <f>E76+E83+E88</f>
        <v>15484.54</v>
      </c>
      <c r="F74" s="28">
        <f>F76+F83+F88</f>
        <v>0</v>
      </c>
      <c r="G74" s="28">
        <f>G76+G83+G88</f>
        <v>0</v>
      </c>
      <c r="H74" s="22" t="s">
        <v>21</v>
      </c>
      <c r="I74" s="45"/>
    </row>
    <row r="75" spans="1:8" ht="15.75">
      <c r="A75" s="10" t="s">
        <v>23</v>
      </c>
      <c r="B75" s="9"/>
      <c r="C75" s="9"/>
      <c r="D75" s="9"/>
      <c r="E75" s="31"/>
      <c r="F75" s="31"/>
      <c r="G75" s="31"/>
      <c r="H75" s="9"/>
    </row>
    <row r="76" spans="1:9" s="46" customFormat="1" ht="47.25">
      <c r="A76" s="12" t="s">
        <v>48</v>
      </c>
      <c r="B76" s="13">
        <v>2210</v>
      </c>
      <c r="C76" s="13">
        <v>320</v>
      </c>
      <c r="D76" s="13"/>
      <c r="E76" s="28">
        <f>SUM(E78:E82)</f>
        <v>15484.54</v>
      </c>
      <c r="F76" s="28">
        <f>SUM(F78:F81)</f>
        <v>0</v>
      </c>
      <c r="G76" s="28">
        <f>SUM(G78:G81)</f>
        <v>0</v>
      </c>
      <c r="H76" s="22">
        <f>SUM(H78:H81)</f>
        <v>0</v>
      </c>
      <c r="I76" s="45"/>
    </row>
    <row r="77" spans="1:8" ht="15.75">
      <c r="A77" s="10" t="s">
        <v>34</v>
      </c>
      <c r="B77" s="9"/>
      <c r="C77" s="9"/>
      <c r="D77" s="9"/>
      <c r="E77" s="31"/>
      <c r="F77" s="31"/>
      <c r="G77" s="31"/>
      <c r="H77" s="9"/>
    </row>
    <row r="78" spans="1:8" ht="47.25">
      <c r="A78" s="10" t="str">
        <f>A58</f>
        <v>Субсидия на выполнение муниципального задания краевой бюджет;</v>
      </c>
      <c r="B78" s="9">
        <v>2211</v>
      </c>
      <c r="C78" s="9">
        <v>321</v>
      </c>
      <c r="D78" s="9"/>
      <c r="E78" s="31"/>
      <c r="F78" s="31"/>
      <c r="G78" s="31"/>
      <c r="H78" s="9"/>
    </row>
    <row r="79" spans="1:8" ht="31.5">
      <c r="A79" s="10" t="s">
        <v>39</v>
      </c>
      <c r="B79" s="9">
        <v>2212</v>
      </c>
      <c r="C79" s="9">
        <v>321</v>
      </c>
      <c r="D79" s="9"/>
      <c r="E79" s="31"/>
      <c r="F79" s="31"/>
      <c r="G79" s="31"/>
      <c r="H79" s="9"/>
    </row>
    <row r="80" spans="1:8" ht="31.5">
      <c r="A80" s="10" t="s">
        <v>40</v>
      </c>
      <c r="B80" s="9">
        <v>2213</v>
      </c>
      <c r="C80" s="9">
        <v>321</v>
      </c>
      <c r="D80" s="9"/>
      <c r="E80" s="31"/>
      <c r="F80" s="31"/>
      <c r="G80" s="31"/>
      <c r="H80" s="9"/>
    </row>
    <row r="81" spans="1:8" ht="31.5">
      <c r="A81" s="10" t="s">
        <v>41</v>
      </c>
      <c r="B81" s="9">
        <v>2214</v>
      </c>
      <c r="C81" s="9">
        <v>321</v>
      </c>
      <c r="D81" s="9"/>
      <c r="E81" s="31"/>
      <c r="F81" s="31"/>
      <c r="G81" s="31"/>
      <c r="H81" s="9"/>
    </row>
    <row r="82" spans="1:8" ht="204.75">
      <c r="A82" s="10" t="s">
        <v>357</v>
      </c>
      <c r="B82" s="9">
        <v>2215</v>
      </c>
      <c r="C82" s="9">
        <v>321</v>
      </c>
      <c r="D82" s="9">
        <v>265</v>
      </c>
      <c r="E82" s="31">
        <f>Программные!D86</f>
        <v>15484.54</v>
      </c>
      <c r="F82" s="31"/>
      <c r="G82" s="31"/>
      <c r="H82" s="9"/>
    </row>
    <row r="83" spans="1:9" s="46" customFormat="1" ht="94.5">
      <c r="A83" s="12" t="s">
        <v>49</v>
      </c>
      <c r="B83" s="13">
        <v>2230</v>
      </c>
      <c r="C83" s="13">
        <v>350</v>
      </c>
      <c r="D83" s="13"/>
      <c r="E83" s="28">
        <f>SUM(E84:E87)</f>
        <v>0</v>
      </c>
      <c r="F83" s="28">
        <f>SUM(F84:F87)</f>
        <v>0</v>
      </c>
      <c r="G83" s="28">
        <f>SUM(G84:G87)</f>
        <v>0</v>
      </c>
      <c r="H83" s="13" t="s">
        <v>21</v>
      </c>
      <c r="I83" s="45"/>
    </row>
    <row r="84" spans="1:8" ht="31.5">
      <c r="A84" s="10" t="s">
        <v>39</v>
      </c>
      <c r="B84" s="9">
        <v>2231</v>
      </c>
      <c r="C84" s="9">
        <v>350</v>
      </c>
      <c r="D84" s="9"/>
      <c r="E84" s="31"/>
      <c r="F84" s="31"/>
      <c r="G84" s="31"/>
      <c r="H84" s="9" t="s">
        <v>21</v>
      </c>
    </row>
    <row r="85" spans="1:8" ht="31.5">
      <c r="A85" s="10" t="s">
        <v>40</v>
      </c>
      <c r="B85" s="9">
        <v>2232</v>
      </c>
      <c r="C85" s="9">
        <v>350</v>
      </c>
      <c r="D85" s="9"/>
      <c r="E85" s="31"/>
      <c r="F85" s="31"/>
      <c r="G85" s="31"/>
      <c r="H85" s="9" t="s">
        <v>21</v>
      </c>
    </row>
    <row r="86" spans="1:8" ht="31.5">
      <c r="A86" s="10" t="s">
        <v>41</v>
      </c>
      <c r="B86" s="9">
        <v>2233</v>
      </c>
      <c r="C86" s="9">
        <v>350</v>
      </c>
      <c r="D86" s="9"/>
      <c r="E86" s="31"/>
      <c r="F86" s="31"/>
      <c r="G86" s="31"/>
      <c r="H86" s="9" t="s">
        <v>21</v>
      </c>
    </row>
    <row r="87" spans="1:8" ht="31.5">
      <c r="A87" s="10" t="s">
        <v>42</v>
      </c>
      <c r="B87" s="9">
        <v>2234</v>
      </c>
      <c r="C87" s="9">
        <v>350</v>
      </c>
      <c r="D87" s="9"/>
      <c r="E87" s="31"/>
      <c r="F87" s="31"/>
      <c r="G87" s="31"/>
      <c r="H87" s="9" t="s">
        <v>21</v>
      </c>
    </row>
    <row r="88" spans="1:9" s="46" customFormat="1" ht="47.25">
      <c r="A88" s="12" t="s">
        <v>50</v>
      </c>
      <c r="B88" s="13">
        <v>2240</v>
      </c>
      <c r="C88" s="13">
        <v>360</v>
      </c>
      <c r="D88" s="13"/>
      <c r="E88" s="28">
        <f>SUM(E89:E92)</f>
        <v>0</v>
      </c>
      <c r="F88" s="28">
        <f>SUM(F89:F92)</f>
        <v>0</v>
      </c>
      <c r="G88" s="28">
        <f>SUM(G89:G92)</f>
        <v>0</v>
      </c>
      <c r="H88" s="13" t="s">
        <v>21</v>
      </c>
      <c r="I88" s="45"/>
    </row>
    <row r="89" spans="1:8" ht="31.5">
      <c r="A89" s="10" t="s">
        <v>39</v>
      </c>
      <c r="B89" s="9">
        <v>2241</v>
      </c>
      <c r="C89" s="9">
        <v>360</v>
      </c>
      <c r="D89" s="9"/>
      <c r="E89" s="31"/>
      <c r="F89" s="31"/>
      <c r="G89" s="31"/>
      <c r="H89" s="9" t="s">
        <v>21</v>
      </c>
    </row>
    <row r="90" spans="1:8" ht="31.5">
      <c r="A90" s="10" t="s">
        <v>40</v>
      </c>
      <c r="B90" s="9">
        <v>2242</v>
      </c>
      <c r="C90" s="9">
        <v>360</v>
      </c>
      <c r="D90" s="9"/>
      <c r="E90" s="31"/>
      <c r="F90" s="31"/>
      <c r="G90" s="31"/>
      <c r="H90" s="9" t="s">
        <v>21</v>
      </c>
    </row>
    <row r="91" spans="1:8" ht="31.5">
      <c r="A91" s="10" t="s">
        <v>41</v>
      </c>
      <c r="B91" s="9">
        <v>2243</v>
      </c>
      <c r="C91" s="9">
        <v>360</v>
      </c>
      <c r="D91" s="9"/>
      <c r="E91" s="31"/>
      <c r="F91" s="31"/>
      <c r="G91" s="31"/>
      <c r="H91" s="9" t="s">
        <v>21</v>
      </c>
    </row>
    <row r="92" spans="1:8" ht="31.5">
      <c r="A92" s="10" t="s">
        <v>42</v>
      </c>
      <c r="B92" s="9">
        <v>2244</v>
      </c>
      <c r="C92" s="9">
        <v>360</v>
      </c>
      <c r="D92" s="9"/>
      <c r="E92" s="31"/>
      <c r="F92" s="31"/>
      <c r="G92" s="31"/>
      <c r="H92" s="9" t="s">
        <v>21</v>
      </c>
    </row>
    <row r="93" spans="1:9" s="46" customFormat="1" ht="31.5">
      <c r="A93" s="33" t="s">
        <v>51</v>
      </c>
      <c r="B93" s="13">
        <v>2300</v>
      </c>
      <c r="C93" s="13">
        <v>850</v>
      </c>
      <c r="D93" s="13"/>
      <c r="E93" s="28">
        <f>SUM(E95:E97)</f>
        <v>29200</v>
      </c>
      <c r="F93" s="28">
        <f>SUM(F95:F97)</f>
        <v>29200</v>
      </c>
      <c r="G93" s="28">
        <f>SUM(G95:G97)</f>
        <v>29200</v>
      </c>
      <c r="H93" s="13" t="s">
        <v>21</v>
      </c>
      <c r="I93" s="45"/>
    </row>
    <row r="94" spans="1:8" ht="15.75">
      <c r="A94" s="10" t="s">
        <v>34</v>
      </c>
      <c r="B94" s="9"/>
      <c r="C94" s="9"/>
      <c r="D94" s="9"/>
      <c r="E94" s="31"/>
      <c r="F94" s="31"/>
      <c r="G94" s="31"/>
      <c r="H94" s="9"/>
    </row>
    <row r="95" spans="1:8" ht="31.5">
      <c r="A95" s="10" t="s">
        <v>52</v>
      </c>
      <c r="B95" s="9">
        <v>2310</v>
      </c>
      <c r="C95" s="9">
        <v>851</v>
      </c>
      <c r="D95" s="9">
        <v>291</v>
      </c>
      <c r="E95" s="36">
        <f>Прочие!E10</f>
        <v>29000</v>
      </c>
      <c r="F95" s="31">
        <f>E95</f>
        <v>29000</v>
      </c>
      <c r="G95" s="31">
        <f>F95</f>
        <v>29000</v>
      </c>
      <c r="H95" s="9" t="s">
        <v>21</v>
      </c>
    </row>
    <row r="96" spans="1:8" ht="63">
      <c r="A96" s="10" t="s">
        <v>53</v>
      </c>
      <c r="B96" s="9">
        <v>2320</v>
      </c>
      <c r="C96" s="9">
        <v>852</v>
      </c>
      <c r="D96" s="9">
        <v>291</v>
      </c>
      <c r="E96" s="31"/>
      <c r="F96" s="31"/>
      <c r="G96" s="31"/>
      <c r="H96" s="9" t="s">
        <v>21</v>
      </c>
    </row>
    <row r="97" spans="1:9" s="46" customFormat="1" ht="47.25">
      <c r="A97" s="12" t="s">
        <v>54</v>
      </c>
      <c r="B97" s="13">
        <v>2330</v>
      </c>
      <c r="C97" s="13">
        <v>853</v>
      </c>
      <c r="D97" s="13"/>
      <c r="E97" s="28">
        <f>SUM(E98:E102)</f>
        <v>200</v>
      </c>
      <c r="F97" s="28">
        <f>SUM(F98:F102)</f>
        <v>200</v>
      </c>
      <c r="G97" s="28">
        <f>SUM(G98:G102)</f>
        <v>200</v>
      </c>
      <c r="H97" s="13" t="s">
        <v>21</v>
      </c>
      <c r="I97" s="45"/>
    </row>
    <row r="98" spans="1:8" ht="31.5">
      <c r="A98" s="10" t="s">
        <v>39</v>
      </c>
      <c r="B98" s="9">
        <v>2331</v>
      </c>
      <c r="C98" s="9">
        <v>853</v>
      </c>
      <c r="D98" s="9">
        <v>291</v>
      </c>
      <c r="E98" s="36">
        <f>Прочие!E17</f>
        <v>200</v>
      </c>
      <c r="F98" s="31">
        <f>E98</f>
        <v>200</v>
      </c>
      <c r="G98" s="31">
        <f>F98</f>
        <v>200</v>
      </c>
      <c r="H98" s="9" t="s">
        <v>21</v>
      </c>
    </row>
    <row r="99" spans="1:8" ht="31.5">
      <c r="A99" s="10" t="s">
        <v>39</v>
      </c>
      <c r="B99" s="9">
        <f>B98+1</f>
        <v>2332</v>
      </c>
      <c r="C99" s="9">
        <v>853</v>
      </c>
      <c r="D99" s="9"/>
      <c r="E99" s="31"/>
      <c r="F99" s="31"/>
      <c r="G99" s="31"/>
      <c r="H99" s="9" t="s">
        <v>21</v>
      </c>
    </row>
    <row r="100" spans="1:8" ht="31.5">
      <c r="A100" s="10" t="s">
        <v>40</v>
      </c>
      <c r="B100" s="9">
        <f>B99+1</f>
        <v>2333</v>
      </c>
      <c r="C100" s="9">
        <v>853</v>
      </c>
      <c r="D100" s="9"/>
      <c r="E100" s="31"/>
      <c r="F100" s="31"/>
      <c r="G100" s="31"/>
      <c r="H100" s="9" t="s">
        <v>21</v>
      </c>
    </row>
    <row r="101" spans="1:8" ht="31.5">
      <c r="A101" s="10" t="s">
        <v>41</v>
      </c>
      <c r="B101" s="9">
        <f>B100+1</f>
        <v>2334</v>
      </c>
      <c r="C101" s="9">
        <v>853</v>
      </c>
      <c r="D101" s="9"/>
      <c r="E101" s="31"/>
      <c r="F101" s="31"/>
      <c r="G101" s="31"/>
      <c r="H101" s="9" t="s">
        <v>21</v>
      </c>
    </row>
    <row r="102" spans="1:8" ht="31.5">
      <c r="A102" s="10" t="s">
        <v>42</v>
      </c>
      <c r="B102" s="9">
        <f>B101+1</f>
        <v>2335</v>
      </c>
      <c r="C102" s="9">
        <v>853</v>
      </c>
      <c r="D102" s="9"/>
      <c r="E102" s="31"/>
      <c r="F102" s="31"/>
      <c r="G102" s="31"/>
      <c r="H102" s="9" t="s">
        <v>21</v>
      </c>
    </row>
    <row r="103" spans="1:9" s="46" customFormat="1" ht="47.25">
      <c r="A103" s="33" t="s">
        <v>55</v>
      </c>
      <c r="B103" s="13">
        <v>2400</v>
      </c>
      <c r="C103" s="13" t="s">
        <v>21</v>
      </c>
      <c r="D103" s="13"/>
      <c r="E103" s="28">
        <f>E105</f>
        <v>0</v>
      </c>
      <c r="F103" s="28">
        <f>F105</f>
        <v>0</v>
      </c>
      <c r="G103" s="28">
        <f>G105</f>
        <v>0</v>
      </c>
      <c r="H103" s="13" t="s">
        <v>21</v>
      </c>
      <c r="I103" s="45"/>
    </row>
    <row r="104" spans="1:8" ht="15.75">
      <c r="A104" s="10" t="s">
        <v>34</v>
      </c>
      <c r="B104" s="9"/>
      <c r="C104" s="9"/>
      <c r="D104" s="9"/>
      <c r="E104" s="31"/>
      <c r="F104" s="31"/>
      <c r="G104" s="31"/>
      <c r="H104" s="9"/>
    </row>
    <row r="105" spans="1:9" s="46" customFormat="1" ht="31.5">
      <c r="A105" s="12" t="s">
        <v>56</v>
      </c>
      <c r="B105" s="13">
        <v>2410</v>
      </c>
      <c r="C105" s="13">
        <v>810</v>
      </c>
      <c r="D105" s="13"/>
      <c r="E105" s="28">
        <f>SUM(E106:E109)</f>
        <v>0</v>
      </c>
      <c r="F105" s="28">
        <f>SUM(F106:F109)</f>
        <v>0</v>
      </c>
      <c r="G105" s="28">
        <f>SUM(G106:G109)</f>
        <v>0</v>
      </c>
      <c r="H105" s="13" t="s">
        <v>21</v>
      </c>
      <c r="I105" s="45"/>
    </row>
    <row r="106" spans="1:8" ht="31.5">
      <c r="A106" s="10" t="s">
        <v>39</v>
      </c>
      <c r="B106" s="9">
        <v>2411</v>
      </c>
      <c r="C106" s="9">
        <v>810</v>
      </c>
      <c r="D106" s="9"/>
      <c r="E106" s="31"/>
      <c r="F106" s="31"/>
      <c r="G106" s="31"/>
      <c r="H106" s="9" t="s">
        <v>21</v>
      </c>
    </row>
    <row r="107" spans="1:8" ht="31.5">
      <c r="A107" s="10" t="s">
        <v>40</v>
      </c>
      <c r="B107" s="9">
        <v>2412</v>
      </c>
      <c r="C107" s="9">
        <v>810</v>
      </c>
      <c r="D107" s="9"/>
      <c r="E107" s="31"/>
      <c r="F107" s="31"/>
      <c r="G107" s="31"/>
      <c r="H107" s="9" t="s">
        <v>21</v>
      </c>
    </row>
    <row r="108" spans="1:8" ht="31.5">
      <c r="A108" s="10" t="s">
        <v>41</v>
      </c>
      <c r="B108" s="9">
        <v>2413</v>
      </c>
      <c r="C108" s="9">
        <v>810</v>
      </c>
      <c r="D108" s="9"/>
      <c r="E108" s="31"/>
      <c r="F108" s="31"/>
      <c r="G108" s="31"/>
      <c r="H108" s="9" t="s">
        <v>21</v>
      </c>
    </row>
    <row r="109" spans="1:8" ht="31.5">
      <c r="A109" s="10" t="s">
        <v>42</v>
      </c>
      <c r="B109" s="9">
        <v>2414</v>
      </c>
      <c r="C109" s="9">
        <v>810</v>
      </c>
      <c r="D109" s="9"/>
      <c r="E109" s="31"/>
      <c r="F109" s="31"/>
      <c r="G109" s="31"/>
      <c r="H109" s="9" t="s">
        <v>21</v>
      </c>
    </row>
    <row r="110" spans="1:9" s="46" customFormat="1" ht="31.5">
      <c r="A110" s="33" t="s">
        <v>57</v>
      </c>
      <c r="B110" s="13">
        <v>2500</v>
      </c>
      <c r="C110" s="13" t="s">
        <v>21</v>
      </c>
      <c r="D110" s="13"/>
      <c r="E110" s="28">
        <f>SUM(E111:E115)</f>
        <v>0</v>
      </c>
      <c r="F110" s="28">
        <f>SUM(F111:F115)</f>
        <v>0</v>
      </c>
      <c r="G110" s="28">
        <f>SUM(G111:G115)</f>
        <v>0</v>
      </c>
      <c r="H110" s="13" t="s">
        <v>21</v>
      </c>
      <c r="I110" s="45"/>
    </row>
    <row r="111" spans="1:8" ht="31.5">
      <c r="A111" s="10" t="s">
        <v>39</v>
      </c>
      <c r="B111" s="9">
        <v>2501</v>
      </c>
      <c r="C111" s="9" t="s">
        <v>21</v>
      </c>
      <c r="D111" s="9"/>
      <c r="E111" s="31"/>
      <c r="F111" s="31"/>
      <c r="G111" s="31"/>
      <c r="H111" s="9" t="s">
        <v>21</v>
      </c>
    </row>
    <row r="112" spans="1:8" ht="31.5">
      <c r="A112" s="10" t="s">
        <v>40</v>
      </c>
      <c r="B112" s="9">
        <v>2502</v>
      </c>
      <c r="C112" s="9" t="s">
        <v>21</v>
      </c>
      <c r="D112" s="9"/>
      <c r="E112" s="31"/>
      <c r="F112" s="31"/>
      <c r="G112" s="31"/>
      <c r="H112" s="9" t="s">
        <v>21</v>
      </c>
    </row>
    <row r="113" spans="1:8" ht="31.5">
      <c r="A113" s="10" t="s">
        <v>41</v>
      </c>
      <c r="B113" s="9">
        <v>2503</v>
      </c>
      <c r="C113" s="9" t="s">
        <v>21</v>
      </c>
      <c r="D113" s="9"/>
      <c r="E113" s="31"/>
      <c r="F113" s="31"/>
      <c r="G113" s="31"/>
      <c r="H113" s="9" t="s">
        <v>21</v>
      </c>
    </row>
    <row r="114" spans="1:8" ht="31.5">
      <c r="A114" s="10" t="s">
        <v>42</v>
      </c>
      <c r="B114" s="9">
        <v>2504</v>
      </c>
      <c r="C114" s="9" t="s">
        <v>21</v>
      </c>
      <c r="D114" s="9"/>
      <c r="E114" s="31"/>
      <c r="F114" s="31"/>
      <c r="G114" s="31"/>
      <c r="H114" s="9" t="s">
        <v>21</v>
      </c>
    </row>
    <row r="115" spans="1:8" ht="63">
      <c r="A115" s="10" t="s">
        <v>58</v>
      </c>
      <c r="B115" s="9">
        <v>2520</v>
      </c>
      <c r="C115" s="9">
        <v>831</v>
      </c>
      <c r="D115" s="9"/>
      <c r="E115" s="31"/>
      <c r="F115" s="31"/>
      <c r="G115" s="31"/>
      <c r="H115" s="9" t="s">
        <v>21</v>
      </c>
    </row>
    <row r="116" spans="1:9" s="50" customFormat="1" ht="32.25">
      <c r="A116" s="48" t="s">
        <v>187</v>
      </c>
      <c r="B116" s="34">
        <v>2600</v>
      </c>
      <c r="C116" s="34" t="s">
        <v>21</v>
      </c>
      <c r="D116" s="34"/>
      <c r="E116" s="94">
        <f>E118+E123+E128+E133+E161+E158</f>
        <v>2414011.7800000003</v>
      </c>
      <c r="F116" s="94">
        <f>F118+F123+F128+F133+F161+F158</f>
        <v>1173831.24</v>
      </c>
      <c r="G116" s="94">
        <f>G118+G123+G128+G133+G161+G158</f>
        <v>1173831.24</v>
      </c>
      <c r="H116" s="34"/>
      <c r="I116" s="49"/>
    </row>
    <row r="117" spans="1:8" ht="15.75">
      <c r="A117" s="10" t="s">
        <v>23</v>
      </c>
      <c r="B117" s="9"/>
      <c r="C117" s="9"/>
      <c r="D117" s="9"/>
      <c r="E117" s="31"/>
      <c r="F117" s="31"/>
      <c r="G117" s="31"/>
      <c r="H117" s="9"/>
    </row>
    <row r="118" spans="1:9" s="46" customFormat="1" ht="31.5">
      <c r="A118" s="12" t="s">
        <v>59</v>
      </c>
      <c r="B118" s="13">
        <v>2610</v>
      </c>
      <c r="C118" s="13">
        <v>241</v>
      </c>
      <c r="D118" s="13"/>
      <c r="E118" s="28">
        <f>SUM(E119:E122)</f>
        <v>0</v>
      </c>
      <c r="F118" s="28">
        <f>SUM(F119:F122)</f>
        <v>0</v>
      </c>
      <c r="G118" s="28">
        <f>SUM(G119:G122)</f>
        <v>0</v>
      </c>
      <c r="H118" s="13"/>
      <c r="I118" s="45"/>
    </row>
    <row r="119" spans="1:8" ht="31.5">
      <c r="A119" s="10" t="s">
        <v>39</v>
      </c>
      <c r="B119" s="9">
        <v>2611</v>
      </c>
      <c r="C119" s="9">
        <v>241</v>
      </c>
      <c r="D119" s="9"/>
      <c r="E119" s="31"/>
      <c r="F119" s="31"/>
      <c r="G119" s="31"/>
      <c r="H119" s="9"/>
    </row>
    <row r="120" spans="1:8" ht="31.5">
      <c r="A120" s="10" t="s">
        <v>40</v>
      </c>
      <c r="B120" s="9">
        <v>2612</v>
      </c>
      <c r="C120" s="9">
        <v>241</v>
      </c>
      <c r="D120" s="9"/>
      <c r="E120" s="31"/>
      <c r="F120" s="31"/>
      <c r="G120" s="31"/>
      <c r="H120" s="9"/>
    </row>
    <row r="121" spans="1:8" ht="31.5">
      <c r="A121" s="10" t="s">
        <v>41</v>
      </c>
      <c r="B121" s="9">
        <v>2613</v>
      </c>
      <c r="C121" s="9">
        <v>241</v>
      </c>
      <c r="D121" s="9"/>
      <c r="E121" s="31"/>
      <c r="F121" s="31"/>
      <c r="G121" s="31"/>
      <c r="H121" s="9"/>
    </row>
    <row r="122" spans="1:8" ht="31.5">
      <c r="A122" s="10" t="s">
        <v>42</v>
      </c>
      <c r="B122" s="9">
        <v>2614</v>
      </c>
      <c r="C122" s="9">
        <v>241</v>
      </c>
      <c r="D122" s="9"/>
      <c r="E122" s="31"/>
      <c r="F122" s="31"/>
      <c r="G122" s="31"/>
      <c r="H122" s="9"/>
    </row>
    <row r="123" spans="1:9" s="46" customFormat="1" ht="47.25">
      <c r="A123" s="12" t="s">
        <v>60</v>
      </c>
      <c r="B123" s="13">
        <v>2620</v>
      </c>
      <c r="C123" s="13">
        <v>242</v>
      </c>
      <c r="D123" s="13"/>
      <c r="E123" s="28">
        <f>SUM(E124:E127)</f>
        <v>0</v>
      </c>
      <c r="F123" s="28">
        <f>SUM(F124:F127)</f>
        <v>0</v>
      </c>
      <c r="G123" s="28">
        <f>SUM(G124:G127)</f>
        <v>0</v>
      </c>
      <c r="H123" s="13"/>
      <c r="I123" s="45"/>
    </row>
    <row r="124" spans="1:8" ht="31.5">
      <c r="A124" s="10" t="s">
        <v>39</v>
      </c>
      <c r="B124" s="9">
        <v>2621</v>
      </c>
      <c r="C124" s="9">
        <v>242</v>
      </c>
      <c r="D124" s="9"/>
      <c r="E124" s="31"/>
      <c r="F124" s="31"/>
      <c r="G124" s="31"/>
      <c r="H124" s="9"/>
    </row>
    <row r="125" spans="1:8" ht="31.5">
      <c r="A125" s="10" t="s">
        <v>40</v>
      </c>
      <c r="B125" s="9">
        <v>2622</v>
      </c>
      <c r="C125" s="9">
        <v>242</v>
      </c>
      <c r="D125" s="9"/>
      <c r="E125" s="31"/>
      <c r="F125" s="31"/>
      <c r="G125" s="31"/>
      <c r="H125" s="9"/>
    </row>
    <row r="126" spans="1:8" ht="31.5">
      <c r="A126" s="10" t="s">
        <v>41</v>
      </c>
      <c r="B126" s="9">
        <v>2623</v>
      </c>
      <c r="C126" s="9">
        <v>242</v>
      </c>
      <c r="D126" s="9"/>
      <c r="E126" s="31"/>
      <c r="F126" s="31"/>
      <c r="G126" s="31"/>
      <c r="H126" s="9"/>
    </row>
    <row r="127" spans="1:8" ht="31.5">
      <c r="A127" s="10" t="s">
        <v>42</v>
      </c>
      <c r="B127" s="9">
        <v>2624</v>
      </c>
      <c r="C127" s="9">
        <v>242</v>
      </c>
      <c r="D127" s="9"/>
      <c r="E127" s="31"/>
      <c r="F127" s="31"/>
      <c r="G127" s="31"/>
      <c r="H127" s="9"/>
    </row>
    <row r="128" spans="1:9" s="46" customFormat="1" ht="47.25">
      <c r="A128" s="12" t="s">
        <v>61</v>
      </c>
      <c r="B128" s="13">
        <v>2630</v>
      </c>
      <c r="C128" s="13">
        <v>243</v>
      </c>
      <c r="D128" s="13"/>
      <c r="E128" s="28">
        <f>SUM(E129:E132)</f>
        <v>0</v>
      </c>
      <c r="F128" s="28">
        <f>SUM(F129:F132)</f>
        <v>0</v>
      </c>
      <c r="G128" s="28">
        <f>SUM(G129:G132)</f>
        <v>0</v>
      </c>
      <c r="H128" s="13"/>
      <c r="I128" s="45"/>
    </row>
    <row r="129" spans="1:8" ht="31.5">
      <c r="A129" s="10" t="s">
        <v>39</v>
      </c>
      <c r="B129" s="9">
        <v>2631</v>
      </c>
      <c r="C129" s="9">
        <v>243</v>
      </c>
      <c r="D129" s="9"/>
      <c r="E129" s="31"/>
      <c r="F129" s="31"/>
      <c r="G129" s="31"/>
      <c r="H129" s="9"/>
    </row>
    <row r="130" spans="1:8" ht="31.5">
      <c r="A130" s="10" t="s">
        <v>40</v>
      </c>
      <c r="B130" s="9">
        <v>2632</v>
      </c>
      <c r="C130" s="9">
        <v>243</v>
      </c>
      <c r="D130" s="9"/>
      <c r="E130" s="31"/>
      <c r="F130" s="31"/>
      <c r="G130" s="31"/>
      <c r="H130" s="9"/>
    </row>
    <row r="131" spans="1:8" ht="31.5">
      <c r="A131" s="10" t="s">
        <v>41</v>
      </c>
      <c r="B131" s="9">
        <v>2633</v>
      </c>
      <c r="C131" s="9">
        <v>243</v>
      </c>
      <c r="D131" s="9"/>
      <c r="E131" s="31"/>
      <c r="F131" s="31"/>
      <c r="G131" s="31"/>
      <c r="H131" s="9"/>
    </row>
    <row r="132" spans="1:8" ht="31.5">
      <c r="A132" s="10" t="s">
        <v>42</v>
      </c>
      <c r="B132" s="9">
        <v>2634</v>
      </c>
      <c r="C132" s="9">
        <v>243</v>
      </c>
      <c r="D132" s="9"/>
      <c r="E132" s="31"/>
      <c r="F132" s="31"/>
      <c r="G132" s="31"/>
      <c r="H132" s="9"/>
    </row>
    <row r="133" spans="1:8" ht="31.5">
      <c r="A133" s="12" t="s">
        <v>62</v>
      </c>
      <c r="B133" s="13">
        <v>2640</v>
      </c>
      <c r="C133" s="13">
        <v>244</v>
      </c>
      <c r="D133" s="12"/>
      <c r="E133" s="28">
        <f>SUM(E135:E157)</f>
        <v>2054111.78</v>
      </c>
      <c r="F133" s="28">
        <f>SUM(F136:F146)</f>
        <v>813931.24</v>
      </c>
      <c r="G133" s="28">
        <f>SUM(G136:G146)</f>
        <v>813931.24</v>
      </c>
      <c r="H133" s="12"/>
    </row>
    <row r="134" spans="1:8" ht="15.75">
      <c r="A134" s="10" t="s">
        <v>34</v>
      </c>
      <c r="B134" s="9"/>
      <c r="C134" s="9"/>
      <c r="D134" s="9"/>
      <c r="E134" s="31"/>
      <c r="F134" s="31"/>
      <c r="G134" s="31"/>
      <c r="H134" s="9"/>
    </row>
    <row r="135" spans="1:8" ht="31.5">
      <c r="A135" s="10" t="s">
        <v>338</v>
      </c>
      <c r="B135" s="9">
        <v>2640</v>
      </c>
      <c r="C135" s="9">
        <v>244</v>
      </c>
      <c r="D135" s="9">
        <v>346</v>
      </c>
      <c r="E135" s="31">
        <f>'346'!E8</f>
        <v>5786</v>
      </c>
      <c r="F135" s="31"/>
      <c r="G135" s="31"/>
      <c r="H135" s="9"/>
    </row>
    <row r="136" spans="1:8" ht="31.5">
      <c r="A136" s="10" t="s">
        <v>39</v>
      </c>
      <c r="B136" s="9">
        <v>2641</v>
      </c>
      <c r="C136" s="9">
        <v>244</v>
      </c>
      <c r="D136" s="9">
        <v>223</v>
      </c>
      <c r="E136" s="36">
        <f>'223'!F11</f>
        <v>178600</v>
      </c>
      <c r="F136" s="31">
        <f aca="true" t="shared" si="1" ref="F136:G144">E136</f>
        <v>178600</v>
      </c>
      <c r="G136" s="31">
        <f t="shared" si="1"/>
        <v>178600</v>
      </c>
      <c r="H136" s="9"/>
    </row>
    <row r="137" spans="1:12" ht="31.5">
      <c r="A137" s="10" t="s">
        <v>39</v>
      </c>
      <c r="B137" s="9">
        <v>2642</v>
      </c>
      <c r="C137" s="9">
        <v>244</v>
      </c>
      <c r="D137" s="9">
        <v>225</v>
      </c>
      <c r="E137" s="36">
        <f>'225'!E13</f>
        <v>109099.99999999999</v>
      </c>
      <c r="F137" s="31">
        <f t="shared" si="1"/>
        <v>109099.99999999999</v>
      </c>
      <c r="G137" s="31">
        <f t="shared" si="1"/>
        <v>109099.99999999999</v>
      </c>
      <c r="H137" s="9"/>
      <c r="K137" s="76"/>
      <c r="L137" s="76"/>
    </row>
    <row r="138" spans="1:8" ht="31.5">
      <c r="A138" s="10" t="s">
        <v>39</v>
      </c>
      <c r="B138" s="9">
        <v>2643</v>
      </c>
      <c r="C138" s="9">
        <v>244</v>
      </c>
      <c r="D138" s="9">
        <v>226</v>
      </c>
      <c r="E138" s="36">
        <f>'226'!D20</f>
        <v>129999.23999999999</v>
      </c>
      <c r="F138" s="31">
        <f t="shared" si="1"/>
        <v>129999.23999999999</v>
      </c>
      <c r="G138" s="31">
        <f t="shared" si="1"/>
        <v>129999.23999999999</v>
      </c>
      <c r="H138" s="9"/>
    </row>
    <row r="139" spans="1:8" ht="31.5">
      <c r="A139" s="10" t="s">
        <v>40</v>
      </c>
      <c r="B139" s="9">
        <v>2644</v>
      </c>
      <c r="C139" s="9">
        <v>244</v>
      </c>
      <c r="D139" s="9">
        <v>221</v>
      </c>
      <c r="E139" s="36">
        <f>'221'!F10</f>
        <v>14000</v>
      </c>
      <c r="F139" s="31">
        <f aca="true" t="shared" si="2" ref="F139:F144">E139</f>
        <v>14000</v>
      </c>
      <c r="G139" s="31">
        <f t="shared" si="1"/>
        <v>14000</v>
      </c>
      <c r="H139" s="9"/>
    </row>
    <row r="140" spans="1:10" ht="31.5">
      <c r="A140" s="10" t="s">
        <v>40</v>
      </c>
      <c r="B140" s="9">
        <v>2645</v>
      </c>
      <c r="C140" s="9">
        <v>244</v>
      </c>
      <c r="D140" s="9">
        <v>225</v>
      </c>
      <c r="E140" s="36">
        <f>'225'!E21</f>
        <v>37000</v>
      </c>
      <c r="F140" s="31">
        <f t="shared" si="2"/>
        <v>37000</v>
      </c>
      <c r="G140" s="31">
        <f t="shared" si="1"/>
        <v>37000</v>
      </c>
      <c r="H140" s="9"/>
      <c r="I140" s="75"/>
      <c r="J140" s="76"/>
    </row>
    <row r="141" spans="1:8" ht="31.5">
      <c r="A141" s="10" t="s">
        <v>177</v>
      </c>
      <c r="B141" s="9">
        <v>2646</v>
      </c>
      <c r="C141" s="9">
        <v>244</v>
      </c>
      <c r="D141" s="9">
        <v>226</v>
      </c>
      <c r="E141" s="36">
        <f>'226'!D29</f>
        <v>74130</v>
      </c>
      <c r="F141" s="31">
        <f t="shared" si="2"/>
        <v>74130</v>
      </c>
      <c r="G141" s="31">
        <f t="shared" si="1"/>
        <v>74130</v>
      </c>
      <c r="H141" s="9"/>
    </row>
    <row r="142" spans="1:8" ht="31.5">
      <c r="A142" s="10" t="str">
        <f>A141</f>
        <v>с указанием источника финансирования (краевой бюджет));</v>
      </c>
      <c r="B142" s="9">
        <v>2647</v>
      </c>
      <c r="C142" s="9">
        <f>C141</f>
        <v>244</v>
      </c>
      <c r="D142" s="9">
        <v>310</v>
      </c>
      <c r="E142" s="36">
        <f>'310'!E12</f>
        <v>256102</v>
      </c>
      <c r="F142" s="31">
        <f t="shared" si="2"/>
        <v>256102</v>
      </c>
      <c r="G142" s="31">
        <f t="shared" si="1"/>
        <v>256102</v>
      </c>
      <c r="H142" s="9"/>
    </row>
    <row r="143" spans="1:8" ht="31.5">
      <c r="A143" s="10" t="str">
        <f>A141</f>
        <v>с указанием источника финансирования (краевой бюджет));</v>
      </c>
      <c r="B143" s="9">
        <v>2648</v>
      </c>
      <c r="C143" s="9">
        <v>244</v>
      </c>
      <c r="D143" s="9">
        <v>346</v>
      </c>
      <c r="E143" s="36">
        <f>'346'!E15</f>
        <v>4775</v>
      </c>
      <c r="F143" s="31">
        <f t="shared" si="2"/>
        <v>4775</v>
      </c>
      <c r="G143" s="31">
        <f>F143</f>
        <v>4775</v>
      </c>
      <c r="H143" s="9"/>
    </row>
    <row r="144" spans="1:8" ht="31.5">
      <c r="A144" s="10" t="str">
        <f>A142</f>
        <v>с указанием источника финансирования (краевой бюджет));</v>
      </c>
      <c r="B144" s="9">
        <v>2648</v>
      </c>
      <c r="C144" s="9">
        <v>244</v>
      </c>
      <c r="D144" s="9">
        <v>349</v>
      </c>
      <c r="E144" s="36">
        <f>'349'!E9</f>
        <v>10225</v>
      </c>
      <c r="F144" s="31">
        <f t="shared" si="2"/>
        <v>10225</v>
      </c>
      <c r="G144" s="31">
        <f t="shared" si="1"/>
        <v>10225</v>
      </c>
      <c r="H144" s="9"/>
    </row>
    <row r="145" spans="1:8" ht="47.25">
      <c r="A145" s="10" t="s">
        <v>289</v>
      </c>
      <c r="B145" s="9">
        <v>2649</v>
      </c>
      <c r="C145" s="9">
        <v>244</v>
      </c>
      <c r="D145" s="9">
        <v>225</v>
      </c>
      <c r="E145" s="36">
        <f>Программные!D8</f>
        <v>42000</v>
      </c>
      <c r="F145" s="31"/>
      <c r="G145" s="31"/>
      <c r="H145" s="9"/>
    </row>
    <row r="146" spans="1:8" ht="47.25">
      <c r="A146" s="10" t="s">
        <v>289</v>
      </c>
      <c r="B146" s="9">
        <v>2650</v>
      </c>
      <c r="C146" s="9">
        <v>244</v>
      </c>
      <c r="D146" s="9">
        <v>226</v>
      </c>
      <c r="E146" s="31">
        <f>Программные!D14</f>
        <v>99008</v>
      </c>
      <c r="F146" s="31"/>
      <c r="G146" s="31"/>
      <c r="H146" s="9"/>
    </row>
    <row r="147" spans="1:8" ht="63">
      <c r="A147" s="10" t="s">
        <v>301</v>
      </c>
      <c r="B147" s="9">
        <v>2651</v>
      </c>
      <c r="C147" s="9">
        <v>244</v>
      </c>
      <c r="D147" s="9">
        <v>226</v>
      </c>
      <c r="E147" s="31">
        <f>Программные!D24</f>
        <v>158779</v>
      </c>
      <c r="F147" s="31"/>
      <c r="G147" s="31"/>
      <c r="H147" s="9"/>
    </row>
    <row r="148" spans="1:8" ht="78.75">
      <c r="A148" s="10" t="s">
        <v>304</v>
      </c>
      <c r="B148" s="9">
        <v>2652</v>
      </c>
      <c r="C148" s="9">
        <v>244</v>
      </c>
      <c r="D148" s="9">
        <v>226</v>
      </c>
      <c r="E148" s="31">
        <f>Программные!D32</f>
        <v>43617.1</v>
      </c>
      <c r="F148" s="31"/>
      <c r="G148" s="31"/>
      <c r="H148" s="9"/>
    </row>
    <row r="149" spans="1:8" ht="78.75">
      <c r="A149" s="10" t="s">
        <v>306</v>
      </c>
      <c r="B149" s="9">
        <v>2653</v>
      </c>
      <c r="C149" s="9">
        <v>244</v>
      </c>
      <c r="D149" s="9">
        <v>226</v>
      </c>
      <c r="E149" s="31"/>
      <c r="F149" s="31"/>
      <c r="G149" s="31"/>
      <c r="H149" s="9"/>
    </row>
    <row r="150" spans="1:8" ht="110.25">
      <c r="A150" s="10" t="s">
        <v>308</v>
      </c>
      <c r="B150" s="9">
        <v>2654</v>
      </c>
      <c r="C150" s="9">
        <v>244</v>
      </c>
      <c r="D150" s="9">
        <v>226</v>
      </c>
      <c r="E150" s="31">
        <f>Программные!D48</f>
        <v>18305</v>
      </c>
      <c r="F150" s="31"/>
      <c r="G150" s="31"/>
      <c r="H150" s="9"/>
    </row>
    <row r="151" spans="1:8" ht="167.25" customHeight="1">
      <c r="A151" s="146" t="s">
        <v>340</v>
      </c>
      <c r="B151" s="9">
        <v>2655</v>
      </c>
      <c r="C151" s="9">
        <v>321</v>
      </c>
      <c r="D151" s="9">
        <v>262</v>
      </c>
      <c r="E151" s="31">
        <f>Программные!D64</f>
        <v>9257.6</v>
      </c>
      <c r="F151" s="31"/>
      <c r="G151" s="31"/>
      <c r="H151" s="9"/>
    </row>
    <row r="152" spans="1:8" ht="168.75" customHeight="1">
      <c r="A152" s="145" t="s">
        <v>310</v>
      </c>
      <c r="B152" s="9" t="s">
        <v>341</v>
      </c>
      <c r="C152" s="9">
        <v>244</v>
      </c>
      <c r="D152" s="9">
        <v>226</v>
      </c>
      <c r="E152" s="31">
        <f>Программные!D56</f>
        <v>22580.2</v>
      </c>
      <c r="F152" s="31"/>
      <c r="G152" s="31"/>
      <c r="H152" s="9"/>
    </row>
    <row r="153" spans="1:8" ht="94.5">
      <c r="A153" s="10" t="s">
        <v>312</v>
      </c>
      <c r="B153" s="9">
        <v>2656</v>
      </c>
      <c r="C153" s="9">
        <v>244</v>
      </c>
      <c r="D153" s="9">
        <v>226</v>
      </c>
      <c r="E153" s="31">
        <f>Программные!D72</f>
        <v>434382.44</v>
      </c>
      <c r="F153" s="31"/>
      <c r="G153" s="31"/>
      <c r="H153" s="9"/>
    </row>
    <row r="154" spans="1:8" ht="47.25">
      <c r="A154" s="10" t="s">
        <v>342</v>
      </c>
      <c r="B154" s="9">
        <v>2657</v>
      </c>
      <c r="C154" s="9">
        <v>244</v>
      </c>
      <c r="D154" s="9">
        <v>226</v>
      </c>
      <c r="E154" s="31">
        <f>Программные!D15</f>
        <v>334199.2</v>
      </c>
      <c r="F154" s="31"/>
      <c r="G154" s="31"/>
      <c r="H154" s="9"/>
    </row>
    <row r="155" spans="1:8" ht="47.25">
      <c r="A155" s="10" t="s">
        <v>342</v>
      </c>
      <c r="B155" s="9">
        <v>2658</v>
      </c>
      <c r="C155" s="9">
        <v>244</v>
      </c>
      <c r="D155" s="9">
        <v>225</v>
      </c>
      <c r="E155" s="31">
        <f>Программные!D93</f>
        <v>27126</v>
      </c>
      <c r="F155" s="31"/>
      <c r="G155" s="31"/>
      <c r="H155" s="9"/>
    </row>
    <row r="156" spans="1:8" ht="47.25">
      <c r="A156" s="10" t="s">
        <v>344</v>
      </c>
      <c r="B156" s="9">
        <v>2659</v>
      </c>
      <c r="C156" s="9">
        <v>244</v>
      </c>
      <c r="D156" s="9">
        <v>225</v>
      </c>
      <c r="E156" s="31">
        <f>Программные!D79</f>
        <v>25560</v>
      </c>
      <c r="F156" s="31"/>
      <c r="G156" s="31"/>
      <c r="H156" s="9"/>
    </row>
    <row r="157" spans="1:8" ht="220.5">
      <c r="A157" s="10" t="s">
        <v>358</v>
      </c>
      <c r="B157" s="9">
        <v>2660</v>
      </c>
      <c r="C157" s="9">
        <v>244</v>
      </c>
      <c r="D157" s="9">
        <v>226</v>
      </c>
      <c r="E157" s="31">
        <f>Программные!D100</f>
        <v>19580</v>
      </c>
      <c r="F157" s="31"/>
      <c r="G157" s="31"/>
      <c r="H157" s="9"/>
    </row>
    <row r="158" spans="1:8" ht="31.5">
      <c r="A158" s="12" t="s">
        <v>62</v>
      </c>
      <c r="B158" s="13">
        <v>2640</v>
      </c>
      <c r="C158" s="13">
        <v>244</v>
      </c>
      <c r="D158" s="12"/>
      <c r="E158" s="28">
        <f>SUM(E160:E173)</f>
        <v>359900</v>
      </c>
      <c r="F158" s="28">
        <f>SUM(F160:F173)</f>
        <v>359900</v>
      </c>
      <c r="G158" s="28">
        <f>SUM(G160:G173)</f>
        <v>359900</v>
      </c>
      <c r="H158" s="12"/>
    </row>
    <row r="159" spans="1:8" ht="15.75">
      <c r="A159" s="10" t="s">
        <v>34</v>
      </c>
      <c r="B159" s="9"/>
      <c r="C159" s="9"/>
      <c r="D159" s="9"/>
      <c r="E159" s="31"/>
      <c r="F159" s="31"/>
      <c r="G159" s="31"/>
      <c r="H159" s="9"/>
    </row>
    <row r="160" spans="1:8" ht="31.5">
      <c r="A160" s="10" t="s">
        <v>39</v>
      </c>
      <c r="B160" s="9">
        <v>2641</v>
      </c>
      <c r="C160" s="9">
        <v>247</v>
      </c>
      <c r="D160" s="9">
        <v>223</v>
      </c>
      <c r="E160" s="36">
        <f>'223'!F22</f>
        <v>359900</v>
      </c>
      <c r="F160" s="31">
        <f>E160</f>
        <v>359900</v>
      </c>
      <c r="G160" s="31">
        <f>F160</f>
        <v>359900</v>
      </c>
      <c r="H160" s="9"/>
    </row>
    <row r="161" spans="1:9" s="46" customFormat="1" ht="31.5">
      <c r="A161" s="12" t="s">
        <v>63</v>
      </c>
      <c r="B161" s="13">
        <v>2650</v>
      </c>
      <c r="C161" s="13">
        <v>400</v>
      </c>
      <c r="D161" s="13"/>
      <c r="E161" s="28">
        <f>SUM(E163:E171)</f>
        <v>0</v>
      </c>
      <c r="F161" s="28">
        <f>SUM(F163:F171)</f>
        <v>0</v>
      </c>
      <c r="G161" s="28">
        <f>SUM(G163:G171)</f>
        <v>0</v>
      </c>
      <c r="H161" s="13"/>
      <c r="I161" s="45"/>
    </row>
    <row r="162" spans="1:8" ht="15.75">
      <c r="A162" s="10" t="s">
        <v>23</v>
      </c>
      <c r="B162" s="9"/>
      <c r="C162" s="9"/>
      <c r="D162" s="9"/>
      <c r="E162" s="31"/>
      <c r="F162" s="31"/>
      <c r="G162" s="31"/>
      <c r="H162" s="9"/>
    </row>
    <row r="163" spans="1:8" ht="47.25">
      <c r="A163" s="10" t="s">
        <v>64</v>
      </c>
      <c r="B163" s="9">
        <v>2651</v>
      </c>
      <c r="C163" s="9">
        <v>406</v>
      </c>
      <c r="D163" s="9"/>
      <c r="E163" s="31"/>
      <c r="F163" s="31"/>
      <c r="G163" s="31"/>
      <c r="H163" s="9"/>
    </row>
    <row r="164" spans="1:8" ht="31.5">
      <c r="A164" s="10" t="s">
        <v>39</v>
      </c>
      <c r="B164" s="9">
        <v>2652</v>
      </c>
      <c r="C164" s="9">
        <v>406</v>
      </c>
      <c r="D164" s="9"/>
      <c r="E164" s="31"/>
      <c r="F164" s="31"/>
      <c r="G164" s="31"/>
      <c r="H164" s="9"/>
    </row>
    <row r="165" spans="1:8" ht="31.5">
      <c r="A165" s="10" t="s">
        <v>40</v>
      </c>
      <c r="B165" s="9">
        <v>2653</v>
      </c>
      <c r="C165" s="9">
        <v>406</v>
      </c>
      <c r="D165" s="9"/>
      <c r="E165" s="31"/>
      <c r="F165" s="31"/>
      <c r="G165" s="31"/>
      <c r="H165" s="9"/>
    </row>
    <row r="166" spans="1:8" ht="31.5">
      <c r="A166" s="10" t="s">
        <v>41</v>
      </c>
      <c r="B166" s="9">
        <v>2654</v>
      </c>
      <c r="C166" s="9">
        <v>406</v>
      </c>
      <c r="D166" s="9"/>
      <c r="E166" s="31"/>
      <c r="F166" s="31"/>
      <c r="G166" s="31"/>
      <c r="H166" s="9"/>
    </row>
    <row r="167" spans="1:8" ht="31.5">
      <c r="A167" s="10" t="s">
        <v>42</v>
      </c>
      <c r="B167" s="9">
        <v>2655</v>
      </c>
      <c r="C167" s="9">
        <v>406</v>
      </c>
      <c r="D167" s="9"/>
      <c r="E167" s="31"/>
      <c r="F167" s="31"/>
      <c r="G167" s="31"/>
      <c r="H167" s="9"/>
    </row>
    <row r="168" spans="1:8" ht="47.25">
      <c r="A168" s="10" t="s">
        <v>65</v>
      </c>
      <c r="B168" s="9">
        <v>2656</v>
      </c>
      <c r="C168" s="9">
        <v>407</v>
      </c>
      <c r="D168" s="9"/>
      <c r="E168" s="31"/>
      <c r="F168" s="31"/>
      <c r="G168" s="31"/>
      <c r="H168" s="9"/>
    </row>
    <row r="169" spans="1:8" ht="31.5">
      <c r="A169" s="10" t="s">
        <v>39</v>
      </c>
      <c r="B169" s="9">
        <v>2657</v>
      </c>
      <c r="C169" s="9">
        <v>407</v>
      </c>
      <c r="D169" s="9"/>
      <c r="E169" s="31"/>
      <c r="F169" s="31"/>
      <c r="G169" s="31"/>
      <c r="H169" s="9"/>
    </row>
    <row r="170" spans="1:8" ht="31.5">
      <c r="A170" s="10" t="s">
        <v>40</v>
      </c>
      <c r="B170" s="9">
        <v>2658</v>
      </c>
      <c r="C170" s="9">
        <v>407</v>
      </c>
      <c r="D170" s="9"/>
      <c r="E170" s="31"/>
      <c r="F170" s="31"/>
      <c r="G170" s="31"/>
      <c r="H170" s="9"/>
    </row>
    <row r="171" spans="1:8" ht="31.5">
      <c r="A171" s="10" t="s">
        <v>41</v>
      </c>
      <c r="B171" s="9">
        <v>2659</v>
      </c>
      <c r="C171" s="9">
        <v>407</v>
      </c>
      <c r="D171" s="9"/>
      <c r="E171" s="31"/>
      <c r="F171" s="31"/>
      <c r="G171" s="31"/>
      <c r="H171" s="9"/>
    </row>
    <row r="172" spans="1:8" ht="31.5">
      <c r="A172" s="10" t="s">
        <v>42</v>
      </c>
      <c r="B172" s="9">
        <v>2660</v>
      </c>
      <c r="C172" s="9">
        <v>407</v>
      </c>
      <c r="D172" s="9"/>
      <c r="E172" s="31"/>
      <c r="F172" s="31"/>
      <c r="G172" s="31"/>
      <c r="H172" s="9"/>
    </row>
    <row r="173" spans="1:9" s="46" customFormat="1" ht="17.25">
      <c r="A173" s="47" t="s">
        <v>188</v>
      </c>
      <c r="B173" s="13">
        <v>3000</v>
      </c>
      <c r="C173" s="13">
        <v>100</v>
      </c>
      <c r="D173" s="13"/>
      <c r="E173" s="28">
        <f>SUM(E175:E177)</f>
        <v>0</v>
      </c>
      <c r="F173" s="28">
        <f>SUM(F175:F177)</f>
        <v>0</v>
      </c>
      <c r="G173" s="28">
        <f>SUM(G175:G177)</f>
        <v>0</v>
      </c>
      <c r="H173" s="13" t="s">
        <v>21</v>
      </c>
      <c r="I173" s="45"/>
    </row>
    <row r="174" spans="1:8" ht="15.75">
      <c r="A174" s="10" t="s">
        <v>23</v>
      </c>
      <c r="B174" s="9"/>
      <c r="C174" s="9"/>
      <c r="D174" s="9"/>
      <c r="E174" s="31"/>
      <c r="F174" s="31"/>
      <c r="G174" s="31"/>
      <c r="H174" s="9"/>
    </row>
    <row r="175" spans="1:8" ht="17.25">
      <c r="A175" s="42" t="s">
        <v>189</v>
      </c>
      <c r="B175" s="9">
        <v>3010</v>
      </c>
      <c r="C175" s="9"/>
      <c r="D175" s="9"/>
      <c r="E175" s="31"/>
      <c r="F175" s="31"/>
      <c r="G175" s="31"/>
      <c r="H175" s="9" t="s">
        <v>21</v>
      </c>
    </row>
    <row r="176" spans="1:8" ht="17.25">
      <c r="A176" s="42" t="s">
        <v>190</v>
      </c>
      <c r="B176" s="9">
        <v>3020</v>
      </c>
      <c r="C176" s="9"/>
      <c r="D176" s="9"/>
      <c r="E176" s="31"/>
      <c r="F176" s="31"/>
      <c r="G176" s="31"/>
      <c r="H176" s="9" t="s">
        <v>21</v>
      </c>
    </row>
    <row r="177" spans="1:8" ht="17.25">
      <c r="A177" s="42" t="s">
        <v>191</v>
      </c>
      <c r="B177" s="9">
        <v>3030</v>
      </c>
      <c r="C177" s="9"/>
      <c r="D177" s="9"/>
      <c r="E177" s="31"/>
      <c r="F177" s="31"/>
      <c r="G177" s="31"/>
      <c r="H177" s="9" t="s">
        <v>21</v>
      </c>
    </row>
    <row r="178" spans="1:9" s="46" customFormat="1" ht="17.25">
      <c r="A178" s="47" t="s">
        <v>192</v>
      </c>
      <c r="B178" s="13">
        <v>4000</v>
      </c>
      <c r="C178" s="13" t="s">
        <v>21</v>
      </c>
      <c r="D178" s="13"/>
      <c r="E178" s="28">
        <f>SUM(E180)</f>
        <v>456694.2899999999</v>
      </c>
      <c r="F178" s="28">
        <f>SUM(F180)</f>
        <v>0</v>
      </c>
      <c r="G178" s="28">
        <f>SUM(G180)</f>
        <v>0</v>
      </c>
      <c r="H178" s="13" t="s">
        <v>21</v>
      </c>
      <c r="I178" s="45"/>
    </row>
    <row r="179" spans="1:8" ht="15.75">
      <c r="A179" s="10" t="s">
        <v>34</v>
      </c>
      <c r="B179" s="9"/>
      <c r="C179" s="9"/>
      <c r="D179" s="9"/>
      <c r="E179" s="31"/>
      <c r="F179" s="31"/>
      <c r="G179" s="31"/>
      <c r="H179" s="9"/>
    </row>
    <row r="180" spans="1:9" s="46" customFormat="1" ht="15.75">
      <c r="A180" s="12" t="s">
        <v>66</v>
      </c>
      <c r="B180" s="13">
        <v>4010</v>
      </c>
      <c r="C180" s="13">
        <v>610</v>
      </c>
      <c r="D180" s="13"/>
      <c r="E180" s="28">
        <f>SUM(E181:E194)</f>
        <v>456694.2899999999</v>
      </c>
      <c r="F180" s="28">
        <f>SUM(F193:F194)</f>
        <v>0</v>
      </c>
      <c r="G180" s="28">
        <f>SUM(G193:G194)</f>
        <v>0</v>
      </c>
      <c r="H180" s="13" t="s">
        <v>21</v>
      </c>
      <c r="I180" s="45"/>
    </row>
    <row r="181" spans="1:8" ht="31.5">
      <c r="A181" s="10" t="s">
        <v>67</v>
      </c>
      <c r="B181" s="9">
        <v>4011</v>
      </c>
      <c r="C181" s="9">
        <v>610</v>
      </c>
      <c r="D181" s="9"/>
      <c r="E181" s="31"/>
      <c r="F181" s="31"/>
      <c r="G181" s="31"/>
      <c r="H181" s="9" t="s">
        <v>21</v>
      </c>
    </row>
    <row r="182" spans="1:8" ht="31.5">
      <c r="A182" s="10" t="s">
        <v>68</v>
      </c>
      <c r="B182" s="9">
        <v>4012</v>
      </c>
      <c r="C182" s="9">
        <v>610</v>
      </c>
      <c r="D182" s="9"/>
      <c r="E182" s="31"/>
      <c r="F182" s="31"/>
      <c r="G182" s="31"/>
      <c r="H182" s="9" t="s">
        <v>21</v>
      </c>
    </row>
    <row r="183" spans="1:9" ht="63">
      <c r="A183" s="10" t="s">
        <v>301</v>
      </c>
      <c r="B183" s="9">
        <v>4013</v>
      </c>
      <c r="C183" s="9">
        <v>610</v>
      </c>
      <c r="D183" s="9"/>
      <c r="E183" s="31">
        <v>9105.9</v>
      </c>
      <c r="F183" s="31"/>
      <c r="G183" s="31"/>
      <c r="H183" s="9"/>
      <c r="I183" s="82" t="s">
        <v>302</v>
      </c>
    </row>
    <row r="184" spans="1:9" ht="126">
      <c r="A184" s="10" t="s">
        <v>325</v>
      </c>
      <c r="B184" s="9">
        <v>4014</v>
      </c>
      <c r="C184" s="9">
        <v>610</v>
      </c>
      <c r="D184" s="9"/>
      <c r="E184" s="31">
        <v>25281</v>
      </c>
      <c r="F184" s="31"/>
      <c r="G184" s="31"/>
      <c r="H184" s="9"/>
      <c r="I184" s="82" t="s">
        <v>327</v>
      </c>
    </row>
    <row r="185" spans="1:9" ht="15.75">
      <c r="A185" s="10" t="s">
        <v>326</v>
      </c>
      <c r="B185" s="9">
        <v>4015</v>
      </c>
      <c r="C185" s="9">
        <v>610</v>
      </c>
      <c r="D185" s="9"/>
      <c r="E185" s="31">
        <v>218175</v>
      </c>
      <c r="F185" s="31"/>
      <c r="G185" s="31"/>
      <c r="H185" s="9"/>
      <c r="I185" s="82" t="s">
        <v>328</v>
      </c>
    </row>
    <row r="186" spans="1:9" ht="78.75">
      <c r="A186" s="10" t="s">
        <v>329</v>
      </c>
      <c r="B186" s="9">
        <v>4016</v>
      </c>
      <c r="C186" s="9">
        <v>610</v>
      </c>
      <c r="D186" s="9"/>
      <c r="E186" s="31">
        <v>4110</v>
      </c>
      <c r="F186" s="31"/>
      <c r="G186" s="31"/>
      <c r="H186" s="9"/>
      <c r="I186" s="82" t="s">
        <v>305</v>
      </c>
    </row>
    <row r="187" spans="1:9" ht="173.25">
      <c r="A187" s="10" t="s">
        <v>331</v>
      </c>
      <c r="B187" s="9">
        <v>4017</v>
      </c>
      <c r="C187" s="9">
        <v>610</v>
      </c>
      <c r="D187" s="9"/>
      <c r="E187" s="31">
        <v>578.07</v>
      </c>
      <c r="F187" s="31"/>
      <c r="G187" s="31"/>
      <c r="H187" s="9"/>
      <c r="I187" s="82" t="s">
        <v>330</v>
      </c>
    </row>
    <row r="188" spans="1:9" ht="110.25">
      <c r="A188" s="10" t="s">
        <v>308</v>
      </c>
      <c r="B188" s="9">
        <v>4018</v>
      </c>
      <c r="C188" s="9">
        <v>610</v>
      </c>
      <c r="D188" s="9"/>
      <c r="E188" s="31">
        <v>3240</v>
      </c>
      <c r="F188" s="31"/>
      <c r="G188" s="31"/>
      <c r="H188" s="9"/>
      <c r="I188" s="82" t="s">
        <v>307</v>
      </c>
    </row>
    <row r="189" spans="1:9" ht="15.75">
      <c r="A189" s="10" t="s">
        <v>326</v>
      </c>
      <c r="B189" s="9">
        <v>4019</v>
      </c>
      <c r="C189" s="9">
        <v>610</v>
      </c>
      <c r="D189" s="9"/>
      <c r="E189" s="31">
        <v>3000</v>
      </c>
      <c r="F189" s="31"/>
      <c r="G189" s="31"/>
      <c r="H189" s="9"/>
      <c r="I189" s="82" t="s">
        <v>332</v>
      </c>
    </row>
    <row r="190" spans="1:9" ht="173.25">
      <c r="A190" s="10" t="s">
        <v>310</v>
      </c>
      <c r="B190" s="9">
        <v>4020</v>
      </c>
      <c r="C190" s="9">
        <v>610</v>
      </c>
      <c r="D190" s="9"/>
      <c r="E190" s="31">
        <v>5801.97</v>
      </c>
      <c r="F190" s="31"/>
      <c r="G190" s="31"/>
      <c r="H190" s="9"/>
      <c r="I190" s="82" t="s">
        <v>309</v>
      </c>
    </row>
    <row r="191" spans="1:9" ht="15.75">
      <c r="A191" s="10" t="s">
        <v>326</v>
      </c>
      <c r="B191" s="9">
        <v>4021</v>
      </c>
      <c r="C191" s="9">
        <v>610</v>
      </c>
      <c r="D191" s="9"/>
      <c r="E191" s="31">
        <v>1786.66</v>
      </c>
      <c r="F191" s="31"/>
      <c r="G191" s="31"/>
      <c r="H191" s="9"/>
      <c r="I191" s="82" t="s">
        <v>333</v>
      </c>
    </row>
    <row r="192" spans="1:9" ht="94.5">
      <c r="A192" s="10" t="s">
        <v>312</v>
      </c>
      <c r="B192" s="9">
        <v>4022</v>
      </c>
      <c r="C192" s="9">
        <v>610</v>
      </c>
      <c r="D192" s="9"/>
      <c r="E192" s="31">
        <v>83552.19</v>
      </c>
      <c r="F192" s="31"/>
      <c r="G192" s="31"/>
      <c r="H192" s="9"/>
      <c r="I192" s="82" t="s">
        <v>334</v>
      </c>
    </row>
    <row r="193" spans="1:9" ht="47.25">
      <c r="A193" s="10" t="s">
        <v>289</v>
      </c>
      <c r="B193" s="9">
        <v>4023</v>
      </c>
      <c r="C193" s="9">
        <v>610</v>
      </c>
      <c r="D193" s="9"/>
      <c r="E193" s="31">
        <v>94563.5</v>
      </c>
      <c r="F193" s="31"/>
      <c r="G193" s="31"/>
      <c r="H193" s="9" t="s">
        <v>21</v>
      </c>
      <c r="I193" s="82" t="s">
        <v>335</v>
      </c>
    </row>
    <row r="194" spans="1:9" ht="15.75">
      <c r="A194" s="10" t="s">
        <v>326</v>
      </c>
      <c r="B194" s="9">
        <v>4024</v>
      </c>
      <c r="C194" s="9">
        <v>610</v>
      </c>
      <c r="D194" s="9"/>
      <c r="E194" s="31">
        <v>7500</v>
      </c>
      <c r="F194" s="31"/>
      <c r="G194" s="31"/>
      <c r="H194" s="9" t="s">
        <v>21</v>
      </c>
      <c r="I194" s="82" t="s">
        <v>336</v>
      </c>
    </row>
    <row r="196" spans="1:14" ht="18.75">
      <c r="A196" s="37" t="s">
        <v>94</v>
      </c>
      <c r="B196" s="83"/>
      <c r="C196" s="184"/>
      <c r="D196" s="184"/>
      <c r="E196" s="184"/>
      <c r="F196" s="51"/>
      <c r="G196" s="185" t="str">
        <f>'стр 1'!L12</f>
        <v>С.В. Тишина</v>
      </c>
      <c r="H196" s="185"/>
      <c r="I196" s="52"/>
      <c r="J196" s="53"/>
      <c r="K196" s="53"/>
      <c r="L196" s="53"/>
      <c r="M196" s="53"/>
      <c r="N196" s="53"/>
    </row>
    <row r="197" spans="2:14" ht="15">
      <c r="B197" s="83"/>
      <c r="C197" s="186" t="s">
        <v>104</v>
      </c>
      <c r="D197" s="186"/>
      <c r="E197" s="186"/>
      <c r="F197" s="54" t="s">
        <v>105</v>
      </c>
      <c r="G197" s="186" t="s">
        <v>106</v>
      </c>
      <c r="H197" s="186"/>
      <c r="I197" s="52"/>
      <c r="J197" s="55"/>
      <c r="K197" s="55"/>
      <c r="L197" s="55"/>
      <c r="M197" s="55"/>
      <c r="N197" s="55"/>
    </row>
    <row r="198" spans="2:14" ht="15.75">
      <c r="B198" s="83"/>
      <c r="C198" s="83"/>
      <c r="D198" s="83"/>
      <c r="E198" s="83"/>
      <c r="F198" s="83"/>
      <c r="G198" s="19"/>
      <c r="H198" s="53"/>
      <c r="I198" s="52"/>
      <c r="J198" s="53"/>
      <c r="K198" s="53"/>
      <c r="L198" s="53"/>
      <c r="M198" s="53"/>
      <c r="N198" s="53"/>
    </row>
    <row r="199" spans="1:14" ht="18.75">
      <c r="A199" s="37" t="s">
        <v>95</v>
      </c>
      <c r="B199" s="83"/>
      <c r="C199" s="184"/>
      <c r="D199" s="184"/>
      <c r="E199" s="184"/>
      <c r="F199" s="51"/>
      <c r="G199" s="185" t="s">
        <v>390</v>
      </c>
      <c r="H199" s="185"/>
      <c r="I199" s="56"/>
      <c r="J199" s="53"/>
      <c r="K199" s="53"/>
      <c r="L199" s="57"/>
      <c r="M199" s="57"/>
      <c r="N199" s="57"/>
    </row>
    <row r="200" spans="2:14" ht="15">
      <c r="B200" s="83"/>
      <c r="C200" s="186" t="s">
        <v>104</v>
      </c>
      <c r="D200" s="186"/>
      <c r="E200" s="186"/>
      <c r="F200" s="54" t="s">
        <v>105</v>
      </c>
      <c r="G200" s="186" t="s">
        <v>106</v>
      </c>
      <c r="H200" s="186"/>
      <c r="I200" s="56"/>
      <c r="J200" s="55"/>
      <c r="K200" s="55"/>
      <c r="L200" s="55"/>
      <c r="M200" s="55"/>
      <c r="N200" s="55"/>
    </row>
    <row r="201" spans="2:14" ht="15">
      <c r="B201" s="83"/>
      <c r="C201" s="83"/>
      <c r="D201" s="83"/>
      <c r="E201" s="83"/>
      <c r="F201" s="83"/>
      <c r="G201" s="53"/>
      <c r="H201" s="53"/>
      <c r="I201" s="56"/>
      <c r="J201" s="53"/>
      <c r="K201" s="53"/>
      <c r="L201" s="53"/>
      <c r="M201" s="53"/>
      <c r="N201" s="53"/>
    </row>
    <row r="202" spans="1:14" ht="18.75">
      <c r="A202" s="37" t="s">
        <v>96</v>
      </c>
      <c r="B202" s="83"/>
      <c r="C202" s="184" t="s">
        <v>368</v>
      </c>
      <c r="D202" s="184"/>
      <c r="E202" s="184"/>
      <c r="F202" s="51"/>
      <c r="G202" s="185" t="s">
        <v>273</v>
      </c>
      <c r="H202" s="185"/>
      <c r="I202" s="56"/>
      <c r="J202" s="53"/>
      <c r="K202" s="53"/>
      <c r="L202" s="57"/>
      <c r="M202" s="57"/>
      <c r="N202" s="57"/>
    </row>
    <row r="203" spans="2:14" ht="15">
      <c r="B203" s="83"/>
      <c r="C203" s="186" t="s">
        <v>104</v>
      </c>
      <c r="D203" s="186"/>
      <c r="E203" s="186"/>
      <c r="F203" s="54" t="s">
        <v>105</v>
      </c>
      <c r="G203" s="186" t="s">
        <v>106</v>
      </c>
      <c r="H203" s="186"/>
      <c r="I203" s="56"/>
      <c r="J203" s="55"/>
      <c r="K203" s="55"/>
      <c r="L203" s="55"/>
      <c r="M203" s="55"/>
      <c r="N203" s="55"/>
    </row>
  </sheetData>
  <sheetProtection/>
  <mergeCells count="17">
    <mergeCell ref="C202:E202"/>
    <mergeCell ref="G202:H202"/>
    <mergeCell ref="C203:E203"/>
    <mergeCell ref="G203:H203"/>
    <mergeCell ref="C197:E197"/>
    <mergeCell ref="G197:H197"/>
    <mergeCell ref="C199:E199"/>
    <mergeCell ref="G199:H199"/>
    <mergeCell ref="C200:E200"/>
    <mergeCell ref="G200:H200"/>
    <mergeCell ref="D2:D3"/>
    <mergeCell ref="A2:A3"/>
    <mergeCell ref="B2:B3"/>
    <mergeCell ref="C2:C3"/>
    <mergeCell ref="E2:H2"/>
    <mergeCell ref="C196:E196"/>
    <mergeCell ref="G196:H196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42" location="примечания!A19" display="прочие поступления, всего6"/>
    <hyperlink ref="A173" location="примечания!A26" display="Выплаты, уменьшающие доход, всего8"/>
    <hyperlink ref="A175" location="примечания!A26" display="налог на прибыль8"/>
    <hyperlink ref="A176" location="примечания!A26" display="налог на добавленную стоимость8"/>
    <hyperlink ref="A177" location="примечания!A26" display="прочие налоги, уменьшающие доход8"/>
    <hyperlink ref="A116" location="примечания!A23" display="расходы на закупку товаров, работ, услуг, всего7"/>
    <hyperlink ref="A178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7109375" style="1" customWidth="1"/>
    <col min="2" max="2" width="46.00390625" style="1" customWidth="1"/>
    <col min="3" max="3" width="9.140625" style="1" customWidth="1"/>
    <col min="4" max="4" width="25.7109375" style="1" customWidth="1"/>
    <col min="5" max="8" width="18.140625" style="1" customWidth="1"/>
  </cols>
  <sheetData>
    <row r="1" ht="21" customHeight="1">
      <c r="A1" s="29" t="s">
        <v>159</v>
      </c>
    </row>
    <row r="2" spans="1:8" s="7" customFormat="1" ht="15.75">
      <c r="A2" s="183" t="s">
        <v>69</v>
      </c>
      <c r="B2" s="183" t="s">
        <v>17</v>
      </c>
      <c r="C2" s="183" t="s">
        <v>70</v>
      </c>
      <c r="D2" s="183" t="s">
        <v>71</v>
      </c>
      <c r="E2" s="183" t="s">
        <v>19</v>
      </c>
      <c r="F2" s="183"/>
      <c r="G2" s="183"/>
      <c r="H2" s="183"/>
    </row>
    <row r="3" spans="1:8" s="7" customFormat="1" ht="63">
      <c r="A3" s="183"/>
      <c r="B3" s="183"/>
      <c r="C3" s="183"/>
      <c r="D3" s="183"/>
      <c r="E3" s="9" t="s">
        <v>268</v>
      </c>
      <c r="F3" s="9" t="s">
        <v>269</v>
      </c>
      <c r="G3" s="9" t="s">
        <v>270</v>
      </c>
      <c r="H3" s="9" t="s">
        <v>20</v>
      </c>
    </row>
    <row r="4" spans="1:8" s="7" customFormat="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s="27" customFormat="1" ht="32.25">
      <c r="A5" s="25">
        <v>1</v>
      </c>
      <c r="B5" s="30" t="s">
        <v>160</v>
      </c>
      <c r="C5" s="25">
        <v>26000</v>
      </c>
      <c r="D5" s="25" t="s">
        <v>21</v>
      </c>
      <c r="E5" s="26">
        <f>E7+E8+E9+E10+E11</f>
        <v>0</v>
      </c>
      <c r="F5" s="26">
        <f>F7+F8+F9+F10+F11</f>
        <v>0</v>
      </c>
      <c r="G5" s="26">
        <f>G7+G8+G9+G10+G11</f>
        <v>0</v>
      </c>
      <c r="H5" s="26">
        <f>H7+H8+H9+H10+H11</f>
        <v>0</v>
      </c>
    </row>
    <row r="6" spans="1:8" ht="15.75">
      <c r="A6" s="9"/>
      <c r="B6" s="10" t="s">
        <v>23</v>
      </c>
      <c r="C6" s="9"/>
      <c r="D6" s="9"/>
      <c r="E6" s="21"/>
      <c r="F6" s="21"/>
      <c r="G6" s="21"/>
      <c r="H6" s="21"/>
    </row>
    <row r="7" spans="1:8" ht="163.5" customHeight="1">
      <c r="A7" s="9" t="s">
        <v>72</v>
      </c>
      <c r="B7" s="23" t="s">
        <v>161</v>
      </c>
      <c r="C7" s="9">
        <v>26100</v>
      </c>
      <c r="D7" s="9" t="s">
        <v>21</v>
      </c>
      <c r="E7" s="21"/>
      <c r="F7" s="21"/>
      <c r="G7" s="21"/>
      <c r="H7" s="21"/>
    </row>
    <row r="8" spans="1:8" ht="77.25">
      <c r="A8" s="9" t="s">
        <v>73</v>
      </c>
      <c r="B8" s="23" t="s">
        <v>162</v>
      </c>
      <c r="C8" s="9">
        <v>26200</v>
      </c>
      <c r="D8" s="9" t="s">
        <v>21</v>
      </c>
      <c r="E8" s="21"/>
      <c r="F8" s="21"/>
      <c r="G8" s="21"/>
      <c r="H8" s="21"/>
    </row>
    <row r="9" spans="1:8" ht="47.25">
      <c r="A9" s="9" t="s">
        <v>74</v>
      </c>
      <c r="B9" s="23" t="s">
        <v>163</v>
      </c>
      <c r="C9" s="9">
        <v>26300</v>
      </c>
      <c r="D9" s="9" t="s">
        <v>21</v>
      </c>
      <c r="E9" s="21"/>
      <c r="F9" s="21"/>
      <c r="G9" s="21"/>
      <c r="H9" s="21"/>
    </row>
    <row r="10" spans="1:8" ht="47.25">
      <c r="A10" s="9" t="s">
        <v>75</v>
      </c>
      <c r="B10" s="23" t="s">
        <v>164</v>
      </c>
      <c r="C10" s="9">
        <v>26400</v>
      </c>
      <c r="D10" s="9" t="s">
        <v>21</v>
      </c>
      <c r="E10" s="21"/>
      <c r="F10" s="21"/>
      <c r="G10" s="21"/>
      <c r="H10" s="21"/>
    </row>
    <row r="11" spans="1:8" s="27" customFormat="1" ht="62.25">
      <c r="A11" s="25" t="s">
        <v>76</v>
      </c>
      <c r="B11" s="30" t="s">
        <v>165</v>
      </c>
      <c r="C11" s="25">
        <v>26500</v>
      </c>
      <c r="D11" s="25" t="s">
        <v>21</v>
      </c>
      <c r="E11" s="26">
        <f>E13+E17+E21+E22</f>
        <v>0</v>
      </c>
      <c r="F11" s="26">
        <f>F13+F17+F21+F22</f>
        <v>0</v>
      </c>
      <c r="G11" s="26">
        <f>G13+G17+G21+G22</f>
        <v>0</v>
      </c>
      <c r="H11" s="26">
        <f>H13+H17+H21+H22</f>
        <v>0</v>
      </c>
    </row>
    <row r="12" spans="1:8" ht="15.75">
      <c r="A12" s="9"/>
      <c r="B12" s="10" t="s">
        <v>23</v>
      </c>
      <c r="C12" s="9"/>
      <c r="D12" s="9"/>
      <c r="E12" s="21"/>
      <c r="F12" s="21"/>
      <c r="G12" s="21"/>
      <c r="H12" s="21"/>
    </row>
    <row r="13" spans="1:8" s="14" customFormat="1" ht="47.25">
      <c r="A13" s="13" t="s">
        <v>103</v>
      </c>
      <c r="B13" s="12" t="s">
        <v>77</v>
      </c>
      <c r="C13" s="13">
        <v>26510</v>
      </c>
      <c r="D13" s="13" t="s">
        <v>21</v>
      </c>
      <c r="E13" s="22">
        <f>E15+E16</f>
        <v>0</v>
      </c>
      <c r="F13" s="22">
        <f>F15+F16</f>
        <v>0</v>
      </c>
      <c r="G13" s="22">
        <f>G15+G16</f>
        <v>0</v>
      </c>
      <c r="H13" s="22">
        <f>H15+H16</f>
        <v>0</v>
      </c>
    </row>
    <row r="14" spans="1:8" ht="15.75">
      <c r="A14" s="9"/>
      <c r="B14" s="10" t="s">
        <v>23</v>
      </c>
      <c r="C14" s="9"/>
      <c r="D14" s="9"/>
      <c r="E14" s="21"/>
      <c r="F14" s="21"/>
      <c r="G14" s="21"/>
      <c r="H14" s="21"/>
    </row>
    <row r="15" spans="1:8" ht="31.5">
      <c r="A15" s="9" t="s">
        <v>78</v>
      </c>
      <c r="B15" s="10" t="s">
        <v>79</v>
      </c>
      <c r="C15" s="9">
        <v>26511</v>
      </c>
      <c r="D15" s="9" t="s">
        <v>21</v>
      </c>
      <c r="E15" s="21"/>
      <c r="F15" s="21"/>
      <c r="G15" s="21"/>
      <c r="H15" s="21"/>
    </row>
    <row r="16" spans="1:8" ht="32.25">
      <c r="A16" s="9" t="s">
        <v>80</v>
      </c>
      <c r="B16" s="23" t="s">
        <v>166</v>
      </c>
      <c r="C16" s="9">
        <v>26512</v>
      </c>
      <c r="D16" s="9" t="s">
        <v>21</v>
      </c>
      <c r="E16" s="21"/>
      <c r="F16" s="21"/>
      <c r="G16" s="21"/>
      <c r="H16" s="21"/>
    </row>
    <row r="17" spans="1:8" s="14" customFormat="1" ht="63">
      <c r="A17" s="13" t="s">
        <v>81</v>
      </c>
      <c r="B17" s="12" t="s">
        <v>82</v>
      </c>
      <c r="C17" s="13">
        <v>26520</v>
      </c>
      <c r="D17" s="13" t="s">
        <v>21</v>
      </c>
      <c r="E17" s="22">
        <f>E19+E20</f>
        <v>0</v>
      </c>
      <c r="F17" s="22">
        <f>F19+F20</f>
        <v>0</v>
      </c>
      <c r="G17" s="22">
        <f>G19+G20</f>
        <v>0</v>
      </c>
      <c r="H17" s="22">
        <f>H19+H20</f>
        <v>0</v>
      </c>
    </row>
    <row r="18" spans="1:8" ht="15.75">
      <c r="A18" s="9"/>
      <c r="B18" s="10" t="s">
        <v>23</v>
      </c>
      <c r="C18" s="9"/>
      <c r="D18" s="9"/>
      <c r="E18" s="9"/>
      <c r="F18" s="9"/>
      <c r="G18" s="9"/>
      <c r="H18" s="9"/>
    </row>
    <row r="19" spans="1:8" ht="31.5">
      <c r="A19" s="9" t="s">
        <v>83</v>
      </c>
      <c r="B19" s="10" t="s">
        <v>79</v>
      </c>
      <c r="C19" s="9">
        <v>26521</v>
      </c>
      <c r="D19" s="9" t="s">
        <v>21</v>
      </c>
      <c r="E19" s="9"/>
      <c r="F19" s="9"/>
      <c r="G19" s="9"/>
      <c r="H19" s="9"/>
    </row>
    <row r="20" spans="1:8" ht="32.25">
      <c r="A20" s="9" t="s">
        <v>84</v>
      </c>
      <c r="B20" s="23" t="s">
        <v>166</v>
      </c>
      <c r="C20" s="9">
        <v>26522</v>
      </c>
      <c r="D20" s="9" t="s">
        <v>21</v>
      </c>
      <c r="E20" s="9"/>
      <c r="F20" s="9"/>
      <c r="G20" s="9"/>
      <c r="H20" s="9"/>
    </row>
    <row r="21" spans="1:8" ht="32.25">
      <c r="A21" s="9" t="s">
        <v>85</v>
      </c>
      <c r="B21" s="23" t="s">
        <v>167</v>
      </c>
      <c r="C21" s="9">
        <v>26530</v>
      </c>
      <c r="D21" s="9" t="s">
        <v>21</v>
      </c>
      <c r="E21" s="9"/>
      <c r="F21" s="9"/>
      <c r="G21" s="9"/>
      <c r="H21" s="9"/>
    </row>
    <row r="22" spans="1:8" s="14" customFormat="1" ht="31.5">
      <c r="A22" s="13" t="s">
        <v>120</v>
      </c>
      <c r="B22" s="12" t="s">
        <v>86</v>
      </c>
      <c r="C22" s="13">
        <v>26550</v>
      </c>
      <c r="D22" s="13" t="s">
        <v>21</v>
      </c>
      <c r="E22" s="22">
        <f>E24+E25</f>
        <v>0</v>
      </c>
      <c r="F22" s="22">
        <f>F24+F25</f>
        <v>0</v>
      </c>
      <c r="G22" s="22">
        <f>G24+G25</f>
        <v>0</v>
      </c>
      <c r="H22" s="22">
        <f>H24+H25</f>
        <v>0</v>
      </c>
    </row>
    <row r="23" spans="1:8" ht="15.75">
      <c r="A23" s="9"/>
      <c r="B23" s="10" t="s">
        <v>23</v>
      </c>
      <c r="C23" s="9"/>
      <c r="D23" s="9"/>
      <c r="E23" s="9"/>
      <c r="F23" s="9"/>
      <c r="G23" s="9"/>
      <c r="H23" s="9"/>
    </row>
    <row r="24" spans="1:8" ht="31.5">
      <c r="A24" s="9" t="s">
        <v>87</v>
      </c>
      <c r="B24" s="10" t="s">
        <v>79</v>
      </c>
      <c r="C24" s="9">
        <v>26551</v>
      </c>
      <c r="D24" s="9" t="s">
        <v>21</v>
      </c>
      <c r="E24" s="9"/>
      <c r="F24" s="9"/>
      <c r="G24" s="9"/>
      <c r="H24" s="9"/>
    </row>
    <row r="25" spans="1:8" ht="31.5">
      <c r="A25" s="9" t="s">
        <v>88</v>
      </c>
      <c r="B25" s="10" t="s">
        <v>89</v>
      </c>
      <c r="C25" s="9">
        <v>26552</v>
      </c>
      <c r="D25" s="9" t="s">
        <v>21</v>
      </c>
      <c r="E25" s="9"/>
      <c r="F25" s="9"/>
      <c r="G25" s="9"/>
      <c r="H25" s="9"/>
    </row>
    <row r="26" spans="1:8" s="27" customFormat="1" ht="62.25">
      <c r="A26" s="25" t="s">
        <v>90</v>
      </c>
      <c r="B26" s="30" t="s">
        <v>168</v>
      </c>
      <c r="C26" s="25">
        <v>26600</v>
      </c>
      <c r="D26" s="25" t="s">
        <v>21</v>
      </c>
      <c r="E26" s="25"/>
      <c r="F26" s="25"/>
      <c r="G26" s="25"/>
      <c r="H26" s="25"/>
    </row>
    <row r="27" spans="1:8" ht="15.75">
      <c r="A27" s="9"/>
      <c r="B27" s="10" t="s">
        <v>91</v>
      </c>
      <c r="C27" s="9">
        <v>26610</v>
      </c>
      <c r="D27" s="9"/>
      <c r="E27" s="9"/>
      <c r="F27" s="9"/>
      <c r="G27" s="9"/>
      <c r="H27" s="9"/>
    </row>
    <row r="28" spans="1:8" s="27" customFormat="1" ht="78.75">
      <c r="A28" s="25" t="s">
        <v>92</v>
      </c>
      <c r="B28" s="24" t="s">
        <v>93</v>
      </c>
      <c r="C28" s="25">
        <v>26700</v>
      </c>
      <c r="D28" s="25" t="s">
        <v>21</v>
      </c>
      <c r="E28" s="25"/>
      <c r="F28" s="25"/>
      <c r="G28" s="25"/>
      <c r="H28" s="25"/>
    </row>
    <row r="29" spans="1:8" ht="15.75">
      <c r="A29" s="9"/>
      <c r="B29" s="10" t="s">
        <v>91</v>
      </c>
      <c r="C29" s="9">
        <v>26710</v>
      </c>
      <c r="D29" s="9"/>
      <c r="E29" s="9"/>
      <c r="F29" s="9"/>
      <c r="G29" s="9"/>
      <c r="H29" s="9"/>
    </row>
    <row r="31" spans="1:14" ht="18.75">
      <c r="A31" s="8" t="s">
        <v>94</v>
      </c>
      <c r="B31"/>
      <c r="C31" s="190"/>
      <c r="D31" s="190"/>
      <c r="E31" s="190"/>
      <c r="F31" s="11"/>
      <c r="G31" s="191" t="str">
        <f>'Раздел 1'!G196:H196</f>
        <v>С.В. Тишина</v>
      </c>
      <c r="H31" s="191"/>
      <c r="I31" s="4"/>
      <c r="J31" s="17"/>
      <c r="K31" s="17"/>
      <c r="L31" s="17"/>
      <c r="M31" s="17"/>
      <c r="N31" s="17"/>
    </row>
    <row r="32" spans="1:14" ht="15">
      <c r="A32"/>
      <c r="B32"/>
      <c r="C32" s="186" t="s">
        <v>104</v>
      </c>
      <c r="D32" s="186"/>
      <c r="E32" s="186"/>
      <c r="F32" s="20" t="s">
        <v>105</v>
      </c>
      <c r="G32" s="186" t="s">
        <v>106</v>
      </c>
      <c r="H32" s="186"/>
      <c r="I32" s="4"/>
      <c r="J32" s="18"/>
      <c r="K32" s="18"/>
      <c r="L32" s="18"/>
      <c r="M32" s="18"/>
      <c r="N32" s="18"/>
    </row>
    <row r="33" spans="1:14" ht="15">
      <c r="A33"/>
      <c r="B33"/>
      <c r="C33"/>
      <c r="D33"/>
      <c r="E33"/>
      <c r="F33"/>
      <c r="G33" s="17"/>
      <c r="H33" s="17"/>
      <c r="I33" s="17"/>
      <c r="J33" s="17"/>
      <c r="K33" s="17"/>
      <c r="L33" s="17"/>
      <c r="M33" s="17"/>
      <c r="N33" s="17"/>
    </row>
    <row r="34" spans="1:14" ht="18.75">
      <c r="A34" s="8" t="s">
        <v>96</v>
      </c>
      <c r="B34"/>
      <c r="C34" s="190"/>
      <c r="D34" s="190"/>
      <c r="E34" s="190"/>
      <c r="F34" s="11"/>
      <c r="G34" s="191"/>
      <c r="H34" s="191"/>
      <c r="I34" s="17"/>
      <c r="J34" s="17"/>
      <c r="K34" s="17"/>
      <c r="L34" s="4"/>
      <c r="M34" s="4"/>
      <c r="N34" s="4"/>
    </row>
    <row r="35" spans="1:14" ht="15">
      <c r="A35"/>
      <c r="B35"/>
      <c r="C35" s="186" t="s">
        <v>104</v>
      </c>
      <c r="D35" s="186"/>
      <c r="E35" s="186"/>
      <c r="F35" s="20" t="s">
        <v>105</v>
      </c>
      <c r="G35" s="186" t="s">
        <v>106</v>
      </c>
      <c r="H35" s="186"/>
      <c r="I35" s="17"/>
      <c r="J35" s="18"/>
      <c r="K35" s="18"/>
      <c r="L35" s="18"/>
      <c r="M35" s="18"/>
      <c r="N35" s="18"/>
    </row>
    <row r="36" spans="1:14" ht="15">
      <c r="A36"/>
      <c r="B36"/>
      <c r="C36"/>
      <c r="D36"/>
      <c r="E36"/>
      <c r="F36"/>
      <c r="G36" s="17"/>
      <c r="H36" s="17"/>
      <c r="I36" s="17"/>
      <c r="J36" s="17"/>
      <c r="K36" s="17"/>
      <c r="L36" s="17"/>
      <c r="M36" s="17"/>
      <c r="N36" s="17"/>
    </row>
    <row r="37" spans="1:8" ht="15">
      <c r="A37"/>
      <c r="B37"/>
      <c r="C37"/>
      <c r="D37"/>
      <c r="E37"/>
      <c r="F37"/>
      <c r="G37"/>
      <c r="H37"/>
    </row>
    <row r="38" spans="1:8" ht="18.75">
      <c r="A38" s="8" t="s">
        <v>97</v>
      </c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10" ht="18.75">
      <c r="A41" s="189"/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0" ht="18.75">
      <c r="A42" s="189" t="s">
        <v>100</v>
      </c>
      <c r="B42" s="189"/>
      <c r="C42" s="189"/>
      <c r="D42" s="189"/>
      <c r="E42" s="189"/>
      <c r="F42" s="15"/>
      <c r="G42" s="15"/>
      <c r="H42" s="15"/>
      <c r="I42" s="15"/>
      <c r="J42" s="15"/>
    </row>
    <row r="43" spans="1:10" ht="44.25" customHeight="1">
      <c r="A43" s="175" t="s">
        <v>172</v>
      </c>
      <c r="B43" s="175"/>
      <c r="C43" s="175"/>
      <c r="D43" s="175"/>
      <c r="E43" s="175"/>
      <c r="F43" s="15"/>
      <c r="G43" s="15"/>
      <c r="H43" s="15"/>
      <c r="I43" s="15"/>
      <c r="J43" s="15"/>
    </row>
    <row r="44" spans="1:10" ht="15.75">
      <c r="A44" s="192" t="s">
        <v>102</v>
      </c>
      <c r="B44" s="192"/>
      <c r="C44" s="192"/>
      <c r="D44" s="192"/>
      <c r="E44" s="192"/>
      <c r="F44" s="16"/>
      <c r="G44" s="16"/>
      <c r="H44" s="16"/>
      <c r="I44" s="16"/>
      <c r="J44" s="16"/>
    </row>
    <row r="45" spans="1:10" ht="15.75">
      <c r="A45" s="192" t="s">
        <v>101</v>
      </c>
      <c r="B45" s="192"/>
      <c r="C45" s="192"/>
      <c r="D45" s="192"/>
      <c r="E45" s="192"/>
      <c r="F45" s="16"/>
      <c r="G45" s="16"/>
      <c r="H45" s="16"/>
      <c r="I45" s="16"/>
      <c r="J45" s="16"/>
    </row>
    <row r="46" spans="1:10" ht="18.75">
      <c r="A46" s="187" t="s">
        <v>173</v>
      </c>
      <c r="B46" s="187"/>
      <c r="C46" s="187"/>
      <c r="D46" s="187"/>
      <c r="E46" s="187"/>
      <c r="F46" s="15"/>
      <c r="G46" s="15"/>
      <c r="H46" s="15"/>
      <c r="I46" s="15"/>
      <c r="J46" s="15"/>
    </row>
    <row r="47" spans="1:10" ht="15.75">
      <c r="A47" s="188" t="s">
        <v>99</v>
      </c>
      <c r="B47" s="188"/>
      <c r="C47" s="188"/>
      <c r="D47" s="188"/>
      <c r="E47" s="188"/>
      <c r="F47" s="16"/>
      <c r="G47" s="16"/>
      <c r="H47" s="16"/>
      <c r="I47" s="16"/>
      <c r="J47" s="16"/>
    </row>
    <row r="48" spans="1:10" ht="18.75">
      <c r="A48" s="189" t="s">
        <v>98</v>
      </c>
      <c r="B48" s="189"/>
      <c r="C48" s="189"/>
      <c r="D48" s="189"/>
      <c r="E48" s="189"/>
      <c r="F48" s="15"/>
      <c r="G48" s="15"/>
      <c r="H48" s="15"/>
      <c r="I48" s="15"/>
      <c r="J48" s="15"/>
    </row>
    <row r="49" spans="1:10" ht="18.75">
      <c r="A49" s="189" t="s">
        <v>236</v>
      </c>
      <c r="B49" s="189"/>
      <c r="C49" s="189"/>
      <c r="D49" s="189"/>
      <c r="E49" s="189"/>
      <c r="F49" s="15"/>
      <c r="G49" s="15"/>
      <c r="H49" s="15"/>
      <c r="I49" s="15"/>
      <c r="J49" s="15"/>
    </row>
    <row r="50" spans="1:10" ht="18.75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sheetProtection/>
  <mergeCells count="22">
    <mergeCell ref="C31:E31"/>
    <mergeCell ref="A2:A3"/>
    <mergeCell ref="B2:B3"/>
    <mergeCell ref="C2:C3"/>
    <mergeCell ref="D2:D3"/>
    <mergeCell ref="E2:H2"/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A46:E46"/>
    <mergeCell ref="A47:E47"/>
    <mergeCell ref="A48:E48"/>
    <mergeCell ref="C34:E34"/>
    <mergeCell ref="A41:J41"/>
    <mergeCell ref="G35:H35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25" right="0.25" top="0.75" bottom="0.75" header="0.3" footer="0.3"/>
  <pageSetup fitToHeight="0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SheetLayoutView="100" zoomScalePageLayoutView="0" workbookViewId="0" topLeftCell="A31">
      <selection activeCell="J13" sqref="J13"/>
    </sheetView>
  </sheetViews>
  <sheetFormatPr defaultColWidth="1.1484375" defaultRowHeight="15"/>
  <cols>
    <col min="1" max="1" width="4.140625" style="88" customWidth="1"/>
    <col min="2" max="2" width="27.28125" style="88" customWidth="1"/>
    <col min="3" max="3" width="14.140625" style="88" customWidth="1"/>
    <col min="4" max="4" width="25.7109375" style="88" customWidth="1"/>
    <col min="5" max="9" width="16.8515625" style="88" hidden="1" customWidth="1"/>
    <col min="10" max="10" width="15.421875" style="88" bestFit="1" customWidth="1"/>
    <col min="11" max="11" width="4.00390625" style="88" customWidth="1"/>
    <col min="12" max="12" width="10.00390625" style="88" bestFit="1" customWidth="1"/>
    <col min="13" max="16384" width="1.1484375" style="88" customWidth="1"/>
  </cols>
  <sheetData>
    <row r="1" spans="1:12" ht="12.75">
      <c r="A1" s="195" t="s">
        <v>206</v>
      </c>
      <c r="B1" s="195"/>
      <c r="C1" s="195"/>
      <c r="D1" s="195"/>
      <c r="E1" s="195"/>
      <c r="F1" s="195"/>
      <c r="G1" s="195"/>
      <c r="H1" s="195"/>
      <c r="I1" s="195"/>
      <c r="J1" s="195"/>
      <c r="K1" s="60"/>
      <c r="L1" s="60"/>
    </row>
    <row r="2" spans="1:12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60"/>
      <c r="L2" s="60"/>
    </row>
    <row r="3" spans="1:12" ht="12.75">
      <c r="A3" s="195" t="s">
        <v>107</v>
      </c>
      <c r="B3" s="195"/>
      <c r="C3" s="199" t="s">
        <v>359</v>
      </c>
      <c r="D3" s="199"/>
      <c r="E3" s="199"/>
      <c r="F3" s="199"/>
      <c r="G3" s="199"/>
      <c r="H3" s="199"/>
      <c r="I3" s="199"/>
      <c r="J3" s="199"/>
      <c r="K3" s="104"/>
      <c r="L3" s="104"/>
    </row>
    <row r="4" spans="4:12" ht="12.75">
      <c r="D4" s="87"/>
      <c r="E4" s="87"/>
      <c r="F4" s="87"/>
      <c r="G4" s="87"/>
      <c r="H4" s="87"/>
      <c r="I4" s="87"/>
      <c r="J4" s="87"/>
      <c r="K4" s="87"/>
      <c r="L4" s="87"/>
    </row>
    <row r="5" spans="1:10" ht="12.75">
      <c r="A5" s="200" t="s">
        <v>194</v>
      </c>
      <c r="B5" s="200" t="s">
        <v>195</v>
      </c>
      <c r="C5" s="200" t="s">
        <v>196</v>
      </c>
      <c r="D5" s="203" t="str">
        <f>D25</f>
        <v>Месячный ФОТ по штатному расписанию</v>
      </c>
      <c r="E5" s="204"/>
      <c r="F5" s="204"/>
      <c r="G5" s="205"/>
      <c r="H5" s="196" t="s">
        <v>200</v>
      </c>
      <c r="I5" s="196" t="s">
        <v>201</v>
      </c>
      <c r="J5" s="196" t="s">
        <v>202</v>
      </c>
    </row>
    <row r="6" spans="1:10" ht="12.75">
      <c r="A6" s="201"/>
      <c r="B6" s="201"/>
      <c r="C6" s="201"/>
      <c r="D6" s="206"/>
      <c r="E6" s="207"/>
      <c r="F6" s="207"/>
      <c r="G6" s="208"/>
      <c r="H6" s="196"/>
      <c r="I6" s="196"/>
      <c r="J6" s="196"/>
    </row>
    <row r="7" spans="1:10" ht="12.75">
      <c r="A7" s="202"/>
      <c r="B7" s="202"/>
      <c r="C7" s="202"/>
      <c r="D7" s="209"/>
      <c r="E7" s="210"/>
      <c r="F7" s="210"/>
      <c r="G7" s="211"/>
      <c r="H7" s="196"/>
      <c r="I7" s="196"/>
      <c r="J7" s="196"/>
    </row>
    <row r="8" spans="1:10" ht="12.7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5</v>
      </c>
    </row>
    <row r="9" spans="1:10" s="59" customFormat="1" ht="12.75">
      <c r="A9" s="89" t="s">
        <v>235</v>
      </c>
      <c r="B9" s="93" t="s">
        <v>170</v>
      </c>
      <c r="C9" s="90">
        <v>1.5</v>
      </c>
      <c r="D9" s="90">
        <v>22918.5</v>
      </c>
      <c r="E9" s="90"/>
      <c r="F9" s="90"/>
      <c r="G9" s="90"/>
      <c r="H9" s="90"/>
      <c r="I9" s="90"/>
      <c r="J9" s="90">
        <f>ROUNDUP(D9*12,-3)</f>
        <v>276000</v>
      </c>
    </row>
    <row r="10" spans="1:10" s="59" customFormat="1" ht="12.75">
      <c r="A10" s="89" t="s">
        <v>108</v>
      </c>
      <c r="B10" s="93" t="s">
        <v>171</v>
      </c>
      <c r="C10" s="90">
        <v>1</v>
      </c>
      <c r="D10" s="90">
        <v>15279</v>
      </c>
      <c r="E10" s="90"/>
      <c r="F10" s="90"/>
      <c r="G10" s="90"/>
      <c r="H10" s="90"/>
      <c r="I10" s="90"/>
      <c r="J10" s="90">
        <f>ROUNDUP(D10*12,-3)</f>
        <v>184000</v>
      </c>
    </row>
    <row r="11" spans="1:11" s="59" customFormat="1" ht="12.75">
      <c r="A11" s="89" t="s">
        <v>261</v>
      </c>
      <c r="B11" s="93" t="s">
        <v>263</v>
      </c>
      <c r="C11" s="90">
        <v>2</v>
      </c>
      <c r="D11" s="90">
        <v>48140.1</v>
      </c>
      <c r="E11" s="90"/>
      <c r="F11" s="90"/>
      <c r="G11" s="90"/>
      <c r="H11" s="90"/>
      <c r="I11" s="90"/>
      <c r="J11" s="90">
        <f>ROUNDUP(D11*12,-3)</f>
        <v>578000</v>
      </c>
      <c r="K11" s="77"/>
    </row>
    <row r="12" spans="1:11" s="59" customFormat="1" ht="12.75">
      <c r="A12" s="89" t="s">
        <v>262</v>
      </c>
      <c r="B12" s="93" t="s">
        <v>260</v>
      </c>
      <c r="C12" s="90">
        <v>15.89</v>
      </c>
      <c r="D12" s="90">
        <v>356688.53</v>
      </c>
      <c r="E12" s="90"/>
      <c r="F12" s="90"/>
      <c r="G12" s="90"/>
      <c r="H12" s="90"/>
      <c r="I12" s="90"/>
      <c r="J12" s="90">
        <f>ROUNDUP(D12*12,-3)+384000+92780</f>
        <v>4757780</v>
      </c>
      <c r="K12" s="77"/>
    </row>
    <row r="13" spans="1:11" s="59" customFormat="1" ht="12.75">
      <c r="A13" s="197" t="s">
        <v>288</v>
      </c>
      <c r="B13" s="198"/>
      <c r="C13" s="91">
        <f>SUM(C9:C12)</f>
        <v>20.39</v>
      </c>
      <c r="D13" s="91">
        <f>SUM(D9:I12)</f>
        <v>443026.13</v>
      </c>
      <c r="E13" s="91" t="s">
        <v>21</v>
      </c>
      <c r="F13" s="91" t="s">
        <v>21</v>
      </c>
      <c r="G13" s="91" t="s">
        <v>21</v>
      </c>
      <c r="H13" s="91" t="s">
        <v>21</v>
      </c>
      <c r="I13" s="91" t="s">
        <v>21</v>
      </c>
      <c r="J13" s="91">
        <f>SUM(J9:J12)-179000-93113</f>
        <v>5523667</v>
      </c>
      <c r="K13" s="133"/>
    </row>
    <row r="14" ht="12.75">
      <c r="K14" s="105"/>
    </row>
    <row r="15" spans="1:11" ht="12.75">
      <c r="A15" s="195" t="s">
        <v>107</v>
      </c>
      <c r="B15" s="195"/>
      <c r="C15" s="199"/>
      <c r="D15" s="199"/>
      <c r="E15" s="104"/>
      <c r="K15" s="105"/>
    </row>
    <row r="16" spans="1:11" ht="12.75">
      <c r="A16" s="195" t="s">
        <v>290</v>
      </c>
      <c r="B16" s="195"/>
      <c r="C16" s="195"/>
      <c r="D16" s="195"/>
      <c r="K16" s="105"/>
    </row>
    <row r="17" spans="1:11" ht="12.75">
      <c r="A17" s="117"/>
      <c r="B17" s="117"/>
      <c r="C17" s="117"/>
      <c r="D17" s="117"/>
      <c r="K17" s="105"/>
    </row>
    <row r="18" spans="1:3" ht="25.5">
      <c r="A18" s="68" t="str">
        <f>A5</f>
        <v>№ п/п</v>
      </c>
      <c r="B18" s="68" t="s">
        <v>110</v>
      </c>
      <c r="C18" s="68" t="str">
        <f>'221'!F5</f>
        <v>Сумма, руб.</v>
      </c>
    </row>
    <row r="19" spans="1:3" ht="12.75">
      <c r="A19" s="68">
        <v>1</v>
      </c>
      <c r="B19" s="68">
        <v>2</v>
      </c>
      <c r="C19" s="68">
        <v>3</v>
      </c>
    </row>
    <row r="20" spans="1:3" ht="25.5">
      <c r="A20" s="68">
        <v>1</v>
      </c>
      <c r="B20" s="92" t="s">
        <v>238</v>
      </c>
      <c r="C20" s="90">
        <f>'Раздел 1'!K16</f>
        <v>18000</v>
      </c>
    </row>
    <row r="21" spans="1:3" ht="12.75">
      <c r="A21" s="193" t="s">
        <v>288</v>
      </c>
      <c r="B21" s="194"/>
      <c r="C21" s="91">
        <f>SUM(C20)</f>
        <v>18000</v>
      </c>
    </row>
    <row r="23" spans="1:12" ht="12.75">
      <c r="A23" s="195" t="s">
        <v>107</v>
      </c>
      <c r="B23" s="195"/>
      <c r="C23" s="199" t="s">
        <v>291</v>
      </c>
      <c r="D23" s="199"/>
      <c r="E23" s="199"/>
      <c r="F23" s="199"/>
      <c r="G23" s="199"/>
      <c r="H23" s="199"/>
      <c r="I23" s="199"/>
      <c r="J23" s="199"/>
      <c r="K23" s="104"/>
      <c r="L23" s="104"/>
    </row>
    <row r="24" spans="4:12" ht="12.75">
      <c r="D24" s="87"/>
      <c r="E24" s="87"/>
      <c r="F24" s="87"/>
      <c r="G24" s="87"/>
      <c r="H24" s="87"/>
      <c r="I24" s="87"/>
      <c r="J24" s="87"/>
      <c r="K24" s="87"/>
      <c r="L24" s="87"/>
    </row>
    <row r="25" spans="1:10" ht="12.75">
      <c r="A25" s="200" t="s">
        <v>194</v>
      </c>
      <c r="B25" s="200" t="s">
        <v>195</v>
      </c>
      <c r="C25" s="200" t="s">
        <v>196</v>
      </c>
      <c r="D25" s="203" t="s">
        <v>245</v>
      </c>
      <c r="E25" s="134"/>
      <c r="F25" s="134"/>
      <c r="G25" s="135"/>
      <c r="H25" s="200" t="s">
        <v>200</v>
      </c>
      <c r="I25" s="200" t="s">
        <v>201</v>
      </c>
      <c r="J25" s="200" t="s">
        <v>244</v>
      </c>
    </row>
    <row r="26" spans="1:10" ht="12.75">
      <c r="A26" s="201"/>
      <c r="B26" s="201"/>
      <c r="C26" s="201"/>
      <c r="D26" s="206"/>
      <c r="E26" s="196" t="s">
        <v>23</v>
      </c>
      <c r="F26" s="196"/>
      <c r="G26" s="196"/>
      <c r="H26" s="201"/>
      <c r="I26" s="201"/>
      <c r="J26" s="201"/>
    </row>
    <row r="27" spans="1:10" ht="38.25">
      <c r="A27" s="202"/>
      <c r="B27" s="202"/>
      <c r="C27" s="202"/>
      <c r="D27" s="209"/>
      <c r="E27" s="68" t="s">
        <v>197</v>
      </c>
      <c r="F27" s="68" t="s">
        <v>198</v>
      </c>
      <c r="G27" s="68" t="s">
        <v>199</v>
      </c>
      <c r="H27" s="202"/>
      <c r="I27" s="202"/>
      <c r="J27" s="202"/>
    </row>
    <row r="28" spans="1:10" ht="12.75">
      <c r="A28" s="68">
        <v>1</v>
      </c>
      <c r="B28" s="68">
        <v>2</v>
      </c>
      <c r="C28" s="68">
        <v>3</v>
      </c>
      <c r="D28" s="68">
        <v>4</v>
      </c>
      <c r="E28" s="68">
        <v>5</v>
      </c>
      <c r="F28" s="68">
        <v>6</v>
      </c>
      <c r="G28" s="68">
        <v>7</v>
      </c>
      <c r="H28" s="68">
        <v>8</v>
      </c>
      <c r="I28" s="68">
        <v>9</v>
      </c>
      <c r="J28" s="68">
        <v>5</v>
      </c>
    </row>
    <row r="29" spans="1:10" s="59" customFormat="1" ht="12.75">
      <c r="A29" s="89" t="s">
        <v>235</v>
      </c>
      <c r="B29" s="93" t="s">
        <v>171</v>
      </c>
      <c r="C29" s="90">
        <v>6.5</v>
      </c>
      <c r="D29" s="90">
        <v>102304.74</v>
      </c>
      <c r="E29" s="90"/>
      <c r="F29" s="90"/>
      <c r="G29" s="90"/>
      <c r="H29" s="90"/>
      <c r="I29" s="90"/>
      <c r="J29" s="90">
        <f>ROUNDUP(D29*12,-3)+55500</f>
        <v>1283500</v>
      </c>
    </row>
    <row r="30" spans="1:10" s="59" customFormat="1" ht="12.75">
      <c r="A30" s="197" t="s">
        <v>288</v>
      </c>
      <c r="B30" s="198"/>
      <c r="C30" s="91">
        <f>SUM(C29)</f>
        <v>6.5</v>
      </c>
      <c r="D30" s="91">
        <f>SUM(D29)</f>
        <v>102304.74</v>
      </c>
      <c r="E30" s="91" t="s">
        <v>21</v>
      </c>
      <c r="F30" s="91" t="s">
        <v>21</v>
      </c>
      <c r="G30" s="91" t="s">
        <v>21</v>
      </c>
      <c r="H30" s="91" t="s">
        <v>21</v>
      </c>
      <c r="I30" s="91" t="s">
        <v>21</v>
      </c>
      <c r="J30" s="91">
        <f>SUM(J29:J29)</f>
        <v>1283500</v>
      </c>
    </row>
    <row r="31" ht="12.75">
      <c r="K31" s="105"/>
    </row>
    <row r="32" spans="1:4" ht="12.75">
      <c r="A32" s="195" t="s">
        <v>107</v>
      </c>
      <c r="B32" s="195"/>
      <c r="C32" s="199"/>
      <c r="D32" s="199"/>
    </row>
    <row r="33" spans="1:4" ht="12.75">
      <c r="A33" s="195" t="s">
        <v>292</v>
      </c>
      <c r="B33" s="195"/>
      <c r="C33" s="195"/>
      <c r="D33" s="195"/>
    </row>
    <row r="34" spans="1:4" ht="12.75">
      <c r="A34" s="117"/>
      <c r="B34" s="117"/>
      <c r="C34" s="117"/>
      <c r="D34" s="117"/>
    </row>
    <row r="35" spans="1:3" ht="25.5">
      <c r="A35" s="63" t="str">
        <f>A25</f>
        <v>№ п/п</v>
      </c>
      <c r="B35" s="68" t="s">
        <v>110</v>
      </c>
      <c r="C35" s="68" t="str">
        <f>C18</f>
        <v>Сумма, руб.</v>
      </c>
    </row>
    <row r="36" spans="1:3" ht="12.75">
      <c r="A36" s="68">
        <v>1</v>
      </c>
      <c r="B36" s="68">
        <v>2</v>
      </c>
      <c r="C36" s="68">
        <v>3</v>
      </c>
    </row>
    <row r="37" spans="1:3" ht="25.5">
      <c r="A37" s="68">
        <v>1</v>
      </c>
      <c r="B37" s="92" t="s">
        <v>238</v>
      </c>
      <c r="C37" s="90">
        <v>3000</v>
      </c>
    </row>
    <row r="38" spans="1:3" ht="12.75">
      <c r="A38" s="212" t="s">
        <v>288</v>
      </c>
      <c r="B38" s="212"/>
      <c r="C38" s="91">
        <f>SUM(C37)</f>
        <v>3000</v>
      </c>
    </row>
    <row r="40" spans="1:10" ht="24" customHeight="1">
      <c r="A40" s="195" t="s">
        <v>107</v>
      </c>
      <c r="B40" s="195"/>
      <c r="C40" s="199" t="s">
        <v>346</v>
      </c>
      <c r="D40" s="199"/>
      <c r="E40" s="199"/>
      <c r="F40" s="199"/>
      <c r="G40" s="199"/>
      <c r="H40" s="199"/>
      <c r="I40" s="199"/>
      <c r="J40" s="199"/>
    </row>
    <row r="41" spans="4:10" ht="12.75">
      <c r="D41" s="87"/>
      <c r="E41" s="87"/>
      <c r="F41" s="87"/>
      <c r="G41" s="87"/>
      <c r="H41" s="87"/>
      <c r="I41" s="87"/>
      <c r="J41" s="87"/>
    </row>
    <row r="42" spans="1:10" ht="12.75">
      <c r="A42" s="200" t="s">
        <v>194</v>
      </c>
      <c r="B42" s="200" t="s">
        <v>195</v>
      </c>
      <c r="C42" s="200" t="s">
        <v>196</v>
      </c>
      <c r="D42" s="203" t="s">
        <v>256</v>
      </c>
      <c r="E42" s="204"/>
      <c r="F42" s="204"/>
      <c r="G42" s="205"/>
      <c r="H42" s="200" t="s">
        <v>200</v>
      </c>
      <c r="I42" s="200" t="s">
        <v>201</v>
      </c>
      <c r="J42" s="200" t="str">
        <f>J25</f>
        <v>Фонд оплаты труда в год, руб</v>
      </c>
    </row>
    <row r="43" spans="1:10" ht="12.75">
      <c r="A43" s="201"/>
      <c r="B43" s="201"/>
      <c r="C43" s="201"/>
      <c r="D43" s="206"/>
      <c r="E43" s="207"/>
      <c r="F43" s="207"/>
      <c r="G43" s="208"/>
      <c r="H43" s="201"/>
      <c r="I43" s="201"/>
      <c r="J43" s="201"/>
    </row>
    <row r="44" spans="1:10" ht="12.75">
      <c r="A44" s="202"/>
      <c r="B44" s="202"/>
      <c r="C44" s="202"/>
      <c r="D44" s="209"/>
      <c r="E44" s="210"/>
      <c r="F44" s="210"/>
      <c r="G44" s="211"/>
      <c r="H44" s="202"/>
      <c r="I44" s="202"/>
      <c r="J44" s="202"/>
    </row>
    <row r="45" spans="1:10" ht="12.75">
      <c r="A45" s="68">
        <v>1</v>
      </c>
      <c r="B45" s="68">
        <v>2</v>
      </c>
      <c r="C45" s="68">
        <v>3</v>
      </c>
      <c r="D45" s="68">
        <v>4</v>
      </c>
      <c r="E45" s="68">
        <v>5</v>
      </c>
      <c r="F45" s="68">
        <v>6</v>
      </c>
      <c r="G45" s="68">
        <v>7</v>
      </c>
      <c r="H45" s="68">
        <v>8</v>
      </c>
      <c r="I45" s="68">
        <v>9</v>
      </c>
      <c r="J45" s="68">
        <v>10</v>
      </c>
    </row>
    <row r="46" spans="1:10" ht="178.5">
      <c r="A46" s="89" t="s">
        <v>235</v>
      </c>
      <c r="B46" s="66" t="s">
        <v>255</v>
      </c>
      <c r="C46" s="90"/>
      <c r="D46" s="90">
        <v>5000</v>
      </c>
      <c r="E46" s="90"/>
      <c r="F46" s="90">
        <v>4874.839743589743</v>
      </c>
      <c r="G46" s="90"/>
      <c r="H46" s="90"/>
      <c r="I46" s="90"/>
      <c r="J46" s="90">
        <v>528000</v>
      </c>
    </row>
    <row r="47" spans="1:10" ht="12.75">
      <c r="A47" s="197" t="s">
        <v>288</v>
      </c>
      <c r="B47" s="198"/>
      <c r="C47" s="91">
        <f>SUM(C46)</f>
        <v>0</v>
      </c>
      <c r="D47" s="91"/>
      <c r="E47" s="91" t="s">
        <v>21</v>
      </c>
      <c r="F47" s="91" t="s">
        <v>21</v>
      </c>
      <c r="G47" s="91" t="s">
        <v>21</v>
      </c>
      <c r="H47" s="91" t="s">
        <v>21</v>
      </c>
      <c r="I47" s="91" t="s">
        <v>21</v>
      </c>
      <c r="J47" s="91">
        <f>SUM(J46)</f>
        <v>528000</v>
      </c>
    </row>
    <row r="48" ht="12.75">
      <c r="K48" s="105"/>
    </row>
  </sheetData>
  <sheetProtection/>
  <mergeCells count="40">
    <mergeCell ref="J42:J44"/>
    <mergeCell ref="A47:B47"/>
    <mergeCell ref="A42:A44"/>
    <mergeCell ref="B42:B44"/>
    <mergeCell ref="C42:C44"/>
    <mergeCell ref="D42:G44"/>
    <mergeCell ref="H42:H44"/>
    <mergeCell ref="I42:I44"/>
    <mergeCell ref="A33:D33"/>
    <mergeCell ref="A25:A27"/>
    <mergeCell ref="B25:B27"/>
    <mergeCell ref="C25:C27"/>
    <mergeCell ref="A40:B40"/>
    <mergeCell ref="C40:J40"/>
    <mergeCell ref="A38:B38"/>
    <mergeCell ref="J25:J27"/>
    <mergeCell ref="A32:B32"/>
    <mergeCell ref="C32:D32"/>
    <mergeCell ref="C23:J23"/>
    <mergeCell ref="A30:B30"/>
    <mergeCell ref="E26:G26"/>
    <mergeCell ref="I25:I27"/>
    <mergeCell ref="D25:D27"/>
    <mergeCell ref="H25:H27"/>
    <mergeCell ref="A5:A7"/>
    <mergeCell ref="B5:B7"/>
    <mergeCell ref="C5:C7"/>
    <mergeCell ref="D5:G7"/>
    <mergeCell ref="A15:B15"/>
    <mergeCell ref="C15:D15"/>
    <mergeCell ref="A21:B21"/>
    <mergeCell ref="A16:D16"/>
    <mergeCell ref="A1:J1"/>
    <mergeCell ref="A3:B3"/>
    <mergeCell ref="A23:B23"/>
    <mergeCell ref="H5:H7"/>
    <mergeCell ref="J5:J7"/>
    <mergeCell ref="A13:B13"/>
    <mergeCell ref="C3:J3"/>
    <mergeCell ref="I5:I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view="pageBreakPreview" zoomScaleSheetLayoutView="100" zoomScalePageLayoutView="0" workbookViewId="0" topLeftCell="A1">
      <selection activeCell="E6" sqref="E6"/>
    </sheetView>
  </sheetViews>
  <sheetFormatPr defaultColWidth="7.421875" defaultRowHeight="15"/>
  <cols>
    <col min="1" max="1" width="4.00390625" style="88" customWidth="1"/>
    <col min="2" max="2" width="34.8515625" style="88" customWidth="1"/>
    <col min="3" max="3" width="17.7109375" style="88" hidden="1" customWidth="1"/>
    <col min="4" max="4" width="25.7109375" style="88" hidden="1" customWidth="1"/>
    <col min="5" max="5" width="40.7109375" style="88" customWidth="1"/>
    <col min="6" max="16384" width="7.421875" style="88" customWidth="1"/>
  </cols>
  <sheetData>
    <row r="1" spans="1:5" ht="42" customHeight="1">
      <c r="A1" s="195" t="s">
        <v>107</v>
      </c>
      <c r="B1" s="195"/>
      <c r="C1" s="199" t="s">
        <v>360</v>
      </c>
      <c r="D1" s="199"/>
      <c r="E1" s="199"/>
    </row>
    <row r="2" spans="1:5" ht="15">
      <c r="A2" s="136"/>
      <c r="B2" s="111"/>
      <c r="C2" s="111"/>
      <c r="D2" s="87"/>
      <c r="E2" s="112"/>
    </row>
    <row r="3" spans="1:5" ht="25.5">
      <c r="A3" s="68" t="s">
        <v>194</v>
      </c>
      <c r="B3" s="68" t="s">
        <v>110</v>
      </c>
      <c r="C3" s="68" t="s">
        <v>119</v>
      </c>
      <c r="D3" s="68" t="s">
        <v>216</v>
      </c>
      <c r="E3" s="68" t="str">
        <f>'221'!F5</f>
        <v>Сумма, руб.</v>
      </c>
    </row>
    <row r="4" spans="1:5" ht="12.75">
      <c r="A4" s="68">
        <v>1</v>
      </c>
      <c r="B4" s="68">
        <v>2</v>
      </c>
      <c r="C4" s="68">
        <v>3</v>
      </c>
      <c r="D4" s="68">
        <v>4</v>
      </c>
      <c r="E4" s="68">
        <v>3</v>
      </c>
    </row>
    <row r="5" spans="1:5" ht="165.75" customHeight="1">
      <c r="A5" s="68">
        <v>1</v>
      </c>
      <c r="B5" s="106" t="s">
        <v>357</v>
      </c>
      <c r="C5" s="63"/>
      <c r="D5" s="63">
        <v>12</v>
      </c>
      <c r="E5" s="90">
        <v>208515.46</v>
      </c>
    </row>
    <row r="6" spans="1:5" ht="12.75">
      <c r="A6" s="63"/>
      <c r="B6" s="102" t="s">
        <v>288</v>
      </c>
      <c r="C6" s="102" t="s">
        <v>21</v>
      </c>
      <c r="D6" s="102" t="s">
        <v>21</v>
      </c>
      <c r="E6" s="130">
        <f>E5</f>
        <v>208515.46</v>
      </c>
    </row>
  </sheetData>
  <sheetProtection/>
  <mergeCells count="2">
    <mergeCell ref="A1:B1"/>
    <mergeCell ref="C1:E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7"/>
  <sheetViews>
    <sheetView view="pageBreakPreview" zoomScaleSheetLayoutView="100" zoomScalePageLayoutView="0" workbookViewId="0" topLeftCell="A37">
      <selection activeCell="E20" sqref="E20"/>
    </sheetView>
  </sheetViews>
  <sheetFormatPr defaultColWidth="1.1484375" defaultRowHeight="15"/>
  <cols>
    <col min="1" max="1" width="3.8515625" style="88" customWidth="1"/>
    <col min="2" max="2" width="62.8515625" style="88" customWidth="1"/>
    <col min="3" max="3" width="13.421875" style="88" customWidth="1"/>
    <col min="4" max="4" width="25.7109375" style="88" customWidth="1"/>
    <col min="5" max="5" width="15.28125" style="139" customWidth="1"/>
    <col min="6" max="17" width="1.1484375" style="88" customWidth="1"/>
    <col min="18" max="18" width="10.00390625" style="88" bestFit="1" customWidth="1"/>
    <col min="19" max="30" width="1.1484375" style="88" customWidth="1"/>
    <col min="31" max="31" width="7.421875" style="88" bestFit="1" customWidth="1"/>
    <col min="32" max="56" width="1.1484375" style="88" customWidth="1"/>
    <col min="57" max="57" width="1.1484375" style="139" customWidth="1"/>
    <col min="58" max="68" width="1.1484375" style="88" customWidth="1"/>
    <col min="69" max="69" width="1.1484375" style="139" customWidth="1"/>
    <col min="70" max="80" width="1.1484375" style="88" customWidth="1"/>
    <col min="81" max="81" width="15.57421875" style="88" customWidth="1"/>
    <col min="82" max="16384" width="1.1484375" style="88" customWidth="1"/>
  </cols>
  <sheetData>
    <row r="1" spans="1:80" ht="30" customHeight="1">
      <c r="A1" s="195" t="s">
        <v>224</v>
      </c>
      <c r="B1" s="195"/>
      <c r="C1" s="195"/>
      <c r="D1" s="195"/>
      <c r="E1" s="88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88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88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3" spans="2:81" ht="12.75">
      <c r="B3" s="137" t="str">
        <f>B18</f>
        <v>Код видов расходов</v>
      </c>
      <c r="E3" s="88"/>
      <c r="BE3" s="88"/>
      <c r="BQ3" s="88"/>
      <c r="CC3" s="138"/>
    </row>
    <row r="4" spans="2:81" ht="12.75">
      <c r="B4" s="118" t="s">
        <v>293</v>
      </c>
      <c r="C4" s="104"/>
      <c r="D4" s="104"/>
      <c r="E4" s="104"/>
      <c r="BE4" s="88"/>
      <c r="BQ4" s="88"/>
      <c r="CC4" s="138"/>
    </row>
    <row r="6" spans="1:80" ht="51">
      <c r="A6" s="63" t="str">
        <f>A21</f>
        <v>№ п/п</v>
      </c>
      <c r="B6" s="63" t="s">
        <v>112</v>
      </c>
      <c r="C6" s="63" t="s">
        <v>230</v>
      </c>
      <c r="D6" s="63" t="s">
        <v>231</v>
      </c>
      <c r="E6" s="88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88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88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8">
        <v>1</v>
      </c>
      <c r="B7" s="68">
        <v>2</v>
      </c>
      <c r="C7" s="68">
        <v>3</v>
      </c>
      <c r="D7" s="68">
        <v>4</v>
      </c>
      <c r="E7" s="8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88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88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12.75">
      <c r="A8" s="200">
        <v>1</v>
      </c>
      <c r="B8" s="63" t="s">
        <v>113</v>
      </c>
      <c r="C8" s="101" t="s">
        <v>21</v>
      </c>
      <c r="D8" s="90">
        <f>SUM(D10)</f>
        <v>1215206.74</v>
      </c>
      <c r="E8" s="88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88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88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ht="12.75">
      <c r="A9" s="202"/>
      <c r="B9" s="213" t="s">
        <v>23</v>
      </c>
      <c r="C9" s="214"/>
      <c r="D9" s="214"/>
      <c r="E9" s="88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88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88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12.75">
      <c r="A10" s="68" t="s">
        <v>72</v>
      </c>
      <c r="B10" s="63" t="s">
        <v>225</v>
      </c>
      <c r="C10" s="90">
        <f>'111'!J13</f>
        <v>5523667</v>
      </c>
      <c r="D10" s="90">
        <f>C10*22%</f>
        <v>1215206.74</v>
      </c>
      <c r="E10" s="8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88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88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25.5">
      <c r="A11" s="68">
        <v>2</v>
      </c>
      <c r="B11" s="63" t="s">
        <v>229</v>
      </c>
      <c r="C11" s="101" t="s">
        <v>21</v>
      </c>
      <c r="D11" s="90">
        <f>SUM(D12:D14)</f>
        <v>171233.677</v>
      </c>
      <c r="E11" s="88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88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88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ht="12.75">
      <c r="A12" s="87"/>
      <c r="B12" s="213" t="s">
        <v>23</v>
      </c>
      <c r="C12" s="214"/>
      <c r="D12" s="214"/>
      <c r="E12" s="88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88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88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</row>
    <row r="13" spans="1:80" ht="25.5">
      <c r="A13" s="68" t="s">
        <v>114</v>
      </c>
      <c r="B13" s="63" t="s">
        <v>228</v>
      </c>
      <c r="C13" s="90">
        <f>C10</f>
        <v>5523667</v>
      </c>
      <c r="D13" s="90">
        <f>C13*2.9%</f>
        <v>160186.343</v>
      </c>
      <c r="E13" s="88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88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88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ht="25.5">
      <c r="A14" s="68" t="s">
        <v>115</v>
      </c>
      <c r="B14" s="63" t="s">
        <v>227</v>
      </c>
      <c r="C14" s="90">
        <f>C10</f>
        <v>5523667</v>
      </c>
      <c r="D14" s="90">
        <f>C14*0.2%</f>
        <v>11047.334</v>
      </c>
      <c r="E14" s="88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88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88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</row>
    <row r="15" spans="1:80" ht="25.5">
      <c r="A15" s="68">
        <v>3</v>
      </c>
      <c r="B15" s="63" t="s">
        <v>226</v>
      </c>
      <c r="C15" s="90">
        <f>C10</f>
        <v>5523667</v>
      </c>
      <c r="D15" s="90">
        <f>C15*5.1%</f>
        <v>281707.017</v>
      </c>
      <c r="E15" s="88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88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88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ht="12.75">
      <c r="A16" s="63"/>
      <c r="B16" s="102" t="s">
        <v>288</v>
      </c>
      <c r="C16" s="102" t="s">
        <v>21</v>
      </c>
      <c r="D16" s="91">
        <f>ROUND((D15+D11+D8),-3)+1000-23000-119+20</f>
        <v>1645901</v>
      </c>
      <c r="E16" s="93">
        <f>E17-D16</f>
        <v>-92901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88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88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</row>
    <row r="17" spans="1:81" ht="12.75">
      <c r="A17" s="60"/>
      <c r="B17" s="60"/>
      <c r="C17" s="60"/>
      <c r="D17" s="109"/>
      <c r="E17" s="105">
        <f>'Раздел 1'!M17</f>
        <v>1553000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88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88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38"/>
    </row>
    <row r="18" spans="2:81" ht="12.75">
      <c r="B18" s="137" t="str">
        <f>'111'!A23</f>
        <v>Код видов расходов</v>
      </c>
      <c r="E18" s="88"/>
      <c r="BE18" s="88"/>
      <c r="BQ18" s="88"/>
      <c r="CC18" s="138"/>
    </row>
    <row r="19" spans="2:81" ht="12.75">
      <c r="B19" s="118" t="s">
        <v>294</v>
      </c>
      <c r="C19" s="104"/>
      <c r="D19" s="104"/>
      <c r="E19" s="104"/>
      <c r="BE19" s="88"/>
      <c r="BQ19" s="88"/>
      <c r="CC19" s="138"/>
    </row>
    <row r="21" spans="1:80" ht="51">
      <c r="A21" s="63" t="str">
        <f>'111'!A25</f>
        <v>№ п/п</v>
      </c>
      <c r="B21" s="63" t="s">
        <v>112</v>
      </c>
      <c r="C21" s="63" t="s">
        <v>230</v>
      </c>
      <c r="D21" s="63" t="s">
        <v>231</v>
      </c>
      <c r="E21" s="88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88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88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ht="12.75">
      <c r="A22" s="68">
        <v>1</v>
      </c>
      <c r="B22" s="68">
        <v>2</v>
      </c>
      <c r="C22" s="68">
        <v>3</v>
      </c>
      <c r="D22" s="68">
        <v>4</v>
      </c>
      <c r="E22" s="88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88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88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ht="12.75">
      <c r="A23" s="200">
        <v>1</v>
      </c>
      <c r="B23" s="63" t="s">
        <v>113</v>
      </c>
      <c r="C23" s="101" t="s">
        <v>21</v>
      </c>
      <c r="D23" s="90">
        <f>SUM(D24:D25)</f>
        <v>282370</v>
      </c>
      <c r="E23" s="88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88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88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ht="12.75">
      <c r="A24" s="202"/>
      <c r="B24" s="213" t="s">
        <v>23</v>
      </c>
      <c r="C24" s="214"/>
      <c r="D24" s="214"/>
      <c r="E24" s="8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88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88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</row>
    <row r="25" spans="1:80" ht="12.75">
      <c r="A25" s="68" t="s">
        <v>72</v>
      </c>
      <c r="B25" s="63" t="s">
        <v>225</v>
      </c>
      <c r="C25" s="90">
        <f>'111'!J30</f>
        <v>1283500</v>
      </c>
      <c r="D25" s="90">
        <f>C25*22%</f>
        <v>282370</v>
      </c>
      <c r="E25" s="8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88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88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</row>
    <row r="26" spans="1:80" ht="25.5">
      <c r="A26" s="68">
        <v>2</v>
      </c>
      <c r="B26" s="63" t="s">
        <v>229</v>
      </c>
      <c r="C26" s="101" t="s">
        <v>21</v>
      </c>
      <c r="D26" s="90">
        <f>SUM(D27:D29)</f>
        <v>39788.5</v>
      </c>
      <c r="E26" s="88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88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88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</row>
    <row r="27" spans="1:80" ht="12.75">
      <c r="A27" s="87"/>
      <c r="B27" s="213" t="s">
        <v>23</v>
      </c>
      <c r="C27" s="214"/>
      <c r="D27" s="214"/>
      <c r="E27" s="8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88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88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</row>
    <row r="28" spans="1:80" ht="25.5">
      <c r="A28" s="68" t="s">
        <v>114</v>
      </c>
      <c r="B28" s="63" t="s">
        <v>228</v>
      </c>
      <c r="C28" s="90">
        <f>C25</f>
        <v>1283500</v>
      </c>
      <c r="D28" s="90">
        <f>C28*2.9%</f>
        <v>37221.5</v>
      </c>
      <c r="E28" s="88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88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88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</row>
    <row r="29" spans="1:80" ht="25.5">
      <c r="A29" s="68" t="s">
        <v>115</v>
      </c>
      <c r="B29" s="63" t="s">
        <v>227</v>
      </c>
      <c r="C29" s="90">
        <f>C25</f>
        <v>1283500</v>
      </c>
      <c r="D29" s="90">
        <f>C29*0.2%</f>
        <v>2567</v>
      </c>
      <c r="E29" s="88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88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88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ht="25.5">
      <c r="A30" s="68">
        <v>3</v>
      </c>
      <c r="B30" s="63" t="s">
        <v>226</v>
      </c>
      <c r="C30" s="90">
        <f>C25</f>
        <v>1283500</v>
      </c>
      <c r="D30" s="90">
        <f>C30*5.1%</f>
        <v>65458.49999999999</v>
      </c>
      <c r="E30" s="88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88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88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</row>
    <row r="31" spans="1:80" ht="12.75">
      <c r="A31" s="68"/>
      <c r="B31" s="102" t="s">
        <v>288</v>
      </c>
      <c r="C31" s="102" t="s">
        <v>21</v>
      </c>
      <c r="D31" s="91">
        <f>ROUND((D30+D26+D23),-3)-200</f>
        <v>387800</v>
      </c>
      <c r="E31" s="66">
        <v>371000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88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88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</row>
    <row r="32" spans="5:69" ht="12.75">
      <c r="E32" s="105">
        <f>E31-D31</f>
        <v>-16800</v>
      </c>
      <c r="BE32" s="88"/>
      <c r="BQ32" s="88"/>
    </row>
    <row r="33" spans="2:69" ht="12.75">
      <c r="B33" s="137" t="str">
        <f>B18</f>
        <v>Код видов расходов</v>
      </c>
      <c r="C33" s="87"/>
      <c r="D33" s="87"/>
      <c r="E33" s="88"/>
      <c r="BE33" s="88"/>
      <c r="BQ33" s="88"/>
    </row>
    <row r="34" spans="2:69" ht="12.75">
      <c r="B34" s="199" t="s">
        <v>347</v>
      </c>
      <c r="C34" s="199"/>
      <c r="D34" s="199"/>
      <c r="E34" s="88"/>
      <c r="BE34" s="88"/>
      <c r="BQ34" s="88"/>
    </row>
    <row r="36" spans="1:4" ht="51">
      <c r="A36" s="68" t="str">
        <f>A21</f>
        <v>№ п/п</v>
      </c>
      <c r="B36" s="68" t="s">
        <v>112</v>
      </c>
      <c r="C36" s="68" t="s">
        <v>230</v>
      </c>
      <c r="D36" s="68" t="s">
        <v>231</v>
      </c>
    </row>
    <row r="37" spans="1:4" ht="15">
      <c r="A37" s="68">
        <v>1</v>
      </c>
      <c r="B37" s="68">
        <v>2</v>
      </c>
      <c r="C37" s="68">
        <v>3</v>
      </c>
      <c r="D37" s="68">
        <v>4</v>
      </c>
    </row>
    <row r="38" spans="1:4" ht="15">
      <c r="A38" s="200">
        <v>1</v>
      </c>
      <c r="B38" s="63" t="s">
        <v>113</v>
      </c>
      <c r="C38" s="101" t="s">
        <v>21</v>
      </c>
      <c r="D38" s="90">
        <f>SUM(D39:D40)</f>
        <v>116160</v>
      </c>
    </row>
    <row r="39" spans="1:4" ht="15">
      <c r="A39" s="202"/>
      <c r="B39" s="213" t="s">
        <v>23</v>
      </c>
      <c r="C39" s="214"/>
      <c r="D39" s="214"/>
    </row>
    <row r="40" spans="1:4" ht="15">
      <c r="A40" s="68" t="s">
        <v>72</v>
      </c>
      <c r="B40" s="63" t="s">
        <v>225</v>
      </c>
      <c r="C40" s="90">
        <f>'111'!J47</f>
        <v>528000</v>
      </c>
      <c r="D40" s="90">
        <f>C40*22%</f>
        <v>116160</v>
      </c>
    </row>
    <row r="41" spans="1:4" ht="25.5">
      <c r="A41" s="68">
        <v>2</v>
      </c>
      <c r="B41" s="63" t="s">
        <v>229</v>
      </c>
      <c r="C41" s="101" t="s">
        <v>21</v>
      </c>
      <c r="D41" s="90">
        <f>SUM(D42:D44)</f>
        <v>16367.999999999998</v>
      </c>
    </row>
    <row r="42" spans="1:4" ht="15">
      <c r="A42" s="87"/>
      <c r="B42" s="213" t="s">
        <v>23</v>
      </c>
      <c r="C42" s="214"/>
      <c r="D42" s="214"/>
    </row>
    <row r="43" spans="1:4" ht="25.5">
      <c r="A43" s="68" t="s">
        <v>114</v>
      </c>
      <c r="B43" s="63" t="s">
        <v>228</v>
      </c>
      <c r="C43" s="90">
        <f>C40</f>
        <v>528000</v>
      </c>
      <c r="D43" s="90">
        <f>C43*2.9%</f>
        <v>15311.999999999998</v>
      </c>
    </row>
    <row r="44" spans="1:4" ht="25.5">
      <c r="A44" s="68" t="s">
        <v>115</v>
      </c>
      <c r="B44" s="63" t="s">
        <v>227</v>
      </c>
      <c r="C44" s="90">
        <f>C40</f>
        <v>528000</v>
      </c>
      <c r="D44" s="90">
        <f>C44*0.2%</f>
        <v>1056</v>
      </c>
    </row>
    <row r="45" spans="1:4" ht="25.5">
      <c r="A45" s="68">
        <v>3</v>
      </c>
      <c r="B45" s="63" t="s">
        <v>226</v>
      </c>
      <c r="C45" s="90">
        <f>C40</f>
        <v>528000</v>
      </c>
      <c r="D45" s="90">
        <f>C45*5.1%</f>
        <v>26928</v>
      </c>
    </row>
    <row r="46" spans="1:5" ht="15">
      <c r="A46" s="63"/>
      <c r="B46" s="102" t="s">
        <v>288</v>
      </c>
      <c r="C46" s="102" t="s">
        <v>21</v>
      </c>
      <c r="D46" s="91">
        <f>ROUND((D45+D41+D38),-2)+500</f>
        <v>160000</v>
      </c>
      <c r="E46" s="140">
        <f>'Раздел 1'!J24</f>
        <v>160000</v>
      </c>
    </row>
    <row r="47" ht="15">
      <c r="E47" s="140">
        <f>E46-D46</f>
        <v>0</v>
      </c>
    </row>
  </sheetData>
  <sheetProtection/>
  <mergeCells count="11">
    <mergeCell ref="B34:D34"/>
    <mergeCell ref="A38:A39"/>
    <mergeCell ref="B39:D39"/>
    <mergeCell ref="B42:D42"/>
    <mergeCell ref="A1:D1"/>
    <mergeCell ref="B24:D24"/>
    <mergeCell ref="A23:A24"/>
    <mergeCell ref="B27:D27"/>
    <mergeCell ref="A8:A9"/>
    <mergeCell ref="B9:D9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"/>
  <sheetViews>
    <sheetView view="pageBreakPreview" zoomScaleSheetLayoutView="100" zoomScalePageLayoutView="0" workbookViewId="0" topLeftCell="A1">
      <selection activeCell="F9" sqref="F9"/>
    </sheetView>
  </sheetViews>
  <sheetFormatPr defaultColWidth="7.421875" defaultRowHeight="15"/>
  <cols>
    <col min="1" max="1" width="5.8515625" style="87" customWidth="1"/>
    <col min="2" max="2" width="24.8515625" style="88" customWidth="1"/>
    <col min="3" max="3" width="10.8515625" style="88" customWidth="1"/>
    <col min="4" max="4" width="25.7109375" style="88" customWidth="1"/>
    <col min="5" max="5" width="14.57421875" style="88" customWidth="1"/>
    <col min="6" max="6" width="36.57421875" style="88" customWidth="1"/>
    <col min="7" max="7" width="5.140625" style="88" customWidth="1"/>
    <col min="8" max="9" width="24.8515625" style="88" customWidth="1"/>
    <col min="10" max="30" width="1.1484375" style="88" customWidth="1"/>
    <col min="31" max="31" width="7.421875" style="88" bestFit="1" customWidth="1"/>
    <col min="32" max="35" width="1.1484375" style="88" customWidth="1"/>
    <col min="36" max="36" width="7.421875" style="107" customWidth="1"/>
    <col min="37" max="46" width="1.1484375" style="88" customWidth="1"/>
    <col min="47" max="47" width="7.421875" style="107" customWidth="1"/>
    <col min="48" max="56" width="1.1484375" style="88" customWidth="1"/>
    <col min="57" max="57" width="7.421875" style="107" customWidth="1"/>
    <col min="58" max="67" width="1.1484375" style="88" customWidth="1"/>
    <col min="68" max="68" width="7.421875" style="107" customWidth="1"/>
    <col min="69" max="255" width="1.1484375" style="88" customWidth="1"/>
    <col min="256" max="16384" width="7.421875" style="88" customWidth="1"/>
  </cols>
  <sheetData>
    <row r="1" spans="1:80" ht="12.75">
      <c r="A1" s="195" t="s">
        <v>174</v>
      </c>
      <c r="B1" s="195"/>
      <c r="C1" s="195"/>
      <c r="D1" s="195"/>
      <c r="E1" s="195"/>
      <c r="F1" s="195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88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88"/>
      <c r="AV1" s="60"/>
      <c r="AW1" s="60"/>
      <c r="AX1" s="60"/>
      <c r="AY1" s="60"/>
      <c r="AZ1" s="60"/>
      <c r="BA1" s="60"/>
      <c r="BB1" s="60"/>
      <c r="BC1" s="60"/>
      <c r="BD1" s="60"/>
      <c r="BE1" s="88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88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88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88"/>
      <c r="AV2" s="60"/>
      <c r="AW2" s="60"/>
      <c r="AX2" s="60"/>
      <c r="AY2" s="60"/>
      <c r="AZ2" s="60"/>
      <c r="BA2" s="60"/>
      <c r="BB2" s="60"/>
      <c r="BC2" s="60"/>
      <c r="BD2" s="60"/>
      <c r="BE2" s="88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88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12.75">
      <c r="A3" s="195" t="s">
        <v>107</v>
      </c>
      <c r="B3" s="195"/>
      <c r="C3" s="199" t="s">
        <v>295</v>
      </c>
      <c r="D3" s="199"/>
      <c r="E3" s="199"/>
      <c r="F3" s="199"/>
      <c r="G3" s="104"/>
      <c r="H3" s="104"/>
      <c r="I3" s="104"/>
      <c r="J3" s="104"/>
      <c r="K3" s="87"/>
      <c r="L3" s="87"/>
      <c r="M3" s="87"/>
      <c r="N3" s="87"/>
      <c r="O3" s="87"/>
      <c r="P3" s="87"/>
      <c r="Q3" s="87"/>
      <c r="R3" s="87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88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88"/>
      <c r="AV3" s="104"/>
      <c r="AW3" s="104"/>
      <c r="AX3" s="104"/>
      <c r="AY3" s="104"/>
      <c r="AZ3" s="104"/>
      <c r="BA3" s="104"/>
      <c r="BB3" s="104"/>
      <c r="BC3" s="104"/>
      <c r="BD3" s="104"/>
      <c r="BE3" s="88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88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5" spans="1:80" ht="25.5">
      <c r="A5" s="68" t="str">
        <f>'111'!A25</f>
        <v>№ п/п</v>
      </c>
      <c r="B5" s="68" t="s">
        <v>110</v>
      </c>
      <c r="C5" s="68" t="s">
        <v>203</v>
      </c>
      <c r="D5" s="68" t="s">
        <v>204</v>
      </c>
      <c r="E5" s="68" t="s">
        <v>205</v>
      </c>
      <c r="F5" s="68" t="str">
        <f>'223'!F5</f>
        <v>Сумма, руб.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88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88"/>
      <c r="AV5" s="60"/>
      <c r="AW5" s="60"/>
      <c r="AX5" s="60"/>
      <c r="AY5" s="60"/>
      <c r="AZ5" s="60"/>
      <c r="BA5" s="60"/>
      <c r="BB5" s="60"/>
      <c r="BC5" s="60"/>
      <c r="BD5" s="60"/>
      <c r="BE5" s="88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88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8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88"/>
      <c r="AV6" s="60"/>
      <c r="AW6" s="60"/>
      <c r="AX6" s="60"/>
      <c r="AY6" s="60"/>
      <c r="AZ6" s="60"/>
      <c r="BA6" s="60"/>
      <c r="BB6" s="60"/>
      <c r="BC6" s="60"/>
      <c r="BD6" s="60"/>
      <c r="BE6" s="88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88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8">
        <v>1</v>
      </c>
      <c r="B7" s="157" t="s">
        <v>175</v>
      </c>
      <c r="C7" s="159">
        <v>1</v>
      </c>
      <c r="D7" s="159">
        <v>12</v>
      </c>
      <c r="E7" s="163"/>
      <c r="F7" s="162">
        <v>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88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88"/>
      <c r="AV7" s="60"/>
      <c r="AW7" s="60"/>
      <c r="AX7" s="60"/>
      <c r="AY7" s="60"/>
      <c r="AZ7" s="60"/>
      <c r="BA7" s="60"/>
      <c r="BB7" s="60"/>
      <c r="BC7" s="60"/>
      <c r="BD7" s="60"/>
      <c r="BE7" s="88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88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2.75">
      <c r="A8" s="68">
        <v>2</v>
      </c>
      <c r="B8" s="63" t="s">
        <v>378</v>
      </c>
      <c r="C8" s="159"/>
      <c r="D8" s="159"/>
      <c r="E8" s="163"/>
      <c r="F8" s="90">
        <v>4947.96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88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88"/>
      <c r="AV8" s="60"/>
      <c r="AW8" s="60"/>
      <c r="AX8" s="60"/>
      <c r="AY8" s="60"/>
      <c r="AZ8" s="60"/>
      <c r="BA8" s="60"/>
      <c r="BB8" s="60"/>
      <c r="BC8" s="60"/>
      <c r="BD8" s="60"/>
      <c r="BE8" s="88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88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ht="25.5">
      <c r="A9" s="68">
        <v>3</v>
      </c>
      <c r="B9" s="157" t="s">
        <v>318</v>
      </c>
      <c r="C9" s="159">
        <v>1</v>
      </c>
      <c r="D9" s="159">
        <v>12</v>
      </c>
      <c r="E9" s="163"/>
      <c r="F9" s="90">
        <v>52.04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88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88"/>
      <c r="AV9" s="60"/>
      <c r="AW9" s="60"/>
      <c r="AX9" s="60"/>
      <c r="AY9" s="60"/>
      <c r="AZ9" s="60"/>
      <c r="BA9" s="60"/>
      <c r="BB9" s="60"/>
      <c r="BC9" s="60"/>
      <c r="BD9" s="60"/>
      <c r="BE9" s="88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88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12.75">
      <c r="A10" s="63"/>
      <c r="B10" s="102" t="s">
        <v>288</v>
      </c>
      <c r="C10" s="113" t="s">
        <v>21</v>
      </c>
      <c r="D10" s="113" t="s">
        <v>21</v>
      </c>
      <c r="E10" s="113" t="s">
        <v>21</v>
      </c>
      <c r="F10" s="91">
        <f>SUM(F7:F9)</f>
        <v>14000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88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88"/>
      <c r="AV10" s="60"/>
      <c r="AW10" s="60"/>
      <c r="AX10" s="60"/>
      <c r="AY10" s="60"/>
      <c r="AZ10" s="60"/>
      <c r="BA10" s="60"/>
      <c r="BB10" s="60"/>
      <c r="BC10" s="60"/>
      <c r="BD10" s="60"/>
      <c r="BE10" s="88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88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</sheetData>
  <sheetProtection/>
  <mergeCells count="3">
    <mergeCell ref="A1:F1"/>
    <mergeCell ref="A3:B3"/>
    <mergeCell ref="C3:F3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2"/>
  <sheetViews>
    <sheetView view="pageBreakPreview" zoomScaleSheetLayoutView="100" zoomScalePageLayoutView="0" workbookViewId="0" topLeftCell="A1">
      <selection activeCell="H27" sqref="H27"/>
    </sheetView>
  </sheetViews>
  <sheetFormatPr defaultColWidth="7.421875" defaultRowHeight="15"/>
  <cols>
    <col min="1" max="1" width="5.8515625" style="87" customWidth="1"/>
    <col min="2" max="2" width="24.8515625" style="88" customWidth="1"/>
    <col min="3" max="3" width="18.57421875" style="88" hidden="1" customWidth="1"/>
    <col min="4" max="4" width="25.7109375" style="88" hidden="1" customWidth="1"/>
    <col min="5" max="5" width="18.57421875" style="88" hidden="1" customWidth="1"/>
    <col min="6" max="6" width="59.57421875" style="88" customWidth="1"/>
    <col min="7" max="7" width="5.57421875" style="88" customWidth="1"/>
    <col min="8" max="9" width="24.8515625" style="88" customWidth="1"/>
    <col min="10" max="30" width="1.1484375" style="88" customWidth="1"/>
    <col min="31" max="31" width="7.421875" style="88" bestFit="1" customWidth="1"/>
    <col min="32" max="35" width="1.1484375" style="88" customWidth="1"/>
    <col min="36" max="36" width="7.421875" style="107" customWidth="1"/>
    <col min="37" max="46" width="1.1484375" style="88" customWidth="1"/>
    <col min="47" max="47" width="7.421875" style="107" customWidth="1"/>
    <col min="48" max="56" width="1.1484375" style="88" customWidth="1"/>
    <col min="57" max="57" width="7.421875" style="107" customWidth="1"/>
    <col min="58" max="67" width="1.1484375" style="88" customWidth="1"/>
    <col min="68" max="68" width="7.421875" style="107" customWidth="1"/>
    <col min="69" max="255" width="1.1484375" style="88" customWidth="1"/>
    <col min="256" max="16384" width="7.421875" style="88" bestFit="1" customWidth="1"/>
  </cols>
  <sheetData>
    <row r="1" spans="1:80" ht="12.75">
      <c r="A1" s="195" t="s">
        <v>207</v>
      </c>
      <c r="B1" s="195"/>
      <c r="C1" s="195"/>
      <c r="D1" s="195"/>
      <c r="E1" s="195"/>
      <c r="F1" s="195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88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88"/>
      <c r="AV1" s="60"/>
      <c r="AW1" s="60"/>
      <c r="AX1" s="60"/>
      <c r="AY1" s="60"/>
      <c r="AZ1" s="60"/>
      <c r="BA1" s="60"/>
      <c r="BB1" s="60"/>
      <c r="BC1" s="60"/>
      <c r="BD1" s="60"/>
      <c r="BE1" s="88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88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88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88"/>
      <c r="AV2" s="60"/>
      <c r="AW2" s="60"/>
      <c r="AX2" s="60"/>
      <c r="AY2" s="60"/>
      <c r="AZ2" s="60"/>
      <c r="BA2" s="60"/>
      <c r="BB2" s="60"/>
      <c r="BC2" s="60"/>
      <c r="BD2" s="60"/>
      <c r="BE2" s="88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88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12.75">
      <c r="A3" s="195" t="s">
        <v>107</v>
      </c>
      <c r="B3" s="195"/>
      <c r="C3" s="199" t="s">
        <v>296</v>
      </c>
      <c r="D3" s="199"/>
      <c r="E3" s="199"/>
      <c r="F3" s="199"/>
      <c r="G3" s="104"/>
      <c r="H3" s="104"/>
      <c r="I3" s="104"/>
      <c r="J3" s="104"/>
      <c r="K3" s="87"/>
      <c r="L3" s="87"/>
      <c r="M3" s="87"/>
      <c r="N3" s="87"/>
      <c r="O3" s="87"/>
      <c r="P3" s="87"/>
      <c r="Q3" s="87"/>
      <c r="R3" s="87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88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88"/>
      <c r="AV3" s="104"/>
      <c r="AW3" s="104"/>
      <c r="AX3" s="104"/>
      <c r="AY3" s="104"/>
      <c r="AZ3" s="104"/>
      <c r="BA3" s="104"/>
      <c r="BB3" s="104"/>
      <c r="BC3" s="104"/>
      <c r="BD3" s="104"/>
      <c r="BE3" s="88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88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5" spans="1:80" ht="25.5">
      <c r="A5" s="63" t="str">
        <f>A15</f>
        <v>№ п/п</v>
      </c>
      <c r="B5" s="68" t="s">
        <v>17</v>
      </c>
      <c r="C5" s="63" t="s">
        <v>208</v>
      </c>
      <c r="D5" s="63" t="s">
        <v>209</v>
      </c>
      <c r="E5" s="63" t="s">
        <v>210</v>
      </c>
      <c r="F5" s="68" t="s">
        <v>243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88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88"/>
      <c r="AV5" s="60"/>
      <c r="AW5" s="60"/>
      <c r="AX5" s="60"/>
      <c r="AY5" s="60"/>
      <c r="AZ5" s="60"/>
      <c r="BA5" s="60"/>
      <c r="BB5" s="60"/>
      <c r="BC5" s="60"/>
      <c r="BD5" s="60"/>
      <c r="BE5" s="88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88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2.75">
      <c r="A6" s="68">
        <v>1</v>
      </c>
      <c r="B6" s="68">
        <v>2</v>
      </c>
      <c r="C6" s="68">
        <v>4</v>
      </c>
      <c r="D6" s="68">
        <v>5</v>
      </c>
      <c r="E6" s="68">
        <v>6</v>
      </c>
      <c r="F6" s="68">
        <v>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8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88"/>
      <c r="AV6" s="60"/>
      <c r="AW6" s="60"/>
      <c r="AX6" s="60"/>
      <c r="AY6" s="60"/>
      <c r="AZ6" s="60"/>
      <c r="BA6" s="60"/>
      <c r="BB6" s="60"/>
      <c r="BC6" s="60"/>
      <c r="BD6" s="60"/>
      <c r="BE6" s="88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88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2.75">
      <c r="A7" s="68">
        <v>1</v>
      </c>
      <c r="B7" s="63" t="s">
        <v>274</v>
      </c>
      <c r="C7" s="63"/>
      <c r="D7" s="66"/>
      <c r="E7" s="108"/>
      <c r="F7" s="66">
        <v>138793.49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88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88"/>
      <c r="AV7" s="109"/>
      <c r="AW7" s="109"/>
      <c r="AX7" s="109"/>
      <c r="AY7" s="109"/>
      <c r="AZ7" s="109"/>
      <c r="BA7" s="109"/>
      <c r="BB7" s="109"/>
      <c r="BC7" s="109"/>
      <c r="BD7" s="109"/>
      <c r="BE7" s="88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88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2.75">
      <c r="A8" s="68">
        <v>2</v>
      </c>
      <c r="B8" s="157" t="s">
        <v>275</v>
      </c>
      <c r="C8" s="63"/>
      <c r="D8" s="66"/>
      <c r="E8" s="108"/>
      <c r="F8" s="154">
        <v>23038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88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88"/>
      <c r="AV8" s="109"/>
      <c r="AW8" s="109"/>
      <c r="AX8" s="109"/>
      <c r="AY8" s="109"/>
      <c r="AZ8" s="109"/>
      <c r="BA8" s="109"/>
      <c r="BB8" s="109"/>
      <c r="BC8" s="109"/>
      <c r="BD8" s="109"/>
      <c r="BE8" s="88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88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ht="12.75">
      <c r="A9" s="68">
        <v>3</v>
      </c>
      <c r="B9" s="157" t="s">
        <v>234</v>
      </c>
      <c r="C9" s="63"/>
      <c r="D9" s="66"/>
      <c r="E9" s="108"/>
      <c r="F9" s="154">
        <v>14509.88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88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88"/>
      <c r="AV9" s="109"/>
      <c r="AW9" s="109"/>
      <c r="AX9" s="109"/>
      <c r="AY9" s="109"/>
      <c r="AZ9" s="109"/>
      <c r="BA9" s="109"/>
      <c r="BB9" s="109"/>
      <c r="BC9" s="109"/>
      <c r="BD9" s="109"/>
      <c r="BE9" s="88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88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25.5">
      <c r="A10" s="68">
        <v>4</v>
      </c>
      <c r="B10" s="157" t="s">
        <v>322</v>
      </c>
      <c r="C10" s="63"/>
      <c r="D10" s="66"/>
      <c r="E10" s="108"/>
      <c r="F10" s="154">
        <v>2258.63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88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88"/>
      <c r="AV10" s="109"/>
      <c r="AW10" s="109"/>
      <c r="AX10" s="109"/>
      <c r="AY10" s="109"/>
      <c r="AZ10" s="109"/>
      <c r="BA10" s="109"/>
      <c r="BB10" s="109"/>
      <c r="BC10" s="109"/>
      <c r="BD10" s="109"/>
      <c r="BE10" s="88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88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2.75">
      <c r="A11" s="193" t="s">
        <v>288</v>
      </c>
      <c r="B11" s="194"/>
      <c r="C11" s="103" t="s">
        <v>21</v>
      </c>
      <c r="D11" s="103" t="s">
        <v>21</v>
      </c>
      <c r="E11" s="103" t="s">
        <v>21</v>
      </c>
      <c r="F11" s="121">
        <f>SUM(F7:F10)</f>
        <v>178600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88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88"/>
      <c r="AV11" s="60"/>
      <c r="AW11" s="60"/>
      <c r="AX11" s="60"/>
      <c r="AY11" s="60"/>
      <c r="AZ11" s="60"/>
      <c r="BA11" s="60"/>
      <c r="BB11" s="60"/>
      <c r="BC11" s="60"/>
      <c r="BD11" s="60"/>
      <c r="BE11" s="88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88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36:68" ht="12.75">
      <c r="AJ12" s="88"/>
      <c r="AU12" s="88"/>
      <c r="BE12" s="88"/>
      <c r="BP12" s="88"/>
    </row>
    <row r="13" spans="1:80" ht="12.75">
      <c r="A13" s="195" t="s">
        <v>107</v>
      </c>
      <c r="B13" s="195"/>
      <c r="C13" s="199" t="s">
        <v>297</v>
      </c>
      <c r="D13" s="199"/>
      <c r="E13" s="199"/>
      <c r="F13" s="199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88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88"/>
      <c r="AV13" s="104"/>
      <c r="AW13" s="104"/>
      <c r="AX13" s="104"/>
      <c r="AY13" s="104"/>
      <c r="AZ13" s="104"/>
      <c r="BA13" s="104"/>
      <c r="BB13" s="104"/>
      <c r="BC13" s="104"/>
      <c r="BD13" s="104"/>
      <c r="BE13" s="88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88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</row>
    <row r="15" spans="1:80" ht="25.5">
      <c r="A15" s="63" t="str">
        <f>'111'!A25</f>
        <v>№ п/п</v>
      </c>
      <c r="B15" s="68" t="s">
        <v>17</v>
      </c>
      <c r="C15" s="63" t="s">
        <v>208</v>
      </c>
      <c r="D15" s="63" t="s">
        <v>209</v>
      </c>
      <c r="E15" s="63" t="s">
        <v>210</v>
      </c>
      <c r="F15" s="68" t="s">
        <v>243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88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88"/>
      <c r="AV15" s="60"/>
      <c r="AW15" s="60"/>
      <c r="AX15" s="60"/>
      <c r="AY15" s="60"/>
      <c r="AZ15" s="60"/>
      <c r="BA15" s="60"/>
      <c r="BB15" s="60"/>
      <c r="BC15" s="60"/>
      <c r="BD15" s="60"/>
      <c r="BE15" s="88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88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ht="12.75">
      <c r="A16" s="68">
        <v>1</v>
      </c>
      <c r="B16" s="68">
        <v>2</v>
      </c>
      <c r="C16" s="68">
        <v>4</v>
      </c>
      <c r="D16" s="68">
        <v>5</v>
      </c>
      <c r="E16" s="68">
        <v>6</v>
      </c>
      <c r="F16" s="68">
        <v>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88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88"/>
      <c r="AV16" s="60"/>
      <c r="AW16" s="60"/>
      <c r="AX16" s="60"/>
      <c r="AY16" s="60"/>
      <c r="AZ16" s="60"/>
      <c r="BA16" s="60"/>
      <c r="BB16" s="60"/>
      <c r="BC16" s="60"/>
      <c r="BD16" s="60"/>
      <c r="BE16" s="88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88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ht="12.75">
      <c r="A17" s="68">
        <v>1</v>
      </c>
      <c r="B17" s="157" t="s">
        <v>211</v>
      </c>
      <c r="C17" s="63"/>
      <c r="D17" s="66"/>
      <c r="E17" s="108"/>
      <c r="F17" s="154">
        <v>198900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88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88"/>
      <c r="AV17" s="109"/>
      <c r="AW17" s="109"/>
      <c r="AX17" s="109"/>
      <c r="AY17" s="109"/>
      <c r="AZ17" s="109"/>
      <c r="BA17" s="109"/>
      <c r="BB17" s="109"/>
      <c r="BC17" s="109"/>
      <c r="BD17" s="109"/>
      <c r="BE17" s="88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88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</row>
    <row r="18" spans="1:80" ht="38.25">
      <c r="A18" s="68">
        <v>2</v>
      </c>
      <c r="B18" s="157" t="s">
        <v>319</v>
      </c>
      <c r="C18" s="63"/>
      <c r="D18" s="66"/>
      <c r="E18" s="108"/>
      <c r="F18" s="154">
        <v>1984.67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88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88"/>
      <c r="AV18" s="109"/>
      <c r="AW18" s="109"/>
      <c r="AX18" s="109"/>
      <c r="AY18" s="109"/>
      <c r="AZ18" s="109"/>
      <c r="BA18" s="109"/>
      <c r="BB18" s="109"/>
      <c r="BC18" s="109"/>
      <c r="BD18" s="109"/>
      <c r="BE18" s="88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88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</row>
    <row r="19" spans="1:80" ht="12.75">
      <c r="A19" s="68">
        <v>3</v>
      </c>
      <c r="B19" s="157" t="s">
        <v>264</v>
      </c>
      <c r="C19" s="63"/>
      <c r="D19" s="66"/>
      <c r="E19" s="108"/>
      <c r="F19" s="154">
        <v>128390.23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88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88"/>
      <c r="AV19" s="109"/>
      <c r="AW19" s="109"/>
      <c r="AX19" s="109"/>
      <c r="AY19" s="109"/>
      <c r="AZ19" s="109"/>
      <c r="BA19" s="109"/>
      <c r="BB19" s="109"/>
      <c r="BC19" s="109"/>
      <c r="BD19" s="109"/>
      <c r="BE19" s="88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8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</row>
    <row r="20" spans="1:80" ht="25.5">
      <c r="A20" s="68">
        <v>4</v>
      </c>
      <c r="B20" s="157" t="s">
        <v>320</v>
      </c>
      <c r="C20" s="63"/>
      <c r="D20" s="66"/>
      <c r="E20" s="108"/>
      <c r="F20" s="154">
        <v>13787.06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88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88"/>
      <c r="AV20" s="109"/>
      <c r="AW20" s="109"/>
      <c r="AX20" s="109"/>
      <c r="AY20" s="109"/>
      <c r="AZ20" s="109"/>
      <c r="BA20" s="109"/>
      <c r="BB20" s="109"/>
      <c r="BC20" s="109"/>
      <c r="BD20" s="109"/>
      <c r="BE20" s="88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88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</row>
    <row r="21" spans="1:80" ht="12.75">
      <c r="A21" s="68">
        <v>5</v>
      </c>
      <c r="B21" s="63" t="s">
        <v>369</v>
      </c>
      <c r="C21" s="63"/>
      <c r="D21" s="66"/>
      <c r="E21" s="108"/>
      <c r="F21" s="66">
        <v>16838.04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88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88"/>
      <c r="AV21" s="109"/>
      <c r="AW21" s="109"/>
      <c r="AX21" s="109"/>
      <c r="AY21" s="109"/>
      <c r="AZ21" s="109"/>
      <c r="BA21" s="109"/>
      <c r="BB21" s="109"/>
      <c r="BC21" s="109"/>
      <c r="BD21" s="109"/>
      <c r="BE21" s="88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88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</row>
    <row r="22" spans="1:80" ht="12.75">
      <c r="A22" s="193" t="s">
        <v>288</v>
      </c>
      <c r="B22" s="194"/>
      <c r="C22" s="103" t="s">
        <v>21</v>
      </c>
      <c r="D22" s="103" t="s">
        <v>21</v>
      </c>
      <c r="E22" s="103" t="s">
        <v>21</v>
      </c>
      <c r="F22" s="121">
        <f>SUM(F17:F21)</f>
        <v>359900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88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88"/>
      <c r="AV22" s="60"/>
      <c r="AW22" s="60"/>
      <c r="AX22" s="60"/>
      <c r="AY22" s="60"/>
      <c r="AZ22" s="60"/>
      <c r="BA22" s="60"/>
      <c r="BB22" s="60"/>
      <c r="BC22" s="60"/>
      <c r="BD22" s="60"/>
      <c r="BE22" s="88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88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</row>
  </sheetData>
  <sheetProtection/>
  <mergeCells count="7">
    <mergeCell ref="A13:B13"/>
    <mergeCell ref="A11:B11"/>
    <mergeCell ref="A22:B22"/>
    <mergeCell ref="A1:F1"/>
    <mergeCell ref="C3:F3"/>
    <mergeCell ref="C13:F13"/>
    <mergeCell ref="A3:B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SheetLayoutView="100" zoomScalePageLayoutView="0" workbookViewId="0" topLeftCell="A1">
      <selection activeCell="E22" sqref="E22"/>
    </sheetView>
  </sheetViews>
  <sheetFormatPr defaultColWidth="7.421875" defaultRowHeight="15"/>
  <cols>
    <col min="1" max="1" width="4.00390625" style="61" customWidth="1"/>
    <col min="2" max="2" width="25.57421875" style="61" customWidth="1"/>
    <col min="3" max="3" width="17.7109375" style="61" customWidth="1"/>
    <col min="4" max="4" width="25.7109375" style="61" customWidth="1"/>
    <col min="5" max="5" width="15.140625" style="61" customWidth="1"/>
    <col min="6" max="6" width="0.2890625" style="61" hidden="1" customWidth="1"/>
    <col min="7" max="8" width="7.421875" style="61" customWidth="1"/>
    <col min="9" max="16384" width="7.421875" style="61" customWidth="1"/>
  </cols>
  <sheetData>
    <row r="1" spans="1:5" ht="12.75">
      <c r="A1" s="195" t="s">
        <v>212</v>
      </c>
      <c r="B1" s="195"/>
      <c r="C1" s="195"/>
      <c r="D1" s="195"/>
      <c r="E1" s="195"/>
    </row>
    <row r="2" spans="1:5" ht="12.75">
      <c r="A2" s="88"/>
      <c r="B2" s="88"/>
      <c r="C2" s="88"/>
      <c r="D2" s="88"/>
      <c r="E2" s="88"/>
    </row>
    <row r="3" spans="1:6" ht="12.75">
      <c r="A3" s="195" t="s">
        <v>107</v>
      </c>
      <c r="B3" s="195"/>
      <c r="C3" s="199" t="s">
        <v>298</v>
      </c>
      <c r="D3" s="199"/>
      <c r="E3" s="199"/>
      <c r="F3" s="72"/>
    </row>
    <row r="4" spans="1:5" ht="12.75">
      <c r="A4" s="88"/>
      <c r="B4" s="88"/>
      <c r="C4" s="88"/>
      <c r="D4" s="88"/>
      <c r="E4" s="88"/>
    </row>
    <row r="5" spans="1:5" ht="25.5">
      <c r="A5" s="68" t="str">
        <f>'223'!A15</f>
        <v>№ п/п</v>
      </c>
      <c r="B5" s="68" t="s">
        <v>110</v>
      </c>
      <c r="C5" s="68" t="s">
        <v>119</v>
      </c>
      <c r="D5" s="68" t="s">
        <v>216</v>
      </c>
      <c r="E5" s="68" t="str">
        <f>'223'!F5</f>
        <v>Сумма, руб.</v>
      </c>
    </row>
    <row r="6" spans="1:5" ht="12.75">
      <c r="A6" s="68">
        <v>1</v>
      </c>
      <c r="B6" s="68">
        <v>2</v>
      </c>
      <c r="C6" s="68">
        <v>3</v>
      </c>
      <c r="D6" s="68">
        <v>4</v>
      </c>
      <c r="E6" s="68">
        <v>5</v>
      </c>
    </row>
    <row r="7" spans="1:5" ht="12.75">
      <c r="A7" s="68">
        <v>1</v>
      </c>
      <c r="B7" s="156" t="s">
        <v>214</v>
      </c>
      <c r="C7" s="63"/>
      <c r="D7" s="68">
        <v>1</v>
      </c>
      <c r="E7" s="155">
        <v>32223</v>
      </c>
    </row>
    <row r="8" spans="1:5" ht="38.25">
      <c r="A8" s="68">
        <v>2</v>
      </c>
      <c r="B8" s="156" t="s">
        <v>370</v>
      </c>
      <c r="C8" s="63"/>
      <c r="D8" s="68">
        <v>1</v>
      </c>
      <c r="E8" s="155">
        <v>10179.99</v>
      </c>
    </row>
    <row r="9" spans="1:5" ht="12.75">
      <c r="A9" s="68">
        <v>3</v>
      </c>
      <c r="B9" s="156" t="s">
        <v>371</v>
      </c>
      <c r="C9" s="63"/>
      <c r="D9" s="68">
        <v>1</v>
      </c>
      <c r="E9" s="155">
        <v>12365</v>
      </c>
    </row>
    <row r="10" spans="1:5" ht="12.75">
      <c r="A10" s="68">
        <v>4</v>
      </c>
      <c r="B10" s="92" t="s">
        <v>276</v>
      </c>
      <c r="C10" s="63"/>
      <c r="D10" s="63"/>
      <c r="E10" s="116">
        <v>40600</v>
      </c>
    </row>
    <row r="11" spans="1:5" ht="25.5">
      <c r="A11" s="68">
        <v>5</v>
      </c>
      <c r="B11" s="92" t="s">
        <v>249</v>
      </c>
      <c r="C11" s="63"/>
      <c r="D11" s="63"/>
      <c r="E11" s="116">
        <f>4500+232.01</f>
        <v>4732.01</v>
      </c>
    </row>
    <row r="12" spans="1:5" ht="12.75">
      <c r="A12" s="68">
        <v>6</v>
      </c>
      <c r="B12" s="92" t="s">
        <v>250</v>
      </c>
      <c r="C12" s="63"/>
      <c r="D12" s="63"/>
      <c r="E12" s="116">
        <v>9000</v>
      </c>
    </row>
    <row r="13" spans="1:5" ht="12.75">
      <c r="A13" s="68"/>
      <c r="B13" s="193" t="s">
        <v>288</v>
      </c>
      <c r="C13" s="215"/>
      <c r="D13" s="194"/>
      <c r="E13" s="130">
        <f>SUM(E7:E12)</f>
        <v>109099.99999999999</v>
      </c>
    </row>
    <row r="14" spans="1:5" ht="12.75">
      <c r="A14" s="88"/>
      <c r="B14" s="111"/>
      <c r="C14" s="111"/>
      <c r="D14" s="87"/>
      <c r="E14" s="112"/>
    </row>
    <row r="15" spans="1:5" ht="18" customHeight="1">
      <c r="A15" s="195" t="s">
        <v>107</v>
      </c>
      <c r="B15" s="195"/>
      <c r="C15" s="199" t="s">
        <v>348</v>
      </c>
      <c r="D15" s="199"/>
      <c r="E15" s="199"/>
    </row>
    <row r="16" spans="1:5" ht="15">
      <c r="A16" s="78"/>
      <c r="B16" s="70"/>
      <c r="C16" s="70"/>
      <c r="D16" s="69"/>
      <c r="E16" s="71"/>
    </row>
    <row r="17" spans="1:5" ht="25.5">
      <c r="A17" s="63" t="s">
        <v>194</v>
      </c>
      <c r="B17" s="68" t="s">
        <v>110</v>
      </c>
      <c r="C17" s="63" t="s">
        <v>119</v>
      </c>
      <c r="D17" s="63" t="s">
        <v>216</v>
      </c>
      <c r="E17" s="68" t="str">
        <f>E5</f>
        <v>Сумма, руб.</v>
      </c>
    </row>
    <row r="18" spans="1:5" ht="12.75">
      <c r="A18" s="68">
        <v>1</v>
      </c>
      <c r="B18" s="68">
        <v>2</v>
      </c>
      <c r="C18" s="68">
        <v>3</v>
      </c>
      <c r="D18" s="68">
        <v>4</v>
      </c>
      <c r="E18" s="68">
        <v>5</v>
      </c>
    </row>
    <row r="19" spans="1:5" ht="25.5">
      <c r="A19" s="68">
        <v>1</v>
      </c>
      <c r="B19" s="159" t="s">
        <v>379</v>
      </c>
      <c r="C19" s="159"/>
      <c r="D19" s="159">
        <v>1</v>
      </c>
      <c r="E19" s="164">
        <v>27000</v>
      </c>
    </row>
    <row r="20" spans="1:5" ht="12.75">
      <c r="A20" s="68">
        <v>2</v>
      </c>
      <c r="B20" s="106" t="s">
        <v>380</v>
      </c>
      <c r="C20" s="101"/>
      <c r="D20" s="101"/>
      <c r="E20" s="116">
        <v>10000</v>
      </c>
    </row>
    <row r="21" spans="1:5" ht="12.75">
      <c r="A21" s="64"/>
      <c r="B21" s="102" t="s">
        <v>288</v>
      </c>
      <c r="C21" s="113" t="s">
        <v>21</v>
      </c>
      <c r="D21" s="113" t="s">
        <v>21</v>
      </c>
      <c r="E21" s="130">
        <f>SUM(E19:E20)</f>
        <v>37000</v>
      </c>
    </row>
  </sheetData>
  <sheetProtection/>
  <mergeCells count="6">
    <mergeCell ref="A1:E1"/>
    <mergeCell ref="A3:B3"/>
    <mergeCell ref="C3:E3"/>
    <mergeCell ref="A15:B15"/>
    <mergeCell ref="C15:E15"/>
    <mergeCell ref="B13:D13"/>
  </mergeCells>
  <printOptions/>
  <pageMargins left="0.25" right="0.25" top="0.75" bottom="0.75" header="0.3" footer="0.3"/>
  <pageSetup fitToHeight="0" fitToWidth="1"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USR</cp:lastModifiedBy>
  <cp:lastPrinted>2021-12-25T10:04:56Z</cp:lastPrinted>
  <dcterms:created xsi:type="dcterms:W3CDTF">2019-12-05T12:32:22Z</dcterms:created>
  <dcterms:modified xsi:type="dcterms:W3CDTF">2023-11-07T07:27:50Z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