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Кундасов\Мои документы\Мои документы\ПИТАНИЕ\2022\Типовые меню\"/>
    </mc:Choice>
  </mc:AlternateContent>
  <bookViews>
    <workbookView xWindow="-108" yWindow="-108" windowWidth="23256" windowHeight="12576"/>
  </bookViews>
  <sheets>
    <sheet name=" МЕНЮ_ХЭХ " sheetId="143" r:id="rId1"/>
    <sheet name="Структура в сравнении" sheetId="102" r:id="rId2"/>
    <sheet name="Исх.меню + ХЕ" sheetId="134" r:id="rId3"/>
    <sheet name="Соотношение ЭЦ " sheetId="141" r:id="rId4"/>
  </sheets>
  <definedNames>
    <definedName name="_xlnm._FilterDatabase" localSheetId="0" hidden="1">' МЕНЮ_ХЭХ '!$A$8:$P$8</definedName>
    <definedName name="_xlnm._FilterDatabase" localSheetId="2" hidden="1">'Исх.меню + ХЕ'!$A$6:$P$192</definedName>
    <definedName name="_xlnm._FilterDatabase" localSheetId="1" hidden="1">'Структура в сравнении'!$A$7:$A$85</definedName>
    <definedName name="_xlnm.Print_Area" localSheetId="0">' МЕНЮ_ХЭХ '!$A$1:$P$329</definedName>
    <definedName name="_xlnm.Print_Area" localSheetId="2">'Исх.меню + ХЕ'!$A$2:$P$210</definedName>
    <definedName name="_xlnm.Print_Area" localSheetId="3">'Соотношение ЭЦ '!$A$1:$P$67</definedName>
  </definedNames>
  <calcPr calcId="162913"/>
</workbook>
</file>

<file path=xl/calcChain.xml><?xml version="1.0" encoding="utf-8"?>
<calcChain xmlns="http://schemas.openxmlformats.org/spreadsheetml/2006/main">
  <c r="E308" i="143" l="1"/>
  <c r="D280" i="143"/>
  <c r="D201" i="143"/>
  <c r="D202" i="143"/>
  <c r="D203" i="143"/>
  <c r="D204" i="143"/>
  <c r="D252" i="143"/>
  <c r="D188" i="143"/>
  <c r="D170" i="143"/>
  <c r="D160" i="143"/>
  <c r="D278" i="143"/>
  <c r="D279" i="143"/>
  <c r="D281" i="143"/>
  <c r="D282" i="143"/>
  <c r="D283" i="143"/>
  <c r="D251" i="143"/>
  <c r="D9" i="143"/>
  <c r="D10" i="143"/>
  <c r="D11" i="143"/>
  <c r="D12" i="143"/>
  <c r="D13" i="143"/>
  <c r="D8" i="143"/>
  <c r="D199" i="143"/>
  <c r="D299" i="143" l="1"/>
  <c r="D300" i="143"/>
  <c r="D298" i="143"/>
  <c r="D292" i="143"/>
  <c r="D293" i="143"/>
  <c r="D294" i="143"/>
  <c r="D291" i="143"/>
  <c r="D287" i="143"/>
  <c r="D288" i="143"/>
  <c r="D286" i="143"/>
  <c r="D277" i="143"/>
  <c r="D269" i="143"/>
  <c r="D270" i="143"/>
  <c r="D268" i="143"/>
  <c r="D261" i="143"/>
  <c r="D262" i="143"/>
  <c r="D263" i="143"/>
  <c r="D264" i="143"/>
  <c r="D260" i="143"/>
  <c r="D256" i="143"/>
  <c r="D257" i="143"/>
  <c r="D255" i="143"/>
  <c r="D249" i="143"/>
  <c r="D250" i="143"/>
  <c r="D248" i="143"/>
  <c r="D240" i="143"/>
  <c r="D241" i="143"/>
  <c r="D239" i="143"/>
  <c r="D231" i="143"/>
  <c r="D232" i="143"/>
  <c r="D233" i="143"/>
  <c r="D234" i="143"/>
  <c r="D235" i="143"/>
  <c r="D230" i="143"/>
  <c r="D226" i="143"/>
  <c r="D227" i="143"/>
  <c r="D225" i="143"/>
  <c r="D217" i="143"/>
  <c r="D218" i="143"/>
  <c r="D219" i="143"/>
  <c r="D220" i="143"/>
  <c r="D221" i="143"/>
  <c r="D216" i="143"/>
  <c r="D208" i="143"/>
  <c r="D209" i="143"/>
  <c r="D207" i="143"/>
  <c r="D200" i="143"/>
  <c r="D195" i="143"/>
  <c r="D196" i="143"/>
  <c r="D194" i="143"/>
  <c r="D187" i="143"/>
  <c r="D189" i="143"/>
  <c r="D190" i="143"/>
  <c r="D191" i="143"/>
  <c r="D186" i="143"/>
  <c r="D178" i="143"/>
  <c r="D179" i="143"/>
  <c r="D177" i="143"/>
  <c r="D171" i="143"/>
  <c r="D172" i="143"/>
  <c r="D173" i="143"/>
  <c r="D169" i="143"/>
  <c r="D165" i="143"/>
  <c r="D166" i="143"/>
  <c r="D164" i="143"/>
  <c r="D157" i="143"/>
  <c r="D158" i="143"/>
  <c r="D159" i="143"/>
  <c r="D161" i="143"/>
  <c r="D156" i="143"/>
  <c r="D148" i="143"/>
  <c r="D149" i="143"/>
  <c r="D147" i="143"/>
  <c r="D140" i="143"/>
  <c r="D141" i="143"/>
  <c r="D142" i="143"/>
  <c r="D143" i="143"/>
  <c r="D144" i="143"/>
  <c r="D139" i="143"/>
  <c r="D135" i="143"/>
  <c r="D136" i="143"/>
  <c r="D134" i="143"/>
  <c r="D128" i="143"/>
  <c r="D129" i="143"/>
  <c r="D130" i="143"/>
  <c r="D131" i="143"/>
  <c r="D127" i="143"/>
  <c r="D119" i="143"/>
  <c r="D120" i="143"/>
  <c r="D118" i="143"/>
  <c r="D111" i="143"/>
  <c r="D112" i="143"/>
  <c r="D113" i="143"/>
  <c r="D114" i="143"/>
  <c r="D110" i="143"/>
  <c r="D106" i="143"/>
  <c r="D107" i="143"/>
  <c r="D105" i="143"/>
  <c r="D99" i="143"/>
  <c r="D100" i="143"/>
  <c r="D101" i="143"/>
  <c r="D102" i="143"/>
  <c r="D98" i="143"/>
  <c r="D90" i="143"/>
  <c r="D91" i="143"/>
  <c r="D89" i="143"/>
  <c r="D82" i="143"/>
  <c r="D83" i="143"/>
  <c r="D84" i="143"/>
  <c r="D85" i="143"/>
  <c r="D81" i="143"/>
  <c r="D77" i="143"/>
  <c r="D78" i="143"/>
  <c r="D76" i="143"/>
  <c r="D69" i="143"/>
  <c r="D70" i="143"/>
  <c r="D71" i="143"/>
  <c r="D72" i="143"/>
  <c r="D73" i="143"/>
  <c r="D68" i="143"/>
  <c r="D60" i="143"/>
  <c r="D61" i="143"/>
  <c r="D59" i="143"/>
  <c r="D51" i="143"/>
  <c r="D52" i="143"/>
  <c r="D53" i="143"/>
  <c r="D54" i="143"/>
  <c r="D55" i="143"/>
  <c r="D50" i="143"/>
  <c r="D46" i="143"/>
  <c r="D47" i="143"/>
  <c r="D45" i="143"/>
  <c r="D39" i="143"/>
  <c r="D40" i="143"/>
  <c r="D41" i="143"/>
  <c r="D42" i="143"/>
  <c r="D38" i="143"/>
  <c r="D30" i="143"/>
  <c r="D31" i="143"/>
  <c r="D29" i="143"/>
  <c r="D22" i="143"/>
  <c r="D23" i="143"/>
  <c r="D24" i="143"/>
  <c r="D25" i="143"/>
  <c r="D26" i="143"/>
  <c r="D21" i="143"/>
  <c r="D17" i="143"/>
  <c r="D18" i="143"/>
  <c r="D16" i="143"/>
  <c r="C271" i="143"/>
  <c r="E271" i="143"/>
  <c r="F271" i="143"/>
  <c r="G271" i="143"/>
  <c r="H271" i="143"/>
  <c r="F301" i="143"/>
  <c r="E63" i="141" s="1"/>
  <c r="G301" i="143"/>
  <c r="D301" i="143" s="1"/>
  <c r="C63" i="141" s="1"/>
  <c r="H301" i="143"/>
  <c r="G63" i="141" s="1"/>
  <c r="I301" i="143"/>
  <c r="J301" i="143"/>
  <c r="K301" i="143"/>
  <c r="L301" i="143"/>
  <c r="M301" i="143"/>
  <c r="N301" i="143"/>
  <c r="O301" i="143"/>
  <c r="P301" i="143"/>
  <c r="E301" i="143"/>
  <c r="D63" i="141" s="1"/>
  <c r="C301" i="143"/>
  <c r="F296" i="143"/>
  <c r="E48" i="141" s="1"/>
  <c r="G296" i="143"/>
  <c r="F48" i="141" s="1"/>
  <c r="H296" i="143"/>
  <c r="G48" i="141" s="1"/>
  <c r="I296" i="143"/>
  <c r="J296" i="143"/>
  <c r="K296" i="143"/>
  <c r="L296" i="143"/>
  <c r="M296" i="143"/>
  <c r="N296" i="143"/>
  <c r="O296" i="143"/>
  <c r="P296" i="143"/>
  <c r="E296" i="143"/>
  <c r="C296" i="143"/>
  <c r="F289" i="143"/>
  <c r="E33" i="141" s="1"/>
  <c r="G289" i="143"/>
  <c r="D289" i="143" s="1"/>
  <c r="C33" i="141" s="1"/>
  <c r="H289" i="143"/>
  <c r="G33" i="141" s="1"/>
  <c r="I289" i="143"/>
  <c r="J289" i="143"/>
  <c r="K289" i="143"/>
  <c r="L289" i="143"/>
  <c r="M289" i="143"/>
  <c r="N289" i="143"/>
  <c r="O289" i="143"/>
  <c r="P289" i="143"/>
  <c r="E289" i="143"/>
  <c r="D33" i="141" s="1"/>
  <c r="C289" i="143"/>
  <c r="F284" i="143"/>
  <c r="G284" i="143"/>
  <c r="H284" i="143"/>
  <c r="I284" i="143"/>
  <c r="J284" i="143"/>
  <c r="K284" i="143"/>
  <c r="L284" i="143"/>
  <c r="L302" i="143" s="1"/>
  <c r="M284" i="143"/>
  <c r="N284" i="143"/>
  <c r="O284" i="143"/>
  <c r="P284" i="143"/>
  <c r="P302" i="143" s="1"/>
  <c r="E284" i="143"/>
  <c r="C284" i="143"/>
  <c r="I271" i="143"/>
  <c r="J271" i="143"/>
  <c r="K271" i="143"/>
  <c r="L271" i="143"/>
  <c r="M271" i="143"/>
  <c r="N271" i="143"/>
  <c r="O271" i="143"/>
  <c r="P271" i="143"/>
  <c r="F266" i="143"/>
  <c r="E47" i="141" s="1"/>
  <c r="G266" i="143"/>
  <c r="D266" i="143" s="1"/>
  <c r="C47" i="141" s="1"/>
  <c r="H266" i="143"/>
  <c r="G47" i="141" s="1"/>
  <c r="I266" i="143"/>
  <c r="J266" i="143"/>
  <c r="K266" i="143"/>
  <c r="L266" i="143"/>
  <c r="M266" i="143"/>
  <c r="N266" i="143"/>
  <c r="O266" i="143"/>
  <c r="P266" i="143"/>
  <c r="E266" i="143"/>
  <c r="D47" i="141" s="1"/>
  <c r="C266" i="143"/>
  <c r="F258" i="143"/>
  <c r="E32" i="141" s="1"/>
  <c r="G258" i="143"/>
  <c r="D258" i="143" s="1"/>
  <c r="C32" i="141" s="1"/>
  <c r="H258" i="143"/>
  <c r="G32" i="141" s="1"/>
  <c r="I258" i="143"/>
  <c r="J258" i="143"/>
  <c r="K258" i="143"/>
  <c r="L258" i="143"/>
  <c r="M258" i="143"/>
  <c r="N258" i="143"/>
  <c r="O258" i="143"/>
  <c r="P258" i="143"/>
  <c r="E258" i="143"/>
  <c r="D32" i="141" s="1"/>
  <c r="C258" i="143"/>
  <c r="F253" i="143"/>
  <c r="E17" i="141" s="1"/>
  <c r="G253" i="143"/>
  <c r="D253" i="143" s="1"/>
  <c r="C17" i="141" s="1"/>
  <c r="H253" i="143"/>
  <c r="G17" i="141" s="1"/>
  <c r="I253" i="143"/>
  <c r="J253" i="143"/>
  <c r="K253" i="143"/>
  <c r="L253" i="143"/>
  <c r="M253" i="143"/>
  <c r="N253" i="143"/>
  <c r="O253" i="143"/>
  <c r="P253" i="143"/>
  <c r="E253" i="143"/>
  <c r="D17" i="141" s="1"/>
  <c r="C253" i="143"/>
  <c r="F242" i="143"/>
  <c r="G242" i="143"/>
  <c r="H242" i="143"/>
  <c r="I242" i="143"/>
  <c r="J242" i="143"/>
  <c r="K242" i="143"/>
  <c r="L242" i="143"/>
  <c r="L243" i="143" s="1"/>
  <c r="M242" i="143"/>
  <c r="N242" i="143"/>
  <c r="O242" i="143"/>
  <c r="P242" i="143"/>
  <c r="P243" i="143" s="1"/>
  <c r="E242" i="143"/>
  <c r="C242" i="143"/>
  <c r="F237" i="143"/>
  <c r="E46" i="141" s="1"/>
  <c r="G237" i="143"/>
  <c r="F46" i="141" s="1"/>
  <c r="H237" i="143"/>
  <c r="G46" i="141" s="1"/>
  <c r="I237" i="143"/>
  <c r="J237" i="143"/>
  <c r="K237" i="143"/>
  <c r="L237" i="143"/>
  <c r="M237" i="143"/>
  <c r="N237" i="143"/>
  <c r="O237" i="143"/>
  <c r="P237" i="143"/>
  <c r="E237" i="143"/>
  <c r="D46" i="141" s="1"/>
  <c r="C237" i="143"/>
  <c r="F228" i="143"/>
  <c r="E31" i="141" s="1"/>
  <c r="G228" i="143"/>
  <c r="D228" i="143" s="1"/>
  <c r="C31" i="141" s="1"/>
  <c r="H228" i="143"/>
  <c r="G31" i="141" s="1"/>
  <c r="I228" i="143"/>
  <c r="J228" i="143"/>
  <c r="K228" i="143"/>
  <c r="L228" i="143"/>
  <c r="M228" i="143"/>
  <c r="N228" i="143"/>
  <c r="O228" i="143"/>
  <c r="P228" i="143"/>
  <c r="E228" i="143"/>
  <c r="D31" i="141" s="1"/>
  <c r="C228" i="143"/>
  <c r="F223" i="143"/>
  <c r="E16" i="141" s="1"/>
  <c r="G223" i="143"/>
  <c r="D223" i="143" s="1"/>
  <c r="C16" i="141" s="1"/>
  <c r="H223" i="143"/>
  <c r="G16" i="141" s="1"/>
  <c r="I223" i="143"/>
  <c r="J223" i="143"/>
  <c r="K223" i="143"/>
  <c r="L223" i="143"/>
  <c r="M223" i="143"/>
  <c r="N223" i="143"/>
  <c r="O223" i="143"/>
  <c r="P223" i="143"/>
  <c r="E223" i="143"/>
  <c r="D16" i="141" s="1"/>
  <c r="C223" i="143"/>
  <c r="F210" i="143"/>
  <c r="E60" i="141" s="1"/>
  <c r="G210" i="143"/>
  <c r="D210" i="143" s="1"/>
  <c r="C60" i="141" s="1"/>
  <c r="H210" i="143"/>
  <c r="G60" i="141" s="1"/>
  <c r="I210" i="143"/>
  <c r="J210" i="143"/>
  <c r="K210" i="143"/>
  <c r="L210" i="143"/>
  <c r="M210" i="143"/>
  <c r="N210" i="143"/>
  <c r="O210" i="143"/>
  <c r="P210" i="143"/>
  <c r="E210" i="143"/>
  <c r="D60" i="141" s="1"/>
  <c r="C210" i="143"/>
  <c r="F205" i="143"/>
  <c r="G205" i="143"/>
  <c r="H205" i="143"/>
  <c r="I205" i="143"/>
  <c r="J205" i="143"/>
  <c r="K205" i="143"/>
  <c r="K211" i="143" s="1"/>
  <c r="L205" i="143"/>
  <c r="M205" i="143"/>
  <c r="N205" i="143"/>
  <c r="O205" i="143"/>
  <c r="O211" i="143" s="1"/>
  <c r="P205" i="143"/>
  <c r="E205" i="143"/>
  <c r="C205" i="143"/>
  <c r="F197" i="143"/>
  <c r="E30" i="141" s="1"/>
  <c r="G197" i="143"/>
  <c r="D197" i="143" s="1"/>
  <c r="C30" i="141" s="1"/>
  <c r="H197" i="143"/>
  <c r="G30" i="141" s="1"/>
  <c r="I197" i="143"/>
  <c r="J197" i="143"/>
  <c r="K197" i="143"/>
  <c r="L197" i="143"/>
  <c r="M197" i="143"/>
  <c r="N197" i="143"/>
  <c r="O197" i="143"/>
  <c r="P197" i="143"/>
  <c r="E197" i="143"/>
  <c r="D30" i="141" s="1"/>
  <c r="C197" i="143"/>
  <c r="F192" i="143"/>
  <c r="E15" i="141" s="1"/>
  <c r="G192" i="143"/>
  <c r="H192" i="143"/>
  <c r="G15" i="141" s="1"/>
  <c r="I192" i="143"/>
  <c r="J192" i="143"/>
  <c r="K192" i="143"/>
  <c r="L192" i="143"/>
  <c r="M192" i="143"/>
  <c r="N192" i="143"/>
  <c r="O192" i="143"/>
  <c r="P192" i="143"/>
  <c r="E192" i="143"/>
  <c r="D15" i="141" s="1"/>
  <c r="C192" i="143"/>
  <c r="F180" i="143"/>
  <c r="G180" i="143"/>
  <c r="H180" i="143"/>
  <c r="I180" i="143"/>
  <c r="J180" i="143"/>
  <c r="K180" i="143"/>
  <c r="L180" i="143"/>
  <c r="L181" i="143" s="1"/>
  <c r="M180" i="143"/>
  <c r="N180" i="143"/>
  <c r="O180" i="143"/>
  <c r="P180" i="143"/>
  <c r="P181" i="143" s="1"/>
  <c r="E180" i="143"/>
  <c r="C180" i="143"/>
  <c r="F175" i="143"/>
  <c r="E44" i="141" s="1"/>
  <c r="G175" i="143"/>
  <c r="D175" i="143" s="1"/>
  <c r="C44" i="141" s="1"/>
  <c r="H175" i="143"/>
  <c r="G44" i="141" s="1"/>
  <c r="I175" i="143"/>
  <c r="J175" i="143"/>
  <c r="K175" i="143"/>
  <c r="L175" i="143"/>
  <c r="M175" i="143"/>
  <c r="N175" i="143"/>
  <c r="O175" i="143"/>
  <c r="P175" i="143"/>
  <c r="E175" i="143"/>
  <c r="D44" i="141" s="1"/>
  <c r="C175" i="143"/>
  <c r="F167" i="143"/>
  <c r="E29" i="141" s="1"/>
  <c r="G167" i="143"/>
  <c r="D167" i="143" s="1"/>
  <c r="C29" i="141" s="1"/>
  <c r="H167" i="143"/>
  <c r="G29" i="141" s="1"/>
  <c r="I167" i="143"/>
  <c r="J167" i="143"/>
  <c r="K167" i="143"/>
  <c r="L167" i="143"/>
  <c r="M167" i="143"/>
  <c r="N167" i="143"/>
  <c r="O167" i="143"/>
  <c r="P167" i="143"/>
  <c r="E167" i="143"/>
  <c r="D29" i="141" s="1"/>
  <c r="C167" i="143"/>
  <c r="F162" i="143"/>
  <c r="E14" i="141" s="1"/>
  <c r="G162" i="143"/>
  <c r="D162" i="143" s="1"/>
  <c r="C14" i="141" s="1"/>
  <c r="H162" i="143"/>
  <c r="G14" i="141" s="1"/>
  <c r="I162" i="143"/>
  <c r="J162" i="143"/>
  <c r="K162" i="143"/>
  <c r="L162" i="143"/>
  <c r="M162" i="143"/>
  <c r="N162" i="143"/>
  <c r="O162" i="143"/>
  <c r="P162" i="143"/>
  <c r="E162" i="143"/>
  <c r="D14" i="141" s="1"/>
  <c r="C162" i="143"/>
  <c r="F150" i="143"/>
  <c r="G150" i="143"/>
  <c r="H150" i="143"/>
  <c r="I150" i="143"/>
  <c r="J150" i="143"/>
  <c r="K150" i="143"/>
  <c r="L150" i="143"/>
  <c r="L151" i="143" s="1"/>
  <c r="M150" i="143"/>
  <c r="N150" i="143"/>
  <c r="O150" i="143"/>
  <c r="P150" i="143"/>
  <c r="P151" i="143" s="1"/>
  <c r="E150" i="143"/>
  <c r="C150" i="143"/>
  <c r="F145" i="143"/>
  <c r="E43" i="141" s="1"/>
  <c r="G145" i="143"/>
  <c r="D145" i="143" s="1"/>
  <c r="C43" i="141" s="1"/>
  <c r="H145" i="143"/>
  <c r="G43" i="141" s="1"/>
  <c r="I145" i="143"/>
  <c r="J145" i="143"/>
  <c r="K145" i="143"/>
  <c r="L145" i="143"/>
  <c r="M145" i="143"/>
  <c r="N145" i="143"/>
  <c r="O145" i="143"/>
  <c r="P145" i="143"/>
  <c r="E145" i="143"/>
  <c r="D43" i="141" s="1"/>
  <c r="C145" i="143"/>
  <c r="F137" i="143"/>
  <c r="E28" i="141" s="1"/>
  <c r="G137" i="143"/>
  <c r="D137" i="143" s="1"/>
  <c r="C28" i="141" s="1"/>
  <c r="H137" i="143"/>
  <c r="G28" i="141" s="1"/>
  <c r="I137" i="143"/>
  <c r="J137" i="143"/>
  <c r="K137" i="143"/>
  <c r="L137" i="143"/>
  <c r="M137" i="143"/>
  <c r="N137" i="143"/>
  <c r="O137" i="143"/>
  <c r="P137" i="143"/>
  <c r="E137" i="143"/>
  <c r="D28" i="141" s="1"/>
  <c r="C137" i="143"/>
  <c r="F132" i="143"/>
  <c r="E13" i="141" s="1"/>
  <c r="G132" i="143"/>
  <c r="D132" i="143" s="1"/>
  <c r="C13" i="141" s="1"/>
  <c r="H132" i="143"/>
  <c r="G13" i="141" s="1"/>
  <c r="I132" i="143"/>
  <c r="J132" i="143"/>
  <c r="K132" i="143"/>
  <c r="L132" i="143"/>
  <c r="M132" i="143"/>
  <c r="N132" i="143"/>
  <c r="O132" i="143"/>
  <c r="P132" i="143"/>
  <c r="E132" i="143"/>
  <c r="D13" i="141" s="1"/>
  <c r="C132" i="143"/>
  <c r="F121" i="143"/>
  <c r="G121" i="143"/>
  <c r="H121" i="143"/>
  <c r="I121" i="143"/>
  <c r="J121" i="143"/>
  <c r="K121" i="143"/>
  <c r="L121" i="143"/>
  <c r="L122" i="143" s="1"/>
  <c r="M121" i="143"/>
  <c r="N121" i="143"/>
  <c r="O121" i="143"/>
  <c r="P121" i="143"/>
  <c r="P122" i="143" s="1"/>
  <c r="E121" i="143"/>
  <c r="C121" i="143"/>
  <c r="F116" i="143"/>
  <c r="E42" i="141" s="1"/>
  <c r="G116" i="143"/>
  <c r="D116" i="143" s="1"/>
  <c r="C42" i="141" s="1"/>
  <c r="H116" i="143"/>
  <c r="G42" i="141" s="1"/>
  <c r="I116" i="143"/>
  <c r="J116" i="143"/>
  <c r="K116" i="143"/>
  <c r="L116" i="143"/>
  <c r="M116" i="143"/>
  <c r="N116" i="143"/>
  <c r="O116" i="143"/>
  <c r="P116" i="143"/>
  <c r="E116" i="143"/>
  <c r="D42" i="141" s="1"/>
  <c r="C116" i="143"/>
  <c r="F108" i="143"/>
  <c r="E27" i="141" s="1"/>
  <c r="G108" i="143"/>
  <c r="D108" i="143" s="1"/>
  <c r="H108" i="143"/>
  <c r="G27" i="141" s="1"/>
  <c r="I108" i="143"/>
  <c r="J108" i="143"/>
  <c r="K108" i="143"/>
  <c r="L108" i="143"/>
  <c r="M108" i="143"/>
  <c r="N108" i="143"/>
  <c r="O108" i="143"/>
  <c r="P108" i="143"/>
  <c r="E108" i="143"/>
  <c r="D27" i="141" s="1"/>
  <c r="C108" i="143"/>
  <c r="F103" i="143"/>
  <c r="E12" i="141" s="1"/>
  <c r="G103" i="143"/>
  <c r="D103" i="143" s="1"/>
  <c r="C12" i="141" s="1"/>
  <c r="H103" i="143"/>
  <c r="G12" i="141" s="1"/>
  <c r="I103" i="143"/>
  <c r="J103" i="143"/>
  <c r="K103" i="143"/>
  <c r="L103" i="143"/>
  <c r="M103" i="143"/>
  <c r="N103" i="143"/>
  <c r="O103" i="143"/>
  <c r="P103" i="143"/>
  <c r="E103" i="143"/>
  <c r="D12" i="141" s="1"/>
  <c r="C103" i="143"/>
  <c r="F92" i="143"/>
  <c r="G92" i="143"/>
  <c r="H92" i="143"/>
  <c r="I92" i="143"/>
  <c r="J92" i="143"/>
  <c r="K92" i="143"/>
  <c r="L92" i="143"/>
  <c r="L93" i="143" s="1"/>
  <c r="M92" i="143"/>
  <c r="N92" i="143"/>
  <c r="O92" i="143"/>
  <c r="P92" i="143"/>
  <c r="P93" i="143" s="1"/>
  <c r="E92" i="143"/>
  <c r="C92" i="143"/>
  <c r="F87" i="143"/>
  <c r="E41" i="141" s="1"/>
  <c r="G87" i="143"/>
  <c r="D87" i="143" s="1"/>
  <c r="C41" i="141" s="1"/>
  <c r="H87" i="143"/>
  <c r="G41" i="141" s="1"/>
  <c r="I87" i="143"/>
  <c r="J87" i="143"/>
  <c r="K87" i="143"/>
  <c r="L87" i="143"/>
  <c r="M87" i="143"/>
  <c r="N87" i="143"/>
  <c r="O87" i="143"/>
  <c r="P87" i="143"/>
  <c r="E87" i="143"/>
  <c r="D41" i="141" s="1"/>
  <c r="C87" i="143"/>
  <c r="F79" i="143"/>
  <c r="E26" i="141" s="1"/>
  <c r="G79" i="143"/>
  <c r="D79" i="143" s="1"/>
  <c r="C26" i="141" s="1"/>
  <c r="H79" i="143"/>
  <c r="G26" i="141" s="1"/>
  <c r="I79" i="143"/>
  <c r="J79" i="143"/>
  <c r="K79" i="143"/>
  <c r="L79" i="143"/>
  <c r="M79" i="143"/>
  <c r="N79" i="143"/>
  <c r="O79" i="143"/>
  <c r="P79" i="143"/>
  <c r="E79" i="143"/>
  <c r="D26" i="141" s="1"/>
  <c r="C79" i="143"/>
  <c r="F74" i="143"/>
  <c r="E11" i="141" s="1"/>
  <c r="G74" i="143"/>
  <c r="D74" i="143" s="1"/>
  <c r="C11" i="141" s="1"/>
  <c r="H74" i="143"/>
  <c r="G11" i="141" s="1"/>
  <c r="I74" i="143"/>
  <c r="J74" i="143"/>
  <c r="K74" i="143"/>
  <c r="L74" i="143"/>
  <c r="M74" i="143"/>
  <c r="N74" i="143"/>
  <c r="O74" i="143"/>
  <c r="P74" i="143"/>
  <c r="E74" i="143"/>
  <c r="D11" i="141" s="1"/>
  <c r="C74" i="143"/>
  <c r="F62" i="143"/>
  <c r="E55" i="141" s="1"/>
  <c r="G62" i="143"/>
  <c r="D62" i="143" s="1"/>
  <c r="C55" i="141" s="1"/>
  <c r="H62" i="143"/>
  <c r="G55" i="141" s="1"/>
  <c r="I62" i="143"/>
  <c r="J62" i="143"/>
  <c r="K62" i="143"/>
  <c r="L62" i="143"/>
  <c r="M62" i="143"/>
  <c r="N62" i="143"/>
  <c r="O62" i="143"/>
  <c r="P62" i="143"/>
  <c r="E62" i="143"/>
  <c r="D55" i="141" s="1"/>
  <c r="C62" i="143"/>
  <c r="F57" i="143"/>
  <c r="G57" i="143"/>
  <c r="H57" i="143"/>
  <c r="I57" i="143"/>
  <c r="J57" i="143"/>
  <c r="K57" i="143"/>
  <c r="K63" i="143" s="1"/>
  <c r="L57" i="143"/>
  <c r="M57" i="143"/>
  <c r="N57" i="143"/>
  <c r="O57" i="143"/>
  <c r="O63" i="143" s="1"/>
  <c r="P57" i="143"/>
  <c r="E57" i="143"/>
  <c r="C57" i="143"/>
  <c r="F48" i="143"/>
  <c r="G48" i="143"/>
  <c r="D48" i="143" s="1"/>
  <c r="C25" i="141" s="1"/>
  <c r="H48" i="143"/>
  <c r="G25" i="141" s="1"/>
  <c r="I48" i="143"/>
  <c r="J48" i="143"/>
  <c r="K48" i="143"/>
  <c r="L48" i="143"/>
  <c r="M48" i="143"/>
  <c r="N48" i="143"/>
  <c r="O48" i="143"/>
  <c r="P48" i="143"/>
  <c r="E48" i="143"/>
  <c r="C48" i="143"/>
  <c r="F43" i="143"/>
  <c r="E10" i="141" s="1"/>
  <c r="G43" i="143"/>
  <c r="D43" i="143" s="1"/>
  <c r="C10" i="141" s="1"/>
  <c r="H43" i="143"/>
  <c r="I43" i="143"/>
  <c r="J43" i="143"/>
  <c r="K43" i="143"/>
  <c r="L43" i="143"/>
  <c r="M43" i="143"/>
  <c r="N43" i="143"/>
  <c r="O43" i="143"/>
  <c r="P43" i="143"/>
  <c r="E43" i="143"/>
  <c r="D10" i="141" s="1"/>
  <c r="C43" i="143"/>
  <c r="F32" i="143"/>
  <c r="G32" i="143"/>
  <c r="D32" i="143" s="1"/>
  <c r="H32" i="143"/>
  <c r="G54" i="141" s="1"/>
  <c r="I32" i="143"/>
  <c r="J32" i="143"/>
  <c r="K32" i="143"/>
  <c r="L32" i="143"/>
  <c r="M32" i="143"/>
  <c r="N32" i="143"/>
  <c r="O32" i="143"/>
  <c r="P32" i="143"/>
  <c r="E32" i="143"/>
  <c r="D54" i="141" s="1"/>
  <c r="C32" i="143"/>
  <c r="F27" i="143"/>
  <c r="G27" i="143"/>
  <c r="H27" i="143"/>
  <c r="I27" i="143"/>
  <c r="J27" i="143"/>
  <c r="K27" i="143"/>
  <c r="L27" i="143"/>
  <c r="M27" i="143"/>
  <c r="N27" i="143"/>
  <c r="O27" i="143"/>
  <c r="P27" i="143"/>
  <c r="E27" i="143"/>
  <c r="D39" i="141" s="1"/>
  <c r="C27" i="143"/>
  <c r="F19" i="143"/>
  <c r="E24" i="141" s="1"/>
  <c r="G19" i="143"/>
  <c r="D19" i="143" s="1"/>
  <c r="C24" i="141" s="1"/>
  <c r="H19" i="143"/>
  <c r="I19" i="143"/>
  <c r="J19" i="143"/>
  <c r="K19" i="143"/>
  <c r="L19" i="143"/>
  <c r="M19" i="143"/>
  <c r="N19" i="143"/>
  <c r="O19" i="143"/>
  <c r="P19" i="143"/>
  <c r="E19" i="143"/>
  <c r="D24" i="141" s="1"/>
  <c r="C19" i="143"/>
  <c r="F14" i="143"/>
  <c r="E9" i="141" s="1"/>
  <c r="G14" i="143"/>
  <c r="H14" i="143"/>
  <c r="G9" i="141" s="1"/>
  <c r="I14" i="143"/>
  <c r="J14" i="143"/>
  <c r="K14" i="143"/>
  <c r="L14" i="143"/>
  <c r="M14" i="143"/>
  <c r="N14" i="143"/>
  <c r="O14" i="143"/>
  <c r="P14" i="143"/>
  <c r="E14" i="143"/>
  <c r="D9" i="141" s="1"/>
  <c r="C14" i="143"/>
  <c r="G56" i="141" l="1"/>
  <c r="H93" i="143"/>
  <c r="G57" i="141"/>
  <c r="H122" i="143"/>
  <c r="G58" i="141"/>
  <c r="H151" i="143"/>
  <c r="G59" i="141"/>
  <c r="H181" i="143"/>
  <c r="G61" i="141"/>
  <c r="H243" i="143"/>
  <c r="N272" i="143"/>
  <c r="J272" i="143"/>
  <c r="E62" i="141"/>
  <c r="F272" i="143"/>
  <c r="N63" i="143"/>
  <c r="J63" i="143"/>
  <c r="O93" i="143"/>
  <c r="K93" i="143"/>
  <c r="D92" i="143"/>
  <c r="G93" i="143"/>
  <c r="O122" i="143"/>
  <c r="K122" i="143"/>
  <c r="D121" i="143"/>
  <c r="G122" i="143"/>
  <c r="O151" i="143"/>
  <c r="K151" i="143"/>
  <c r="D150" i="143"/>
  <c r="G151" i="143"/>
  <c r="O181" i="143"/>
  <c r="K181" i="143"/>
  <c r="D180" i="143"/>
  <c r="G181" i="143"/>
  <c r="C211" i="143"/>
  <c r="N211" i="143"/>
  <c r="J211" i="143"/>
  <c r="O243" i="143"/>
  <c r="K243" i="143"/>
  <c r="D242" i="143"/>
  <c r="G243" i="143"/>
  <c r="M272" i="143"/>
  <c r="I272" i="143"/>
  <c r="O302" i="143"/>
  <c r="K302" i="143"/>
  <c r="D62" i="141"/>
  <c r="E272" i="143"/>
  <c r="M63" i="143"/>
  <c r="I63" i="143"/>
  <c r="C63" i="143"/>
  <c r="C93" i="143"/>
  <c r="N93" i="143"/>
  <c r="J93" i="143"/>
  <c r="E56" i="141"/>
  <c r="F93" i="143"/>
  <c r="C122" i="143"/>
  <c r="N122" i="143"/>
  <c r="J122" i="143"/>
  <c r="E57" i="141"/>
  <c r="F122" i="143"/>
  <c r="C151" i="143"/>
  <c r="N151" i="143"/>
  <c r="J151" i="143"/>
  <c r="E58" i="141"/>
  <c r="F151" i="143"/>
  <c r="C181" i="143"/>
  <c r="N181" i="143"/>
  <c r="J181" i="143"/>
  <c r="E59" i="141"/>
  <c r="F181" i="143"/>
  <c r="M211" i="143"/>
  <c r="I211" i="143"/>
  <c r="C243" i="143"/>
  <c r="N243" i="143"/>
  <c r="J243" i="143"/>
  <c r="E61" i="141"/>
  <c r="F243" i="143"/>
  <c r="P272" i="143"/>
  <c r="L272" i="143"/>
  <c r="C302" i="143"/>
  <c r="N302" i="143"/>
  <c r="J302" i="143"/>
  <c r="G62" i="141"/>
  <c r="H272" i="143"/>
  <c r="C272" i="143"/>
  <c r="P63" i="143"/>
  <c r="L63" i="143"/>
  <c r="D56" i="141"/>
  <c r="E93" i="143"/>
  <c r="M93" i="143"/>
  <c r="I93" i="143"/>
  <c r="D57" i="141"/>
  <c r="E122" i="143"/>
  <c r="M122" i="143"/>
  <c r="I122" i="143"/>
  <c r="D58" i="141"/>
  <c r="E151" i="143"/>
  <c r="M151" i="143"/>
  <c r="I151" i="143"/>
  <c r="D59" i="141"/>
  <c r="E181" i="143"/>
  <c r="M181" i="143"/>
  <c r="I181" i="143"/>
  <c r="P211" i="143"/>
  <c r="L211" i="143"/>
  <c r="D61" i="141"/>
  <c r="E243" i="143"/>
  <c r="M243" i="143"/>
  <c r="I243" i="143"/>
  <c r="O272" i="143"/>
  <c r="K272" i="143"/>
  <c r="M302" i="143"/>
  <c r="I302" i="143"/>
  <c r="D271" i="143"/>
  <c r="G272" i="143"/>
  <c r="E18" i="141"/>
  <c r="F302" i="143"/>
  <c r="D284" i="143"/>
  <c r="G302" i="143"/>
  <c r="D18" i="141"/>
  <c r="E302" i="143"/>
  <c r="G18" i="141"/>
  <c r="H302" i="143"/>
  <c r="E40" i="141"/>
  <c r="F63" i="143"/>
  <c r="G40" i="141"/>
  <c r="H63" i="143"/>
  <c r="D40" i="141"/>
  <c r="E63" i="143"/>
  <c r="D57" i="143"/>
  <c r="G63" i="143"/>
  <c r="E45" i="141"/>
  <c r="F211" i="143"/>
  <c r="D205" i="143"/>
  <c r="G211" i="143"/>
  <c r="G45" i="141"/>
  <c r="H211" i="143"/>
  <c r="D45" i="141"/>
  <c r="E211" i="143"/>
  <c r="C312" i="143"/>
  <c r="C313" i="143" s="1"/>
  <c r="N312" i="143"/>
  <c r="N313" i="143" s="1"/>
  <c r="N315" i="143" s="1"/>
  <c r="J312" i="143"/>
  <c r="J313" i="143" s="1"/>
  <c r="J315" i="143" s="1"/>
  <c r="O316" i="143"/>
  <c r="O317" i="143" s="1"/>
  <c r="O319" i="143" s="1"/>
  <c r="K316" i="143"/>
  <c r="K317" i="143" s="1"/>
  <c r="K319" i="143" s="1"/>
  <c r="G316" i="143"/>
  <c r="G317" i="143" s="1"/>
  <c r="G319" i="143" s="1"/>
  <c r="L320" i="143"/>
  <c r="L321" i="143" s="1"/>
  <c r="L323" i="143" s="1"/>
  <c r="O312" i="143"/>
  <c r="O313" i="143" s="1"/>
  <c r="O315" i="143" s="1"/>
  <c r="K312" i="143"/>
  <c r="K313" i="143" s="1"/>
  <c r="K315" i="143" s="1"/>
  <c r="P316" i="143"/>
  <c r="P317" i="143" s="1"/>
  <c r="P319" i="143" s="1"/>
  <c r="L316" i="143"/>
  <c r="L317" i="143" s="1"/>
  <c r="L319" i="143" s="1"/>
  <c r="H316" i="143"/>
  <c r="H317" i="143" s="1"/>
  <c r="P320" i="143"/>
  <c r="P321" i="143" s="1"/>
  <c r="P323" i="143" s="1"/>
  <c r="D14" i="143"/>
  <c r="C9" i="141" s="1"/>
  <c r="F9" i="141"/>
  <c r="C320" i="143"/>
  <c r="C321" i="143" s="1"/>
  <c r="D192" i="143"/>
  <c r="C15" i="141" s="1"/>
  <c r="M308" i="143"/>
  <c r="M309" i="143" s="1"/>
  <c r="M311" i="143" s="1"/>
  <c r="I308" i="143"/>
  <c r="I309" i="143" s="1"/>
  <c r="I311" i="143" s="1"/>
  <c r="C308" i="143"/>
  <c r="C309" i="143" s="1"/>
  <c r="H320" i="143"/>
  <c r="H321" i="143" s="1"/>
  <c r="H323" i="143" s="1"/>
  <c r="N320" i="143"/>
  <c r="N321" i="143" s="1"/>
  <c r="N323" i="143" s="1"/>
  <c r="J320" i="143"/>
  <c r="J321" i="143" s="1"/>
  <c r="J323" i="143" s="1"/>
  <c r="F320" i="143"/>
  <c r="F321" i="143" s="1"/>
  <c r="F323" i="143" s="1"/>
  <c r="E54" i="141"/>
  <c r="M312" i="143"/>
  <c r="M313" i="143" s="1"/>
  <c r="M315" i="143" s="1"/>
  <c r="I312" i="143"/>
  <c r="I313" i="143" s="1"/>
  <c r="I315" i="143" s="1"/>
  <c r="C316" i="143"/>
  <c r="C317" i="143" s="1"/>
  <c r="N316" i="143"/>
  <c r="N317" i="143" s="1"/>
  <c r="N319" i="143" s="1"/>
  <c r="J316" i="143"/>
  <c r="J317" i="143" s="1"/>
  <c r="J319" i="143" s="1"/>
  <c r="F316" i="143"/>
  <c r="F317" i="143" s="1"/>
  <c r="F319" i="143" s="1"/>
  <c r="O320" i="143"/>
  <c r="O321" i="143" s="1"/>
  <c r="O323" i="143" s="1"/>
  <c r="K320" i="143"/>
  <c r="K321" i="143" s="1"/>
  <c r="K323" i="143" s="1"/>
  <c r="P308" i="143"/>
  <c r="P309" i="143" s="1"/>
  <c r="P311" i="143" s="1"/>
  <c r="L308" i="143"/>
  <c r="L309" i="143" s="1"/>
  <c r="L311" i="143" s="1"/>
  <c r="H308" i="143"/>
  <c r="H309" i="143" s="1"/>
  <c r="H311" i="143" s="1"/>
  <c r="M320" i="143"/>
  <c r="M321" i="143" s="1"/>
  <c r="M323" i="143" s="1"/>
  <c r="I320" i="143"/>
  <c r="I321" i="143" s="1"/>
  <c r="I323" i="143" s="1"/>
  <c r="E316" i="143"/>
  <c r="E317" i="143" s="1"/>
  <c r="E319" i="143" s="1"/>
  <c r="M316" i="143"/>
  <c r="M317" i="143" s="1"/>
  <c r="M319" i="143" s="1"/>
  <c r="I316" i="143"/>
  <c r="I317" i="143" s="1"/>
  <c r="I319" i="143" s="1"/>
  <c r="F62" i="141"/>
  <c r="C54" i="141"/>
  <c r="E320" i="143"/>
  <c r="E321" i="143" s="1"/>
  <c r="E323" i="143" s="1"/>
  <c r="F63" i="141"/>
  <c r="F60" i="141"/>
  <c r="F59" i="141"/>
  <c r="F58" i="141"/>
  <c r="F57" i="141"/>
  <c r="F56" i="141"/>
  <c r="F55" i="141"/>
  <c r="F54" i="141"/>
  <c r="F27" i="141"/>
  <c r="G39" i="141"/>
  <c r="F61" i="141"/>
  <c r="F31" i="141"/>
  <c r="G320" i="143"/>
  <c r="G321" i="143" s="1"/>
  <c r="P312" i="143"/>
  <c r="P313" i="143" s="1"/>
  <c r="P315" i="143" s="1"/>
  <c r="H312" i="143"/>
  <c r="H313" i="143" s="1"/>
  <c r="H315" i="143" s="1"/>
  <c r="F32" i="141"/>
  <c r="F28" i="141"/>
  <c r="F24" i="141"/>
  <c r="D48" i="141"/>
  <c r="D237" i="143"/>
  <c r="C46" i="141" s="1"/>
  <c r="D296" i="143"/>
  <c r="C48" i="141" s="1"/>
  <c r="F30" i="141"/>
  <c r="F26" i="141"/>
  <c r="F47" i="141"/>
  <c r="F45" i="141"/>
  <c r="F44" i="141"/>
  <c r="F43" i="141"/>
  <c r="F42" i="141"/>
  <c r="F41" i="141"/>
  <c r="F40" i="141"/>
  <c r="F39" i="141"/>
  <c r="L312" i="143"/>
  <c r="L313" i="143" s="1"/>
  <c r="L315" i="143" s="1"/>
  <c r="F33" i="141"/>
  <c r="F29" i="141"/>
  <c r="F25" i="141"/>
  <c r="E39" i="141"/>
  <c r="C27" i="141"/>
  <c r="D312" i="143"/>
  <c r="D313" i="143" s="1"/>
  <c r="F312" i="143"/>
  <c r="F313" i="143" s="1"/>
  <c r="G24" i="141"/>
  <c r="E312" i="143"/>
  <c r="E313" i="143" s="1"/>
  <c r="E315" i="143" s="1"/>
  <c r="O308" i="143"/>
  <c r="O309" i="143" s="1"/>
  <c r="O311" i="143" s="1"/>
  <c r="K308" i="143"/>
  <c r="K309" i="143" s="1"/>
  <c r="K311" i="143" s="1"/>
  <c r="N308" i="143"/>
  <c r="N309" i="143" s="1"/>
  <c r="N311" i="143" s="1"/>
  <c r="J308" i="143"/>
  <c r="J309" i="143" s="1"/>
  <c r="J311" i="143" s="1"/>
  <c r="E25" i="141"/>
  <c r="G312" i="143"/>
  <c r="G313" i="143" s="1"/>
  <c r="D25" i="141"/>
  <c r="E309" i="143"/>
  <c r="F18" i="141"/>
  <c r="F17" i="141"/>
  <c r="F16" i="141"/>
  <c r="F15" i="141"/>
  <c r="F14" i="141"/>
  <c r="F13" i="141"/>
  <c r="F12" i="141"/>
  <c r="F11" i="141"/>
  <c r="F10" i="141"/>
  <c r="F308" i="143"/>
  <c r="F309" i="143" s="1"/>
  <c r="G10" i="141"/>
  <c r="D27" i="143"/>
  <c r="P33" i="143"/>
  <c r="L33" i="143"/>
  <c r="H33" i="143"/>
  <c r="E33" i="143"/>
  <c r="G308" i="143"/>
  <c r="G309" i="143" s="1"/>
  <c r="G311" i="143" s="1"/>
  <c r="M33" i="143"/>
  <c r="I33" i="143"/>
  <c r="O33" i="143"/>
  <c r="G33" i="143"/>
  <c r="C33" i="143"/>
  <c r="N33" i="143"/>
  <c r="J33" i="143"/>
  <c r="F33" i="143"/>
  <c r="K33" i="143"/>
  <c r="D19" i="141"/>
  <c r="P303" i="143" l="1"/>
  <c r="C62" i="141"/>
  <c r="D272" i="143"/>
  <c r="J303" i="143"/>
  <c r="O303" i="143"/>
  <c r="D320" i="143"/>
  <c r="D321" i="143" s="1"/>
  <c r="C59" i="141"/>
  <c r="D181" i="143"/>
  <c r="C58" i="141"/>
  <c r="D151" i="143"/>
  <c r="C57" i="141"/>
  <c r="D122" i="143"/>
  <c r="C56" i="141"/>
  <c r="D93" i="143"/>
  <c r="N303" i="143"/>
  <c r="I303" i="143"/>
  <c r="H303" i="143"/>
  <c r="C61" i="141"/>
  <c r="D243" i="143"/>
  <c r="K303" i="143"/>
  <c r="C303" i="143"/>
  <c r="M303" i="143"/>
  <c r="L303" i="143"/>
  <c r="C18" i="141"/>
  <c r="D302" i="143"/>
  <c r="E303" i="143"/>
  <c r="C40" i="141"/>
  <c r="D63" i="143"/>
  <c r="F303" i="143"/>
  <c r="D33" i="143"/>
  <c r="G303" i="143"/>
  <c r="C45" i="141"/>
  <c r="D211" i="143"/>
  <c r="E322" i="143"/>
  <c r="C324" i="143"/>
  <c r="C325" i="143" s="1"/>
  <c r="D308" i="143"/>
  <c r="D309" i="143" s="1"/>
  <c r="F34" i="141"/>
  <c r="M324" i="143"/>
  <c r="M325" i="143" s="1"/>
  <c r="M329" i="143" s="1"/>
  <c r="K324" i="143"/>
  <c r="K325" i="143" s="1"/>
  <c r="K329" i="143" s="1"/>
  <c r="J324" i="143"/>
  <c r="J325" i="143" s="1"/>
  <c r="J329" i="143" s="1"/>
  <c r="F322" i="143"/>
  <c r="P324" i="143"/>
  <c r="P325" i="143" s="1"/>
  <c r="P329" i="143" s="1"/>
  <c r="E324" i="143"/>
  <c r="E325" i="143" s="1"/>
  <c r="E329" i="143" s="1"/>
  <c r="G314" i="143"/>
  <c r="F19" i="141"/>
  <c r="K19" i="141" s="1"/>
  <c r="H324" i="143"/>
  <c r="H325" i="143" s="1"/>
  <c r="H329" i="143" s="1"/>
  <c r="N324" i="143"/>
  <c r="N325" i="143" s="1"/>
  <c r="N329" i="143" s="1"/>
  <c r="C39" i="141"/>
  <c r="D316" i="143"/>
  <c r="D317" i="143" s="1"/>
  <c r="O324" i="143"/>
  <c r="O325" i="143" s="1"/>
  <c r="O329" i="143" s="1"/>
  <c r="H319" i="143"/>
  <c r="F318" i="143"/>
  <c r="E318" i="143"/>
  <c r="G318" i="143"/>
  <c r="F315" i="143"/>
  <c r="F314" i="143"/>
  <c r="I324" i="143"/>
  <c r="I325" i="143" s="1"/>
  <c r="I329" i="143" s="1"/>
  <c r="E314" i="143"/>
  <c r="F324" i="143"/>
  <c r="F325" i="143" s="1"/>
  <c r="F329" i="143" s="1"/>
  <c r="L324" i="143"/>
  <c r="L325" i="143" s="1"/>
  <c r="L329" i="143" s="1"/>
  <c r="G310" i="143"/>
  <c r="G324" i="143"/>
  <c r="G325" i="143" s="1"/>
  <c r="G329" i="143" s="1"/>
  <c r="G322" i="143"/>
  <c r="G323" i="143"/>
  <c r="G315" i="143"/>
  <c r="E310" i="143"/>
  <c r="E311" i="143"/>
  <c r="F310" i="143"/>
  <c r="F311" i="143"/>
  <c r="E19" i="141"/>
  <c r="J19" i="141" s="1"/>
  <c r="F64" i="141"/>
  <c r="D34" i="141"/>
  <c r="E34" i="141"/>
  <c r="G19" i="141"/>
  <c r="L19" i="141" s="1"/>
  <c r="G34" i="141"/>
  <c r="D64" i="141"/>
  <c r="E64" i="141"/>
  <c r="F49" i="141"/>
  <c r="G64" i="141"/>
  <c r="D49" i="141"/>
  <c r="E49" i="141"/>
  <c r="G49" i="141"/>
  <c r="L63" i="141"/>
  <c r="N63" i="141"/>
  <c r="L62" i="141"/>
  <c r="N62" i="141"/>
  <c r="L61" i="141"/>
  <c r="N61" i="141"/>
  <c r="L60" i="141"/>
  <c r="N60" i="141"/>
  <c r="L59" i="141"/>
  <c r="N59" i="141"/>
  <c r="L58" i="141"/>
  <c r="N58" i="141"/>
  <c r="L57" i="141"/>
  <c r="N57" i="141"/>
  <c r="L56" i="141"/>
  <c r="N56" i="141"/>
  <c r="L55" i="141"/>
  <c r="N55" i="141"/>
  <c r="K53" i="141"/>
  <c r="P53" i="141" s="1"/>
  <c r="J53" i="141"/>
  <c r="O53" i="141" s="1"/>
  <c r="I53" i="141"/>
  <c r="N53" i="141" s="1"/>
  <c r="L48" i="141"/>
  <c r="L47" i="141"/>
  <c r="L46" i="141"/>
  <c r="L45" i="141"/>
  <c r="L44" i="141"/>
  <c r="L43" i="141"/>
  <c r="L42" i="141"/>
  <c r="L41" i="141"/>
  <c r="L40" i="141"/>
  <c r="P38" i="141"/>
  <c r="K38" i="141"/>
  <c r="J38" i="141"/>
  <c r="O38" i="141" s="1"/>
  <c r="I38" i="141"/>
  <c r="N38" i="141" s="1"/>
  <c r="L33" i="141"/>
  <c r="N33" i="141"/>
  <c r="L32" i="141"/>
  <c r="N32" i="141"/>
  <c r="L31" i="141"/>
  <c r="N31" i="141"/>
  <c r="L30" i="141"/>
  <c r="N30" i="141"/>
  <c r="L29" i="141"/>
  <c r="N29" i="141"/>
  <c r="L28" i="141"/>
  <c r="N28" i="141"/>
  <c r="L27" i="141"/>
  <c r="N27" i="141"/>
  <c r="L26" i="141"/>
  <c r="N25" i="141"/>
  <c r="L24" i="141"/>
  <c r="N24" i="141"/>
  <c r="N23" i="141"/>
  <c r="K23" i="141"/>
  <c r="P23" i="141" s="1"/>
  <c r="J23" i="141"/>
  <c r="O23" i="141" s="1"/>
  <c r="I23" i="141"/>
  <c r="L18" i="141"/>
  <c r="P18" i="141"/>
  <c r="O18" i="141"/>
  <c r="N18" i="141"/>
  <c r="L17" i="141"/>
  <c r="P17" i="141"/>
  <c r="O17" i="141"/>
  <c r="N17" i="141"/>
  <c r="L16" i="141"/>
  <c r="P16" i="141"/>
  <c r="O16" i="141"/>
  <c r="N16" i="141"/>
  <c r="L15" i="141"/>
  <c r="P15" i="141"/>
  <c r="O15" i="141"/>
  <c r="N15" i="141"/>
  <c r="L14" i="141"/>
  <c r="P14" i="141"/>
  <c r="O14" i="141"/>
  <c r="N14" i="141"/>
  <c r="L13" i="141"/>
  <c r="P13" i="141"/>
  <c r="O13" i="141"/>
  <c r="N13" i="141"/>
  <c r="L12" i="141"/>
  <c r="P12" i="141"/>
  <c r="O12" i="141"/>
  <c r="N12" i="141"/>
  <c r="P11" i="141"/>
  <c r="O11" i="141"/>
  <c r="N11" i="141"/>
  <c r="L10" i="141"/>
  <c r="O10" i="141"/>
  <c r="N10" i="141"/>
  <c r="L9" i="141"/>
  <c r="P9" i="141"/>
  <c r="I19" i="141"/>
  <c r="K8" i="141"/>
  <c r="P8" i="141" s="1"/>
  <c r="J8" i="141"/>
  <c r="O8" i="141" s="1"/>
  <c r="I8" i="141"/>
  <c r="N8" i="141" s="1"/>
  <c r="D303" i="143" l="1"/>
  <c r="E326" i="143"/>
  <c r="G326" i="143"/>
  <c r="D324" i="143"/>
  <c r="D325" i="143" s="1"/>
  <c r="F326" i="143"/>
  <c r="C19" i="141"/>
  <c r="C64" i="141"/>
  <c r="C49" i="141"/>
  <c r="C34" i="141"/>
  <c r="P41" i="141"/>
  <c r="P42" i="141"/>
  <c r="P44" i="141"/>
  <c r="P46" i="141"/>
  <c r="P47" i="141"/>
  <c r="P48" i="141"/>
  <c r="P25" i="141"/>
  <c r="P26" i="141"/>
  <c r="P27" i="141"/>
  <c r="P28" i="141"/>
  <c r="P30" i="141"/>
  <c r="P31" i="141"/>
  <c r="P32" i="141"/>
  <c r="P33" i="141"/>
  <c r="O39" i="141"/>
  <c r="O40" i="141"/>
  <c r="O42" i="141"/>
  <c r="O43" i="141"/>
  <c r="O45" i="141"/>
  <c r="O46" i="141"/>
  <c r="O47" i="141"/>
  <c r="O48" i="141"/>
  <c r="P54" i="141"/>
  <c r="P56" i="141"/>
  <c r="P57" i="141"/>
  <c r="P58" i="141"/>
  <c r="P59" i="141"/>
  <c r="P60" i="141"/>
  <c r="P61" i="141"/>
  <c r="P62" i="141"/>
  <c r="O25" i="141"/>
  <c r="O26" i="141"/>
  <c r="O27" i="141"/>
  <c r="O28" i="141"/>
  <c r="O29" i="141"/>
  <c r="O30" i="141"/>
  <c r="O31" i="141"/>
  <c r="O32" i="141"/>
  <c r="O33" i="141"/>
  <c r="N39" i="141"/>
  <c r="N40" i="141"/>
  <c r="N42" i="141"/>
  <c r="N43" i="141"/>
  <c r="N44" i="141"/>
  <c r="N45" i="141"/>
  <c r="N46" i="141"/>
  <c r="N47" i="141"/>
  <c r="N48" i="141"/>
  <c r="O54" i="141"/>
  <c r="O55" i="141"/>
  <c r="O56" i="141"/>
  <c r="O57" i="141"/>
  <c r="O58" i="141"/>
  <c r="O59" i="141"/>
  <c r="O60" i="141"/>
  <c r="O61" i="141"/>
  <c r="O62" i="141"/>
  <c r="O63" i="141"/>
  <c r="P40" i="141"/>
  <c r="P43" i="141"/>
  <c r="P45" i="141"/>
  <c r="P29" i="141"/>
  <c r="O44" i="141"/>
  <c r="P55" i="141"/>
  <c r="P63" i="141"/>
  <c r="J9" i="141"/>
  <c r="O9" i="141"/>
  <c r="O19" i="141" s="1"/>
  <c r="K10" i="141"/>
  <c r="P10" i="141"/>
  <c r="P19" i="141" s="1"/>
  <c r="L11" i="141"/>
  <c r="I12" i="141"/>
  <c r="J13" i="141"/>
  <c r="K14" i="141"/>
  <c r="I16" i="141"/>
  <c r="J17" i="141"/>
  <c r="K18" i="141"/>
  <c r="K24" i="141"/>
  <c r="P24" i="141"/>
  <c r="L25" i="141"/>
  <c r="L34" i="141" s="1"/>
  <c r="I26" i="141"/>
  <c r="N26" i="141"/>
  <c r="N34" i="141" s="1"/>
  <c r="J27" i="141"/>
  <c r="K28" i="141"/>
  <c r="I30" i="141"/>
  <c r="J31" i="141"/>
  <c r="K32" i="141"/>
  <c r="L39" i="141"/>
  <c r="L49" i="141" s="1"/>
  <c r="I40" i="141"/>
  <c r="J41" i="141"/>
  <c r="O41" i="141"/>
  <c r="K42" i="141"/>
  <c r="I44" i="141"/>
  <c r="J45" i="141"/>
  <c r="K46" i="141"/>
  <c r="I48" i="141"/>
  <c r="I54" i="141"/>
  <c r="N54" i="141"/>
  <c r="N64" i="141" s="1"/>
  <c r="J55" i="141"/>
  <c r="K56" i="141"/>
  <c r="I58" i="141"/>
  <c r="J59" i="141"/>
  <c r="K60" i="141"/>
  <c r="I62" i="141"/>
  <c r="J63" i="141"/>
  <c r="L54" i="141"/>
  <c r="L64" i="141" s="1"/>
  <c r="I55" i="141"/>
  <c r="J56" i="141"/>
  <c r="K57" i="141"/>
  <c r="I59" i="141"/>
  <c r="J60" i="141"/>
  <c r="K61" i="141"/>
  <c r="I63" i="141"/>
  <c r="K54" i="141"/>
  <c r="I56" i="141"/>
  <c r="J57" i="141"/>
  <c r="K58" i="141"/>
  <c r="I60" i="141"/>
  <c r="J61" i="141"/>
  <c r="K62" i="141"/>
  <c r="I9" i="141"/>
  <c r="N9" i="141"/>
  <c r="N19" i="141" s="1"/>
  <c r="J10" i="141"/>
  <c r="K11" i="141"/>
  <c r="I13" i="141"/>
  <c r="J14" i="141"/>
  <c r="K15" i="141"/>
  <c r="I17" i="141"/>
  <c r="J18" i="141"/>
  <c r="J24" i="141"/>
  <c r="O24" i="141"/>
  <c r="K25" i="141"/>
  <c r="I27" i="141"/>
  <c r="J28" i="141"/>
  <c r="K29" i="141"/>
  <c r="I31" i="141"/>
  <c r="J32" i="141"/>
  <c r="K33" i="141"/>
  <c r="K39" i="141"/>
  <c r="P39" i="141"/>
  <c r="I41" i="141"/>
  <c r="N41" i="141"/>
  <c r="J42" i="141"/>
  <c r="K43" i="141"/>
  <c r="I45" i="141"/>
  <c r="J46" i="141"/>
  <c r="K47" i="141"/>
  <c r="I10" i="141"/>
  <c r="J11" i="141"/>
  <c r="K12" i="141"/>
  <c r="I14" i="141"/>
  <c r="J15" i="141"/>
  <c r="K16" i="141"/>
  <c r="I18" i="141"/>
  <c r="I24" i="141"/>
  <c r="J25" i="141"/>
  <c r="K26" i="141"/>
  <c r="I28" i="141"/>
  <c r="J29" i="141"/>
  <c r="K30" i="141"/>
  <c r="I32" i="141"/>
  <c r="J33" i="141"/>
  <c r="J39" i="141"/>
  <c r="K40" i="141"/>
  <c r="I42" i="141"/>
  <c r="J43" i="141"/>
  <c r="K44" i="141"/>
  <c r="I46" i="141"/>
  <c r="J47" i="141"/>
  <c r="K48" i="141"/>
  <c r="K9" i="141"/>
  <c r="I11" i="141"/>
  <c r="J12" i="141"/>
  <c r="K13" i="141"/>
  <c r="I15" i="141"/>
  <c r="J16" i="141"/>
  <c r="K17" i="141"/>
  <c r="I25" i="141"/>
  <c r="J26" i="141"/>
  <c r="K27" i="141"/>
  <c r="I29" i="141"/>
  <c r="J30" i="141"/>
  <c r="K31" i="141"/>
  <c r="I33" i="141"/>
  <c r="I39" i="141"/>
  <c r="J40" i="141"/>
  <c r="K41" i="141"/>
  <c r="I43" i="141"/>
  <c r="J44" i="141"/>
  <c r="K45" i="141"/>
  <c r="I47" i="141"/>
  <c r="J48" i="141"/>
  <c r="J54" i="141"/>
  <c r="K55" i="141"/>
  <c r="I57" i="141"/>
  <c r="J58" i="141"/>
  <c r="K59" i="141"/>
  <c r="I61" i="141"/>
  <c r="J62" i="141"/>
  <c r="K63" i="141"/>
  <c r="O49" i="141" l="1"/>
  <c r="P34" i="141"/>
  <c r="N49" i="141"/>
  <c r="O34" i="141"/>
  <c r="O64" i="141"/>
  <c r="P49" i="141"/>
  <c r="P64" i="141"/>
  <c r="I49" i="141"/>
  <c r="J34" i="141"/>
  <c r="K64" i="141"/>
  <c r="K34" i="141"/>
  <c r="J64" i="141"/>
  <c r="J49" i="141"/>
  <c r="I34" i="141"/>
  <c r="K49" i="141"/>
  <c r="I64" i="141"/>
  <c r="P192" i="134" l="1"/>
  <c r="O192" i="134"/>
  <c r="N192" i="134"/>
  <c r="M192" i="134"/>
  <c r="K192" i="134"/>
  <c r="J192" i="134"/>
  <c r="I192" i="134"/>
  <c r="C192" i="134"/>
  <c r="G191" i="134"/>
  <c r="F191" i="134"/>
  <c r="E191" i="134"/>
  <c r="D191" i="134"/>
  <c r="H190" i="134"/>
  <c r="D190" i="134"/>
  <c r="H189" i="134"/>
  <c r="D189" i="134"/>
  <c r="L188" i="134"/>
  <c r="L192" i="134" s="1"/>
  <c r="G188" i="134"/>
  <c r="D188" i="134" s="1"/>
  <c r="F188" i="134"/>
  <c r="F192" i="134" s="1"/>
  <c r="E188" i="134"/>
  <c r="E192" i="134" s="1"/>
  <c r="H187" i="134"/>
  <c r="D187" i="134"/>
  <c r="H186" i="134"/>
  <c r="D186" i="134"/>
  <c r="H185" i="134"/>
  <c r="D185" i="134"/>
  <c r="H184" i="134"/>
  <c r="D184" i="134"/>
  <c r="P182" i="134"/>
  <c r="O182" i="134"/>
  <c r="N182" i="134"/>
  <c r="M182" i="134"/>
  <c r="L182" i="134"/>
  <c r="K182" i="134"/>
  <c r="J182" i="134"/>
  <c r="I182" i="134"/>
  <c r="G181" i="134"/>
  <c r="F181" i="134"/>
  <c r="E181" i="134"/>
  <c r="G180" i="134"/>
  <c r="F180" i="134"/>
  <c r="E180" i="134"/>
  <c r="E182" i="134" s="1"/>
  <c r="H179" i="134"/>
  <c r="D179" i="134"/>
  <c r="H178" i="134"/>
  <c r="D178" i="134"/>
  <c r="H177" i="134"/>
  <c r="D177" i="134"/>
  <c r="H176" i="134"/>
  <c r="D176" i="134"/>
  <c r="H175" i="134"/>
  <c r="D175" i="134"/>
  <c r="C175" i="134"/>
  <c r="C182" i="134" s="1"/>
  <c r="H174" i="134"/>
  <c r="D174" i="134"/>
  <c r="P171" i="134"/>
  <c r="O171" i="134"/>
  <c r="N171" i="134"/>
  <c r="M171" i="134"/>
  <c r="L171" i="134"/>
  <c r="K171" i="134"/>
  <c r="J171" i="134"/>
  <c r="I171" i="134"/>
  <c r="G171" i="134"/>
  <c r="D171" i="134" s="1"/>
  <c r="E171" i="134"/>
  <c r="C171" i="134"/>
  <c r="F170" i="134"/>
  <c r="F171" i="134" s="1"/>
  <c r="D170" i="134"/>
  <c r="H169" i="134"/>
  <c r="D169" i="134"/>
  <c r="D168" i="134"/>
  <c r="H167" i="134"/>
  <c r="D167" i="134"/>
  <c r="H166" i="134"/>
  <c r="D166" i="134"/>
  <c r="H165" i="134"/>
  <c r="D165" i="134"/>
  <c r="H164" i="134"/>
  <c r="D164" i="134"/>
  <c r="P162" i="134"/>
  <c r="O162" i="134"/>
  <c r="N162" i="134"/>
  <c r="M162" i="134"/>
  <c r="L162" i="134"/>
  <c r="K162" i="134"/>
  <c r="J162" i="134"/>
  <c r="C162" i="134"/>
  <c r="I161" i="134"/>
  <c r="G161" i="134"/>
  <c r="D161" i="134" s="1"/>
  <c r="F161" i="134"/>
  <c r="E161" i="134"/>
  <c r="G160" i="134"/>
  <c r="G162" i="134" s="1"/>
  <c r="D162" i="134" s="1"/>
  <c r="F160" i="134"/>
  <c r="E160" i="134"/>
  <c r="E162" i="134" s="1"/>
  <c r="I159" i="134"/>
  <c r="H159" i="134"/>
  <c r="D159" i="134"/>
  <c r="H158" i="134"/>
  <c r="D158" i="134"/>
  <c r="H157" i="134"/>
  <c r="D157" i="134"/>
  <c r="P154" i="134"/>
  <c r="O154" i="134"/>
  <c r="N154" i="134"/>
  <c r="M154" i="134"/>
  <c r="L154" i="134"/>
  <c r="K154" i="134"/>
  <c r="J154" i="134"/>
  <c r="I154" i="134"/>
  <c r="G154" i="134"/>
  <c r="D154" i="134" s="1"/>
  <c r="F154" i="134"/>
  <c r="E154" i="134"/>
  <c r="C154" i="134"/>
  <c r="G153" i="134"/>
  <c r="D153" i="134" s="1"/>
  <c r="F153" i="134"/>
  <c r="E153" i="134"/>
  <c r="H153" i="134" s="1"/>
  <c r="H152" i="134"/>
  <c r="D152" i="134"/>
  <c r="H151" i="134"/>
  <c r="D151" i="134"/>
  <c r="H150" i="134"/>
  <c r="D150" i="134"/>
  <c r="H149" i="134"/>
  <c r="D149" i="134"/>
  <c r="H148" i="134"/>
  <c r="D148" i="134"/>
  <c r="H147" i="134"/>
  <c r="D147" i="134"/>
  <c r="H146" i="134"/>
  <c r="D146" i="134"/>
  <c r="P144" i="134"/>
  <c r="O144" i="134"/>
  <c r="N144" i="134"/>
  <c r="M144" i="134"/>
  <c r="L144" i="134"/>
  <c r="K144" i="134"/>
  <c r="J144" i="134"/>
  <c r="I144" i="134"/>
  <c r="G144" i="134"/>
  <c r="D144" i="134" s="1"/>
  <c r="C144" i="134"/>
  <c r="G143" i="134"/>
  <c r="D143" i="134" s="1"/>
  <c r="F143" i="134"/>
  <c r="E143" i="134"/>
  <c r="H143" i="134" s="1"/>
  <c r="G142" i="134"/>
  <c r="D142" i="134" s="1"/>
  <c r="F142" i="134"/>
  <c r="E142" i="134"/>
  <c r="E144" i="134" s="1"/>
  <c r="H141" i="134"/>
  <c r="D141" i="134"/>
  <c r="H140" i="134"/>
  <c r="D140" i="134"/>
  <c r="H139" i="134"/>
  <c r="D139" i="134"/>
  <c r="H138" i="134"/>
  <c r="D138" i="134"/>
  <c r="H137" i="134"/>
  <c r="D137" i="134"/>
  <c r="H136" i="134"/>
  <c r="D136" i="134"/>
  <c r="P133" i="134"/>
  <c r="O133" i="134"/>
  <c r="N133" i="134"/>
  <c r="M133" i="134"/>
  <c r="L133" i="134"/>
  <c r="K133" i="134"/>
  <c r="J133" i="134"/>
  <c r="I133" i="134"/>
  <c r="C133" i="134"/>
  <c r="H132" i="134"/>
  <c r="D132" i="134"/>
  <c r="H131" i="134"/>
  <c r="D131" i="134"/>
  <c r="H130" i="134"/>
  <c r="D130" i="134"/>
  <c r="H129" i="134"/>
  <c r="D129" i="134"/>
  <c r="H128" i="134"/>
  <c r="D128" i="134"/>
  <c r="G127" i="134"/>
  <c r="G133" i="134" s="1"/>
  <c r="D133" i="134" s="1"/>
  <c r="F127" i="134"/>
  <c r="F133" i="134" s="1"/>
  <c r="E127" i="134"/>
  <c r="E133" i="134" s="1"/>
  <c r="H126" i="134"/>
  <c r="D126" i="134"/>
  <c r="P124" i="134"/>
  <c r="O124" i="134"/>
  <c r="N124" i="134"/>
  <c r="M124" i="134"/>
  <c r="L124" i="134"/>
  <c r="K124" i="134"/>
  <c r="J124" i="134"/>
  <c r="C124" i="134"/>
  <c r="H123" i="134"/>
  <c r="D123" i="134"/>
  <c r="H122" i="134"/>
  <c r="D122" i="134"/>
  <c r="G121" i="134"/>
  <c r="G124" i="134" s="1"/>
  <c r="D124" i="134" s="1"/>
  <c r="F121" i="134"/>
  <c r="F124" i="134" s="1"/>
  <c r="E121" i="134"/>
  <c r="E124" i="134" s="1"/>
  <c r="H120" i="134"/>
  <c r="D120" i="134"/>
  <c r="H119" i="134"/>
  <c r="D119" i="134"/>
  <c r="I118" i="134"/>
  <c r="I124" i="134" s="1"/>
  <c r="H118" i="134"/>
  <c r="D118" i="134"/>
  <c r="H117" i="134"/>
  <c r="D117" i="134"/>
  <c r="P114" i="134"/>
  <c r="O114" i="134"/>
  <c r="N114" i="134"/>
  <c r="M114" i="134"/>
  <c r="K114" i="134"/>
  <c r="J114" i="134"/>
  <c r="I114" i="134"/>
  <c r="G114" i="134"/>
  <c r="D114" i="134" s="1"/>
  <c r="E114" i="134"/>
  <c r="C114" i="134"/>
  <c r="H113" i="134"/>
  <c r="D113" i="134"/>
  <c r="H112" i="134"/>
  <c r="D112" i="134"/>
  <c r="H111" i="134"/>
  <c r="D111" i="134"/>
  <c r="F110" i="134"/>
  <c r="H110" i="134" s="1"/>
  <c r="D110" i="134"/>
  <c r="H109" i="134"/>
  <c r="D109" i="134"/>
  <c r="L108" i="134"/>
  <c r="L114" i="134" s="1"/>
  <c r="H108" i="134"/>
  <c r="D108" i="134"/>
  <c r="H107" i="134"/>
  <c r="D107" i="134"/>
  <c r="O105" i="134"/>
  <c r="N105" i="134"/>
  <c r="M105" i="134"/>
  <c r="L105" i="134"/>
  <c r="K105" i="134"/>
  <c r="J105" i="134"/>
  <c r="I105" i="134"/>
  <c r="D104" i="134"/>
  <c r="G103" i="134"/>
  <c r="F103" i="134"/>
  <c r="F105" i="134" s="1"/>
  <c r="E103" i="134"/>
  <c r="E105" i="134" s="1"/>
  <c r="D102" i="134"/>
  <c r="P101" i="134"/>
  <c r="P105" i="134" s="1"/>
  <c r="G101" i="134"/>
  <c r="D101" i="134" s="1"/>
  <c r="D100" i="134"/>
  <c r="D99" i="134"/>
  <c r="C99" i="134"/>
  <c r="C105" i="134" s="1"/>
  <c r="H98" i="134"/>
  <c r="D98" i="134"/>
  <c r="P95" i="134"/>
  <c r="O95" i="134"/>
  <c r="N95" i="134"/>
  <c r="M95" i="134"/>
  <c r="L95" i="134"/>
  <c r="K95" i="134"/>
  <c r="J95" i="134"/>
  <c r="I95" i="134"/>
  <c r="G95" i="134"/>
  <c r="D95" i="134" s="1"/>
  <c r="F95" i="134"/>
  <c r="E95" i="134"/>
  <c r="C95" i="134"/>
  <c r="H94" i="134"/>
  <c r="D94" i="134"/>
  <c r="H93" i="134"/>
  <c r="D93" i="134"/>
  <c r="H92" i="134"/>
  <c r="D92" i="134"/>
  <c r="H91" i="134"/>
  <c r="D91" i="134"/>
  <c r="H90" i="134"/>
  <c r="D90" i="134"/>
  <c r="H89" i="134"/>
  <c r="D89" i="134"/>
  <c r="H88" i="134"/>
  <c r="D88" i="134"/>
  <c r="P86" i="134"/>
  <c r="O86" i="134"/>
  <c r="N86" i="134"/>
  <c r="M86" i="134"/>
  <c r="L86" i="134"/>
  <c r="K86" i="134"/>
  <c r="J86" i="134"/>
  <c r="I86" i="134"/>
  <c r="C86" i="134"/>
  <c r="H85" i="134"/>
  <c r="D85" i="134"/>
  <c r="H84" i="134"/>
  <c r="D84" i="134"/>
  <c r="G83" i="134"/>
  <c r="G86" i="134" s="1"/>
  <c r="D86" i="134" s="1"/>
  <c r="F83" i="134"/>
  <c r="F86" i="134" s="1"/>
  <c r="E83" i="134"/>
  <c r="E86" i="134" s="1"/>
  <c r="H82" i="134"/>
  <c r="D82" i="134"/>
  <c r="H81" i="134"/>
  <c r="D81" i="134"/>
  <c r="H80" i="134"/>
  <c r="D80" i="134"/>
  <c r="P77" i="134"/>
  <c r="O77" i="134"/>
  <c r="N77" i="134"/>
  <c r="M77" i="134"/>
  <c r="L77" i="134"/>
  <c r="K77" i="134"/>
  <c r="J77" i="134"/>
  <c r="I77" i="134"/>
  <c r="G77" i="134"/>
  <c r="D77" i="134" s="1"/>
  <c r="F77" i="134"/>
  <c r="E77" i="134"/>
  <c r="C77" i="134"/>
  <c r="D76" i="134"/>
  <c r="H75" i="134"/>
  <c r="D75" i="134"/>
  <c r="H74" i="134"/>
  <c r="D74" i="134"/>
  <c r="H73" i="134"/>
  <c r="D73" i="134"/>
  <c r="H72" i="134"/>
  <c r="D72" i="134"/>
  <c r="H71" i="134"/>
  <c r="D71" i="134"/>
  <c r="H70" i="134"/>
  <c r="D70" i="134"/>
  <c r="L68" i="134"/>
  <c r="K68" i="134"/>
  <c r="I68" i="134"/>
  <c r="C68" i="134"/>
  <c r="H67" i="134"/>
  <c r="D67" i="134"/>
  <c r="H66" i="134"/>
  <c r="D66" i="134"/>
  <c r="G65" i="134"/>
  <c r="H65" i="134" s="1"/>
  <c r="H64" i="134"/>
  <c r="D64" i="134"/>
  <c r="P63" i="134"/>
  <c r="P68" i="134" s="1"/>
  <c r="O63" i="134"/>
  <c r="O68" i="134" s="1"/>
  <c r="N63" i="134"/>
  <c r="N68" i="134" s="1"/>
  <c r="M63" i="134"/>
  <c r="M68" i="134" s="1"/>
  <c r="J63" i="134"/>
  <c r="J68" i="134" s="1"/>
  <c r="G63" i="134"/>
  <c r="G68" i="134" s="1"/>
  <c r="D68" i="134" s="1"/>
  <c r="F63" i="134"/>
  <c r="F68" i="134" s="1"/>
  <c r="E63" i="134"/>
  <c r="E68" i="134" s="1"/>
  <c r="H62" i="134"/>
  <c r="D62" i="134"/>
  <c r="O59" i="134"/>
  <c r="N59" i="134"/>
  <c r="L59" i="134"/>
  <c r="K59" i="134"/>
  <c r="J59" i="134"/>
  <c r="I59" i="134"/>
  <c r="C59" i="134"/>
  <c r="F58" i="134"/>
  <c r="H58" i="134" s="1"/>
  <c r="D58" i="134"/>
  <c r="H57" i="134"/>
  <c r="D57" i="134"/>
  <c r="H56" i="134"/>
  <c r="D56" i="134"/>
  <c r="H55" i="134"/>
  <c r="D55" i="134"/>
  <c r="P54" i="134"/>
  <c r="P59" i="134" s="1"/>
  <c r="M54" i="134"/>
  <c r="M59" i="134" s="1"/>
  <c r="G54" i="134"/>
  <c r="H54" i="134" s="1"/>
  <c r="H53" i="134"/>
  <c r="D53" i="134"/>
  <c r="G52" i="134"/>
  <c r="D52" i="134" s="1"/>
  <c r="F52" i="134"/>
  <c r="F59" i="134" s="1"/>
  <c r="E52" i="134"/>
  <c r="P50" i="134"/>
  <c r="O50" i="134"/>
  <c r="N50" i="134"/>
  <c r="M50" i="134"/>
  <c r="L50" i="134"/>
  <c r="K50" i="134"/>
  <c r="J50" i="134"/>
  <c r="I50" i="134"/>
  <c r="G50" i="134"/>
  <c r="D50" i="134" s="1"/>
  <c r="F50" i="134"/>
  <c r="E50" i="134"/>
  <c r="C50" i="134"/>
  <c r="H49" i="134"/>
  <c r="D49" i="134"/>
  <c r="H48" i="134"/>
  <c r="D48" i="134"/>
  <c r="H47" i="134"/>
  <c r="D47" i="134"/>
  <c r="H46" i="134"/>
  <c r="D46" i="134"/>
  <c r="H45" i="134"/>
  <c r="D45" i="134"/>
  <c r="H44" i="134"/>
  <c r="D44" i="134"/>
  <c r="H43" i="134"/>
  <c r="D43" i="134"/>
  <c r="P40" i="134"/>
  <c r="O40" i="134"/>
  <c r="N40" i="134"/>
  <c r="M40" i="134"/>
  <c r="L40" i="134"/>
  <c r="K40" i="134"/>
  <c r="J40" i="134"/>
  <c r="I40" i="134"/>
  <c r="G40" i="134"/>
  <c r="D40" i="134" s="1"/>
  <c r="F40" i="134"/>
  <c r="E40" i="134"/>
  <c r="C40" i="134"/>
  <c r="D39" i="134"/>
  <c r="H38" i="134"/>
  <c r="D38" i="134"/>
  <c r="H37" i="134"/>
  <c r="D37" i="134"/>
  <c r="H36" i="134"/>
  <c r="D36" i="134"/>
  <c r="H35" i="134"/>
  <c r="D35" i="134"/>
  <c r="H34" i="134"/>
  <c r="D34" i="134"/>
  <c r="H33" i="134"/>
  <c r="D33" i="134"/>
  <c r="H32" i="134"/>
  <c r="D32" i="134"/>
  <c r="P30" i="134"/>
  <c r="O30" i="134"/>
  <c r="N30" i="134"/>
  <c r="M30" i="134"/>
  <c r="L30" i="134"/>
  <c r="K30" i="134"/>
  <c r="J30" i="134"/>
  <c r="C30" i="134"/>
  <c r="I29" i="134"/>
  <c r="I30" i="134" s="1"/>
  <c r="G29" i="134"/>
  <c r="G30" i="134" s="1"/>
  <c r="F29" i="134"/>
  <c r="F30" i="134" s="1"/>
  <c r="E29" i="134"/>
  <c r="E30" i="134" s="1"/>
  <c r="H28" i="134"/>
  <c r="D28" i="134"/>
  <c r="H27" i="134"/>
  <c r="D27" i="134"/>
  <c r="H26" i="134"/>
  <c r="D26" i="134"/>
  <c r="H25" i="134"/>
  <c r="D25" i="134"/>
  <c r="H24" i="134"/>
  <c r="D24" i="134"/>
  <c r="K21" i="134"/>
  <c r="J21" i="134"/>
  <c r="C21" i="134"/>
  <c r="H20" i="134"/>
  <c r="D20" i="134"/>
  <c r="P19" i="134"/>
  <c r="P21" i="134" s="1"/>
  <c r="O19" i="134"/>
  <c r="O21" i="134" s="1"/>
  <c r="N19" i="134"/>
  <c r="N21" i="134" s="1"/>
  <c r="M19" i="134"/>
  <c r="M21" i="134" s="1"/>
  <c r="L19" i="134"/>
  <c r="I19" i="134"/>
  <c r="I21" i="134" s="1"/>
  <c r="H19" i="134"/>
  <c r="G19" i="134"/>
  <c r="G21" i="134" s="1"/>
  <c r="F19" i="134"/>
  <c r="F21" i="134" s="1"/>
  <c r="E19" i="134"/>
  <c r="E21" i="134" s="1"/>
  <c r="D19" i="134"/>
  <c r="H18" i="134"/>
  <c r="D18" i="134"/>
  <c r="H17" i="134"/>
  <c r="D17" i="134"/>
  <c r="L16" i="134"/>
  <c r="H16" i="134"/>
  <c r="D16" i="134"/>
  <c r="H15" i="134"/>
  <c r="D15" i="134"/>
  <c r="H14" i="134"/>
  <c r="D14" i="134"/>
  <c r="P11" i="134"/>
  <c r="O11" i="134"/>
  <c r="N11" i="134"/>
  <c r="M11" i="134"/>
  <c r="L11" i="134"/>
  <c r="K11" i="134"/>
  <c r="J11" i="134"/>
  <c r="G11" i="134"/>
  <c r="D11" i="134" s="1"/>
  <c r="F11" i="134"/>
  <c r="E11" i="134"/>
  <c r="C11" i="134"/>
  <c r="H10" i="134"/>
  <c r="D10" i="134"/>
  <c r="H9" i="134"/>
  <c r="D9" i="134"/>
  <c r="I8" i="134"/>
  <c r="I11" i="134" s="1"/>
  <c r="H8" i="134"/>
  <c r="D8" i="134"/>
  <c r="H7" i="134"/>
  <c r="D7" i="134"/>
  <c r="H6" i="134"/>
  <c r="D6" i="134"/>
  <c r="F182" i="134" l="1"/>
  <c r="H181" i="134"/>
  <c r="D63" i="134"/>
  <c r="D121" i="134"/>
  <c r="H121" i="134"/>
  <c r="D160" i="134"/>
  <c r="I162" i="134"/>
  <c r="G182" i="134"/>
  <c r="D182" i="134" s="1"/>
  <c r="L21" i="134"/>
  <c r="H161" i="134"/>
  <c r="J200" i="134"/>
  <c r="J201" i="134" s="1"/>
  <c r="J203" i="134" s="1"/>
  <c r="H124" i="134"/>
  <c r="K196" i="134"/>
  <c r="K197" i="134" s="1"/>
  <c r="L196" i="134"/>
  <c r="L197" i="134" s="1"/>
  <c r="P196" i="134"/>
  <c r="P197" i="134" s="1"/>
  <c r="N200" i="134"/>
  <c r="N201" i="134" s="1"/>
  <c r="N203" i="134" s="1"/>
  <c r="H95" i="134"/>
  <c r="I200" i="134"/>
  <c r="I201" i="134" s="1"/>
  <c r="I203" i="134" s="1"/>
  <c r="O196" i="134"/>
  <c r="O204" i="134" s="1"/>
  <c r="I196" i="134"/>
  <c r="O200" i="134"/>
  <c r="O201" i="134" s="1"/>
  <c r="O203" i="134" s="1"/>
  <c r="M196" i="134"/>
  <c r="M197" i="134" s="1"/>
  <c r="H11" i="134"/>
  <c r="H21" i="134"/>
  <c r="P200" i="134"/>
  <c r="P201" i="134" s="1"/>
  <c r="P203" i="134" s="1"/>
  <c r="K200" i="134"/>
  <c r="K201" i="134" s="1"/>
  <c r="K203" i="134" s="1"/>
  <c r="H40" i="134"/>
  <c r="H52" i="134"/>
  <c r="H59" i="134" s="1"/>
  <c r="G59" i="134"/>
  <c r="D59" i="134" s="1"/>
  <c r="H77" i="134"/>
  <c r="G105" i="134"/>
  <c r="D105" i="134" s="1"/>
  <c r="F114" i="134"/>
  <c r="F200" i="134" s="1"/>
  <c r="F201" i="134" s="1"/>
  <c r="H154" i="134"/>
  <c r="H160" i="134"/>
  <c r="H162" i="134" s="1"/>
  <c r="H170" i="134"/>
  <c r="H171" i="134" s="1"/>
  <c r="G192" i="134"/>
  <c r="D192" i="134" s="1"/>
  <c r="H50" i="134"/>
  <c r="M200" i="134"/>
  <c r="M201" i="134" s="1"/>
  <c r="M203" i="134" s="1"/>
  <c r="D54" i="134"/>
  <c r="H188" i="134"/>
  <c r="H192" i="134" s="1"/>
  <c r="H191" i="134"/>
  <c r="H142" i="134"/>
  <c r="H144" i="134" s="1"/>
  <c r="D180" i="134"/>
  <c r="H180" i="134"/>
  <c r="H182" i="134" s="1"/>
  <c r="D21" i="134"/>
  <c r="D30" i="134"/>
  <c r="E196" i="134"/>
  <c r="L200" i="134"/>
  <c r="L201" i="134" s="1"/>
  <c r="L203" i="134" s="1"/>
  <c r="J196" i="134"/>
  <c r="N196" i="134"/>
  <c r="I197" i="134"/>
  <c r="H114" i="134"/>
  <c r="F162" i="134"/>
  <c r="H63" i="134"/>
  <c r="H68" i="134" s="1"/>
  <c r="D65" i="134"/>
  <c r="D29" i="134"/>
  <c r="H29" i="134"/>
  <c r="H30" i="134" s="1"/>
  <c r="E59" i="134"/>
  <c r="E200" i="134" s="1"/>
  <c r="E201" i="134" s="1"/>
  <c r="D83" i="134"/>
  <c r="H83" i="134"/>
  <c r="H86" i="134" s="1"/>
  <c r="D103" i="134"/>
  <c r="H103" i="134"/>
  <c r="H105" i="134" s="1"/>
  <c r="D127" i="134"/>
  <c r="H127" i="134"/>
  <c r="H133" i="134" s="1"/>
  <c r="D181" i="134"/>
  <c r="F144" i="134"/>
  <c r="D196" i="134" l="1"/>
  <c r="O197" i="134"/>
  <c r="D197" i="134"/>
  <c r="D205" i="134" s="1"/>
  <c r="D204" i="134"/>
  <c r="D200" i="134"/>
  <c r="D201" i="134" s="1"/>
  <c r="P204" i="134"/>
  <c r="G200" i="134"/>
  <c r="G201" i="134" s="1"/>
  <c r="G203" i="134" s="1"/>
  <c r="G196" i="134"/>
  <c r="G204" i="134" s="1"/>
  <c r="I204" i="134"/>
  <c r="F196" i="134"/>
  <c r="F204" i="134" s="1"/>
  <c r="H200" i="134"/>
  <c r="H201" i="134" s="1"/>
  <c r="H203" i="134" s="1"/>
  <c r="M204" i="134"/>
  <c r="K204" i="134"/>
  <c r="H196" i="134"/>
  <c r="H197" i="134" s="1"/>
  <c r="F197" i="134"/>
  <c r="E203" i="134"/>
  <c r="K199" i="134"/>
  <c r="K205" i="134"/>
  <c r="K209" i="134" s="1"/>
  <c r="I199" i="134"/>
  <c r="I205" i="134"/>
  <c r="I209" i="134" s="1"/>
  <c r="F203" i="134"/>
  <c r="L205" i="134"/>
  <c r="L209" i="134" s="1"/>
  <c r="L199" i="134"/>
  <c r="P205" i="134"/>
  <c r="P209" i="134" s="1"/>
  <c r="P199" i="134"/>
  <c r="M199" i="134"/>
  <c r="M205" i="134"/>
  <c r="M209" i="134" s="1"/>
  <c r="J204" i="134"/>
  <c r="J197" i="134"/>
  <c r="G197" i="134"/>
  <c r="N204" i="134"/>
  <c r="N197" i="134"/>
  <c r="E204" i="134"/>
  <c r="E197" i="134"/>
  <c r="O205" i="134"/>
  <c r="O209" i="134" s="1"/>
  <c r="O199" i="134"/>
  <c r="L204" i="134"/>
  <c r="H204" i="134" l="1"/>
  <c r="F202" i="134"/>
  <c r="E202" i="134"/>
  <c r="G202" i="134"/>
  <c r="N199" i="134"/>
  <c r="N205" i="134"/>
  <c r="N209" i="134" s="1"/>
  <c r="J199" i="134"/>
  <c r="J205" i="134"/>
  <c r="J209" i="134" s="1"/>
  <c r="H205" i="134"/>
  <c r="H209" i="134" s="1"/>
  <c r="H199" i="134"/>
  <c r="F199" i="134"/>
  <c r="F205" i="134"/>
  <c r="F198" i="134"/>
  <c r="E199" i="134"/>
  <c r="E205" i="134"/>
  <c r="E198" i="134"/>
  <c r="G205" i="134"/>
  <c r="G198" i="134"/>
  <c r="G199" i="134"/>
  <c r="E209" i="134" l="1"/>
  <c r="E206" i="134"/>
  <c r="F209" i="134"/>
  <c r="F206" i="134"/>
  <c r="G209" i="134"/>
  <c r="G206" i="134"/>
  <c r="H94" i="102" l="1"/>
  <c r="H212" i="102"/>
  <c r="H152" i="102"/>
  <c r="D123" i="102"/>
  <c r="H31" i="102" l="1"/>
  <c r="D286" i="102" l="1"/>
  <c r="H257" i="102"/>
  <c r="D257" i="102"/>
  <c r="H229" i="102"/>
  <c r="H137" i="102" l="1"/>
  <c r="H108" i="102"/>
  <c r="H78" i="102"/>
  <c r="D78" i="102"/>
  <c r="H47" i="102"/>
  <c r="H16" i="102"/>
  <c r="D63" i="102" l="1"/>
  <c r="D94" i="102"/>
  <c r="D108" i="102"/>
  <c r="D137" i="102"/>
  <c r="D152" i="102"/>
  <c r="D169" i="102"/>
  <c r="D183" i="102"/>
  <c r="D198" i="102"/>
  <c r="D212" i="102"/>
  <c r="D229" i="102"/>
  <c r="D245" i="102"/>
  <c r="D271" i="102"/>
  <c r="D301" i="102"/>
  <c r="D47" i="102"/>
  <c r="D31" i="102"/>
  <c r="D16" i="102"/>
  <c r="H306" i="102" l="1"/>
  <c r="H301" i="102"/>
  <c r="H291" i="102"/>
  <c r="H286" i="102"/>
  <c r="H276" i="102"/>
  <c r="H271" i="102"/>
  <c r="H262" i="102"/>
  <c r="H250" i="102"/>
  <c r="H245" i="102"/>
  <c r="H235" i="102"/>
  <c r="H218" i="102"/>
  <c r="H203" i="102"/>
  <c r="H198" i="102"/>
  <c r="H188" i="102"/>
  <c r="H183" i="102"/>
  <c r="H174" i="102"/>
  <c r="H169" i="102"/>
  <c r="H158" i="102"/>
  <c r="H142" i="102"/>
  <c r="H128" i="102"/>
  <c r="H123" i="102"/>
  <c r="H114" i="102"/>
  <c r="H99" i="102"/>
  <c r="H84" i="102"/>
  <c r="H68" i="102"/>
  <c r="H63" i="102"/>
  <c r="H53" i="102"/>
  <c r="H37" i="102"/>
  <c r="H22" i="102"/>
</calcChain>
</file>

<file path=xl/sharedStrings.xml><?xml version="1.0" encoding="utf-8"?>
<sst xmlns="http://schemas.openxmlformats.org/spreadsheetml/2006/main" count="1558" uniqueCount="386">
  <si>
    <t>Масса порции</t>
  </si>
  <si>
    <t>Пищевые вещества (г)</t>
  </si>
  <si>
    <t>Б</t>
  </si>
  <si>
    <t>Ж</t>
  </si>
  <si>
    <t>У</t>
  </si>
  <si>
    <t>Соотношение БЖУ в % от ЭЦ</t>
  </si>
  <si>
    <t>Хлеб пшеничный</t>
  </si>
  <si>
    <t>Итого за обед</t>
  </si>
  <si>
    <t>Обед</t>
  </si>
  <si>
    <t>Витамины (мг)</t>
  </si>
  <si>
    <t>Минеральные вещества (мг)</t>
  </si>
  <si>
    <t>В1</t>
  </si>
  <si>
    <t>С</t>
  </si>
  <si>
    <t>А (мкг)</t>
  </si>
  <si>
    <t>Е</t>
  </si>
  <si>
    <t>Са</t>
  </si>
  <si>
    <t>Р</t>
  </si>
  <si>
    <t>Mg</t>
  </si>
  <si>
    <t>Fe</t>
  </si>
  <si>
    <t>Хлеб ржаной</t>
  </si>
  <si>
    <t>Итого за Обед</t>
  </si>
  <si>
    <t>_Завтрак</t>
  </si>
  <si>
    <t>День/неделя: Пятница-2</t>
  </si>
  <si>
    <t>День/неделя: Четверг-2</t>
  </si>
  <si>
    <t>День/неделя: Среда-2</t>
  </si>
  <si>
    <t>День/неделя: Вторник-2</t>
  </si>
  <si>
    <t>День/неделя: Понедельник-2</t>
  </si>
  <si>
    <t>День/неделя: Пятница-1</t>
  </si>
  <si>
    <t>День/неделя: Четверг-1</t>
  </si>
  <si>
    <t>День/неделя: Среда-1</t>
  </si>
  <si>
    <t>День/неделя: Вторник-1</t>
  </si>
  <si>
    <t>Энергетическая ценность (ккал)</t>
  </si>
  <si>
    <t>Наименование дней недели, блюд</t>
  </si>
  <si>
    <t>№ рец.</t>
  </si>
  <si>
    <t>Итого</t>
  </si>
  <si>
    <t>Картофельное пюре</t>
  </si>
  <si>
    <t>Каша гречневая рассыпчатая</t>
  </si>
  <si>
    <t>День/неделя: Понедельник-1</t>
  </si>
  <si>
    <t>Итого за завтраки</t>
  </si>
  <si>
    <t>Среднее значение за завтраки</t>
  </si>
  <si>
    <t>Среднее значение за обеды</t>
  </si>
  <si>
    <t xml:space="preserve">Итого за весь период </t>
  </si>
  <si>
    <t xml:space="preserve">Среднее значение </t>
  </si>
  <si>
    <t>Полдник</t>
  </si>
  <si>
    <t>Итого за Полдник</t>
  </si>
  <si>
    <t>Рагу из овощей</t>
  </si>
  <si>
    <t>4М</t>
  </si>
  <si>
    <t>15М</t>
  </si>
  <si>
    <t>71М</t>
  </si>
  <si>
    <t xml:space="preserve">Йогурт </t>
  </si>
  <si>
    <t>Фрукты (мандарины)</t>
  </si>
  <si>
    <t xml:space="preserve">Фрукты (яблоки) </t>
  </si>
  <si>
    <t xml:space="preserve">Чай с сахаром </t>
  </si>
  <si>
    <t>Фрукты (яблоки)</t>
  </si>
  <si>
    <t>Завтрак</t>
  </si>
  <si>
    <t>ХЕ</t>
  </si>
  <si>
    <t>Промежуточное питание</t>
  </si>
  <si>
    <t>Орехи грецкие/курага/чернослив</t>
  </si>
  <si>
    <t>Итого за Промежуточное питание</t>
  </si>
  <si>
    <t>Компот из сухофруктов со стевией</t>
  </si>
  <si>
    <t>Какао с молоком со стевией</t>
  </si>
  <si>
    <t>Чай с лимоном со стевией</t>
  </si>
  <si>
    <t>Каша перловая рассыпчатая</t>
  </si>
  <si>
    <t>Кофейный напиток</t>
  </si>
  <si>
    <t xml:space="preserve">Смесь из сухофруктов </t>
  </si>
  <si>
    <t>Меню диабет 7+ лет</t>
  </si>
  <si>
    <t xml:space="preserve">Фрукты (мандарины) </t>
  </si>
  <si>
    <t>Сыр порционно</t>
  </si>
  <si>
    <t>Пюре из бобовых с маслом</t>
  </si>
  <si>
    <t>Смесь из сухофруктов</t>
  </si>
  <si>
    <t>Подгарнировка из овощей свежих (огурцы)</t>
  </si>
  <si>
    <t>Йогурт</t>
  </si>
  <si>
    <t>259М/СД</t>
  </si>
  <si>
    <t xml:space="preserve">Фрукты (мандарины) потери </t>
  </si>
  <si>
    <t>Подгарнировка из овощей свежих (помидоры)</t>
  </si>
  <si>
    <t xml:space="preserve">Омлет с отварным картофелем </t>
  </si>
  <si>
    <t>Итого за завтрак</t>
  </si>
  <si>
    <t>Основное меню 7+ лет</t>
  </si>
  <si>
    <t>Итого за Завтрак</t>
  </si>
  <si>
    <t>182М</t>
  </si>
  <si>
    <t>199М</t>
  </si>
  <si>
    <t>213М/СД</t>
  </si>
  <si>
    <t>174М/СД</t>
  </si>
  <si>
    <t>Плов из птицы (грудки куриные, перловая крупа)</t>
  </si>
  <si>
    <t>Сравнительная структура типового основного и типового диетического (сахарный диабет) меню</t>
  </si>
  <si>
    <t xml:space="preserve">Каша жидкая молочная (рисовая) </t>
  </si>
  <si>
    <t>Бутерброд с сыром "Голландский" и маслом сливочным</t>
  </si>
  <si>
    <t>Какао с молоком</t>
  </si>
  <si>
    <t>Фрукты свежие (яблоки)</t>
  </si>
  <si>
    <t>Жаркое по-домашнему</t>
  </si>
  <si>
    <t>Фруктовый чай</t>
  </si>
  <si>
    <t>Фруктовый чай со стевией</t>
  </si>
  <si>
    <t>Хлеб ржаной йодированный</t>
  </si>
  <si>
    <t>Кисломолочный продукт (кефир 2,5 %-ой жирности)</t>
  </si>
  <si>
    <t>Кисломолочный продукт (кефир 1,5 %-ой жирности)</t>
  </si>
  <si>
    <t>Бутерброд с отварными мясными продуктами  (с хлебом ржаным йодированным)</t>
  </si>
  <si>
    <t>Салат из овощей (помидоров и огурцов)</t>
  </si>
  <si>
    <t>Котлеты рубленные из кур, запеченные с соусом молочным</t>
  </si>
  <si>
    <t>Каша вязкая с маслом сливочным (ячневая), 130/5</t>
  </si>
  <si>
    <t>Кофейный напиток со стевией</t>
  </si>
  <si>
    <t>Сок натуральный (яблочный)</t>
  </si>
  <si>
    <t>Салат из овощей (белокачанной капусты)</t>
  </si>
  <si>
    <t>Рыба запеченная с молочным соусом</t>
  </si>
  <si>
    <t>Чай с лимоном</t>
  </si>
  <si>
    <t>Пирог фруктовый "Школьный"</t>
  </si>
  <si>
    <t xml:space="preserve">Фрукты свежие (яблоки) </t>
  </si>
  <si>
    <t>Овощи свежие (помидоры)</t>
  </si>
  <si>
    <t>Омлет с колбасой или сосисками</t>
  </si>
  <si>
    <t>Фрукты свежие (груши)</t>
  </si>
  <si>
    <t>Фрукты свежие (мандарины)</t>
  </si>
  <si>
    <t>Овощи свежие (огурцы)</t>
  </si>
  <si>
    <t>Подгарнировка из свежих овощей (помидоры)</t>
  </si>
  <si>
    <t>Подгарнировка из свежих овощей (огурцы)</t>
  </si>
  <si>
    <t>Котлеты (биточки) особые</t>
  </si>
  <si>
    <t>Чай с сахаром  со стевией</t>
  </si>
  <si>
    <t>Сок натуральный (персиковый)</t>
  </si>
  <si>
    <t xml:space="preserve">Шницель рыбный натуральный  </t>
  </si>
  <si>
    <t xml:space="preserve">Картофель отварной </t>
  </si>
  <si>
    <t>1741М/СД</t>
  </si>
  <si>
    <t xml:space="preserve">Напиток из сухофруктов </t>
  </si>
  <si>
    <t>Напиток из сухофруктов со стевией</t>
  </si>
  <si>
    <t>Сок  натуральный (грушевый)</t>
  </si>
  <si>
    <t>Пудинг из творога (запечённый) с соусом абрикосовым, 160/15</t>
  </si>
  <si>
    <t xml:space="preserve">Тефтели из говядины </t>
  </si>
  <si>
    <t>Тефтели из говядины с соусом сметанным, 60/50</t>
  </si>
  <si>
    <t>Каша вязкая с маслом сливочным (гречневая), 150/5</t>
  </si>
  <si>
    <t>Кондитерское изделие (печенье сахарное)</t>
  </si>
  <si>
    <t>Пудинг из творога (запечённый)</t>
  </si>
  <si>
    <t>Пудинг из творога (запечённый) с молоком сгущенным, 160/15</t>
  </si>
  <si>
    <t>Кисломолочный продукт (йогурт 3,2 %-ой жирности)</t>
  </si>
  <si>
    <t>Фрикадельки из кур или бройлеров-цыплят с соусом молочным, 65/50</t>
  </si>
  <si>
    <t>297М</t>
  </si>
  <si>
    <t>203М</t>
  </si>
  <si>
    <t>Макаронные изделия отварные с маслом, 110/5</t>
  </si>
  <si>
    <t>Пюре из бобовых</t>
  </si>
  <si>
    <t>Кофейный напиток на молоке</t>
  </si>
  <si>
    <t>Фрукты свежие (персики)</t>
  </si>
  <si>
    <t xml:space="preserve">379М </t>
  </si>
  <si>
    <t>Кофейный напиток на молоке со стевией</t>
  </si>
  <si>
    <t>Каша жидкая молочная из овсяной  крупы (со стевией)</t>
  </si>
  <si>
    <t>Щи из свежей капусты с картофелем</t>
  </si>
  <si>
    <t>Гуляш</t>
  </si>
  <si>
    <t>Фрукты свежие  (яблоки)</t>
  </si>
  <si>
    <t>Сок натуральный (грушевый)</t>
  </si>
  <si>
    <t xml:space="preserve">Хлеб пшеничный </t>
  </si>
  <si>
    <t>Каша вязкая с маслом сливочным  (перловая), 150/5</t>
  </si>
  <si>
    <t>Овощи свежие  (огурцы)</t>
  </si>
  <si>
    <t xml:space="preserve">Суп крестьянский с крупой </t>
  </si>
  <si>
    <t xml:space="preserve">Рыба припущенная </t>
  </si>
  <si>
    <t>Компот из сухофруктов</t>
  </si>
  <si>
    <t>Молоко 2,5 %-ной жирности</t>
  </si>
  <si>
    <t>Запеканка из творога</t>
  </si>
  <si>
    <t>Соус сметанный сладкий</t>
  </si>
  <si>
    <t xml:space="preserve">Компот из ягод </t>
  </si>
  <si>
    <t>Кисломолочный продукт (ряженка 2,7 %-ной жирности)</t>
  </si>
  <si>
    <t>Суп картофельный с мясными фрикадельками, 250/20</t>
  </si>
  <si>
    <t>Соус сметанный со стевией</t>
  </si>
  <si>
    <t>Компот из ягод со стевией</t>
  </si>
  <si>
    <t>Рассольник по-ленинградски</t>
  </si>
  <si>
    <t xml:space="preserve">Птица запеченная </t>
  </si>
  <si>
    <t>Рассольник по-ленинградски (крупа перловая)</t>
  </si>
  <si>
    <t>Борщ с картофелем и фасолью</t>
  </si>
  <si>
    <t xml:space="preserve">Рыба тушенная в томате с овощами </t>
  </si>
  <si>
    <t xml:space="preserve">Чай с молоком        </t>
  </si>
  <si>
    <t>Пирог фруктовый "Кубанский"</t>
  </si>
  <si>
    <t>Сок натуральный (виноградный)</t>
  </si>
  <si>
    <t xml:space="preserve">Чай с молоком со стевией       </t>
  </si>
  <si>
    <t>Л135</t>
  </si>
  <si>
    <t>Суп из овощей</t>
  </si>
  <si>
    <t>Омлет с сыром</t>
  </si>
  <si>
    <t>Зеленый горошек консервированный</t>
  </si>
  <si>
    <t>Кисломолочный продукт (йогурт 2,7 %-ной жирности)</t>
  </si>
  <si>
    <t>Кисломолочный продукт (йогурт 2,5 %-ной жирности)</t>
  </si>
  <si>
    <t xml:space="preserve">Борщ </t>
  </si>
  <si>
    <t>256/330</t>
  </si>
  <si>
    <t>Мясо тушеное в соусе</t>
  </si>
  <si>
    <t>Напиток из сухофруктов</t>
  </si>
  <si>
    <t>Каша вязкая с маслом сливочным (рисовая), 150/5</t>
  </si>
  <si>
    <t>Каша вязкая с маслом сливочным (ячневая), 150/5</t>
  </si>
  <si>
    <t xml:space="preserve">Овощи натуральные </t>
  </si>
  <si>
    <t>Л 147</t>
  </si>
  <si>
    <t xml:space="preserve">Суп с макронными изделиями </t>
  </si>
  <si>
    <t xml:space="preserve">Котлеты или биточки рыбные </t>
  </si>
  <si>
    <t xml:space="preserve">Компот из фруктов </t>
  </si>
  <si>
    <t>Картофель отварной (с маслом сливочным), 140/5</t>
  </si>
  <si>
    <t>171М</t>
  </si>
  <si>
    <t>Каша гречневая рассыпчатая, 140/5</t>
  </si>
  <si>
    <t xml:space="preserve">Хлеб пшеничный  </t>
  </si>
  <si>
    <t>Л 145</t>
  </si>
  <si>
    <t>Суп летний овощной</t>
  </si>
  <si>
    <t>Шницель натуральный рубленный</t>
  </si>
  <si>
    <t>*359</t>
  </si>
  <si>
    <t>Кисель из сока плодового или ягодного натурального с сахаром</t>
  </si>
  <si>
    <t>Кисломолочный продукт (кефир 2,7 %-ной жирности)</t>
  </si>
  <si>
    <t>Кисель из сока плодового или ягодного натурального со стевией</t>
  </si>
  <si>
    <t>Кисломолочный продукт (кефир 1,5 %-ной жирности)</t>
  </si>
  <si>
    <t>Каша вязкая с маслом сливочным (пшеничная), 150/5</t>
  </si>
  <si>
    <t>Борщ с капустой и картофелем</t>
  </si>
  <si>
    <t xml:space="preserve">Сосиска запеченная с сыром  </t>
  </si>
  <si>
    <t>Соус молочный</t>
  </si>
  <si>
    <t>Кондитерское изделие (вафли молочные)</t>
  </si>
  <si>
    <t xml:space="preserve">Хлеб ржаной йодированный </t>
  </si>
  <si>
    <t xml:space="preserve">Макаронные изделия отварные с овощами, 125/5 </t>
  </si>
  <si>
    <t>Компот из вишни со стевией</t>
  </si>
  <si>
    <t>Суп крестьянский с крупой  (перловая)</t>
  </si>
  <si>
    <t>Кисломолочный продукт (ряженка 2,5 %-ной жирности)</t>
  </si>
  <si>
    <t xml:space="preserve">Суп с макаронными изделиями </t>
  </si>
  <si>
    <t>Кисломолочный продукт (йогурт 1,5 %-ой жирности)</t>
  </si>
  <si>
    <t xml:space="preserve">Компот из сухофруктов со стевией. </t>
  </si>
  <si>
    <t>Норма по СанПин</t>
  </si>
  <si>
    <t>Каша вязкая с маслом сливочным  (перловая) 105/5</t>
  </si>
  <si>
    <t>День 2 (вторник)</t>
  </si>
  <si>
    <t>*</t>
  </si>
  <si>
    <t>День  3 (среда)</t>
  </si>
  <si>
    <t>Каша вязкая с маслом сливочным (ячневая) 130/5</t>
  </si>
  <si>
    <t>*379</t>
  </si>
  <si>
    <t>Суп картофельный с мясными фрикадельками 250/20</t>
  </si>
  <si>
    <t>День  4 (четверг)</t>
  </si>
  <si>
    <t>Л 386/597</t>
  </si>
  <si>
    <t>День  5 (пятница)</t>
  </si>
  <si>
    <t>День 6 (понедельник)</t>
  </si>
  <si>
    <t>Л 224</t>
  </si>
  <si>
    <t>День 7 (вторник)</t>
  </si>
  <si>
    <t>Каша вязкая с маслом сливочным (рисовая)  150/5</t>
  </si>
  <si>
    <t>День 8 (среда)</t>
  </si>
  <si>
    <t>Салат из овощей (белокачанной капусты с морковью)</t>
  </si>
  <si>
    <t>Соус сметанный</t>
  </si>
  <si>
    <t>Каша вязкая с маслом сливочным (гречневая)  150/5</t>
  </si>
  <si>
    <t>Картофель отварной (с маслом сливочным) 140/5</t>
  </si>
  <si>
    <t>День 9 (четверг)</t>
  </si>
  <si>
    <t xml:space="preserve">Молоко сгущенное </t>
  </si>
  <si>
    <t>Каша вязкая с маслом сливочным (пшеничная) 150/5</t>
  </si>
  <si>
    <t>День  10 (пятница)</t>
  </si>
  <si>
    <t>Фрикадельки из кур или бройлеров-цыплят</t>
  </si>
  <si>
    <t>Макаронные изделия отварные с маслом  110/5</t>
  </si>
  <si>
    <t>Макаронные изделия отварные с овощами 125/5</t>
  </si>
  <si>
    <t xml:space="preserve">Выполнение СанПиН, % от суточной нормы </t>
  </si>
  <si>
    <t>Итого за обеды</t>
  </si>
  <si>
    <t xml:space="preserve">100 % Норма СанПиН </t>
  </si>
  <si>
    <t>Меню БМД 7+ лет</t>
  </si>
  <si>
    <t>Соус абрикосовый</t>
  </si>
  <si>
    <t>Салат из белокачанной капусты с яблоками (без сахара)</t>
  </si>
  <si>
    <t>46М/СД</t>
  </si>
  <si>
    <t>Рыба запеченная с молочным соусом (минтай филе)</t>
  </si>
  <si>
    <t>Омлет  (белковый) с отварным картофелем</t>
  </si>
  <si>
    <t>Компот из свежих яблок (со стевией)</t>
  </si>
  <si>
    <t>Возраст 7-11 лет</t>
  </si>
  <si>
    <t>Сезон осенне-зимний</t>
  </si>
  <si>
    <t>Итого за _Завтрак</t>
  </si>
  <si>
    <t>Второй завтрак</t>
  </si>
  <si>
    <t>Итого за Второй завтрак</t>
  </si>
  <si>
    <t>Всего за Понедельник-1</t>
  </si>
  <si>
    <t>Всего за Вторник-1</t>
  </si>
  <si>
    <t>Всего за Среда-1</t>
  </si>
  <si>
    <t>Всего за Четверг-1</t>
  </si>
  <si>
    <t>Всего за Пятница-1</t>
  </si>
  <si>
    <t>Всего за Понедельник-2</t>
  </si>
  <si>
    <t>Всего за Вторник-2</t>
  </si>
  <si>
    <t>Всего за Среда-2</t>
  </si>
  <si>
    <t>Всего за Четверг-2</t>
  </si>
  <si>
    <t>Всего за Пятница-2</t>
  </si>
  <si>
    <t>Итого за второй завтрак</t>
  </si>
  <si>
    <t>Итого за полдники</t>
  </si>
  <si>
    <t>Среднее значение за полдники</t>
  </si>
  <si>
    <t xml:space="preserve">        Приложение №2</t>
  </si>
  <si>
    <t>Завтраки</t>
  </si>
  <si>
    <t>Выполнение БЖУ</t>
  </si>
  <si>
    <t>Соотношение БЖУ</t>
  </si>
  <si>
    <t>ЭЦ</t>
  </si>
  <si>
    <t>Понедельник - 1</t>
  </si>
  <si>
    <t>Вторник - 1</t>
  </si>
  <si>
    <t>Среда - 1</t>
  </si>
  <si>
    <t>Четверг - 1</t>
  </si>
  <si>
    <t>Пятница - 1</t>
  </si>
  <si>
    <t>Понедельник - 2</t>
  </si>
  <si>
    <t>Вторник - 2</t>
  </si>
  <si>
    <t>Среда - 2</t>
  </si>
  <si>
    <t>Четверг - 2</t>
  </si>
  <si>
    <t>Пятница - 2</t>
  </si>
  <si>
    <t xml:space="preserve">Среднее </t>
  </si>
  <si>
    <t>Обеды</t>
  </si>
  <si>
    <t>Полдники</t>
  </si>
  <si>
    <t xml:space="preserve">Вариант реализации 10-ти дневного типового диетического меню (СД) для обучающихся общеобразовательных организаций Краснодарского края </t>
  </si>
  <si>
    <t>88М</t>
  </si>
  <si>
    <t>223М/СД</t>
  </si>
  <si>
    <t>Огурцы свежие</t>
  </si>
  <si>
    <t>Показатели соотношения пищевых веществ и энергии Варианта реализации типового основного меню (организованного питания) для обучающихся общеобразовательных организаций Краснодарского края</t>
  </si>
  <si>
    <t>Показатели соотношения пищевых веществ и энергии Варианта реализации типового 10-ти дневного  диетического меню (СД) для обучающихся общеобразовательных организаций Краснодарского края</t>
  </si>
  <si>
    <t xml:space="preserve">Выполнение МР, % от суточной нормы </t>
  </si>
  <si>
    <t>Расчетная норма по МР 2.4.0162-19</t>
  </si>
  <si>
    <t>Гуляш из говядины</t>
  </si>
  <si>
    <t>Жаркое по-домашнему (говядина)</t>
  </si>
  <si>
    <t xml:space="preserve">Рыба припущенная (горбуша филе) </t>
  </si>
  <si>
    <t>Котлеты рубленные из птицы (кур.) с соусом сметанным, 80/30</t>
  </si>
  <si>
    <t>Шницель рыбный натуральный  (минтай филе)</t>
  </si>
  <si>
    <t>Котлеты или биточки рыбные - минтай филе</t>
  </si>
  <si>
    <t>Бутерброд с мясом и сыром 40/20/10</t>
  </si>
  <si>
    <t>Картофель отварной</t>
  </si>
  <si>
    <t>Салат из свежих огурцов и помидоров</t>
  </si>
  <si>
    <t>Яблоко</t>
  </si>
  <si>
    <t>Каша вязкая с маслом сливочным (ячневая), 150</t>
  </si>
  <si>
    <t>Гуляш из говядины (говяд.б/к., овс.мука), 45/45</t>
  </si>
  <si>
    <t>Фруктовый чай со стевией (яблоки свежие), 200</t>
  </si>
  <si>
    <t>Суп картофельный  с мясными фрикадельками, 250/20 гр.</t>
  </si>
  <si>
    <t>Чай с лимоном (сироп стевии 5 г.), 200/7г</t>
  </si>
  <si>
    <t>Шницель рыбный (минтай филе) с маслом, 85/5</t>
  </si>
  <si>
    <t>Салат из белокочанной капусты с морковью (для меню г.Краснодар), 80</t>
  </si>
  <si>
    <t>Каша вязкая гречневая на воде (для меню г. Краснодар), 150/5 г.</t>
  </si>
  <si>
    <t>Суп картофельный с бобовыми, 250</t>
  </si>
  <si>
    <t>Каша вязкая пшеничная на воде (для меню г. Краснодар), 150/5 г.</t>
  </si>
  <si>
    <t>294М/330М/СД</t>
  </si>
  <si>
    <t>326ММ/СД</t>
  </si>
  <si>
    <t>457К/СД</t>
  </si>
  <si>
    <t>457/СД</t>
  </si>
  <si>
    <t>320К/СД</t>
  </si>
  <si>
    <t>256М/СД</t>
  </si>
  <si>
    <t>81М/СД</t>
  </si>
  <si>
    <t>278М/330М/СД</t>
  </si>
  <si>
    <t>241К/326М/СД</t>
  </si>
  <si>
    <t>352М/СД</t>
  </si>
  <si>
    <t>297М/326М/СД</t>
  </si>
  <si>
    <t>Шницель натуральный рубленный (гов.)</t>
  </si>
  <si>
    <t>Салат из зеленого горошка</t>
  </si>
  <si>
    <t>50 К/СД</t>
  </si>
  <si>
    <t>Картофель отварной с маслом сливочным</t>
  </si>
  <si>
    <t>216К/СД</t>
  </si>
  <si>
    <t xml:space="preserve">Омлет белковый с отварным картофелем </t>
  </si>
  <si>
    <t>82М/СД</t>
  </si>
  <si>
    <t>Подгарнировка из овощей свежих  (огурцы)</t>
  </si>
  <si>
    <t xml:space="preserve">100 % Норма МР </t>
  </si>
  <si>
    <t>Бутерброд с отварными мясными продуктами (говядина)</t>
  </si>
  <si>
    <t xml:space="preserve">Бутерброд с отварными мясными продуктами, хлеб ржаной </t>
  </si>
  <si>
    <t>Смесь из сухофруктов (орехи грецк., курага, чернослив)</t>
  </si>
  <si>
    <t>Компот из вишни с сиропом стевии</t>
  </si>
  <si>
    <t>Овощи натуральные свежие (огурцы)</t>
  </si>
  <si>
    <t>Жаркое по-домашнему (говядина б/к)</t>
  </si>
  <si>
    <t>Фруктовый чай со стевией (яблоки свежие)</t>
  </si>
  <si>
    <t>Кефир (2,5%)</t>
  </si>
  <si>
    <t>Огурец свежий</t>
  </si>
  <si>
    <t>Суп крестьянский с крупой (перловая)</t>
  </si>
  <si>
    <t>Рыба припущенная (горбуша филе)</t>
  </si>
  <si>
    <t>Салат из свежих помидоров и огурцов</t>
  </si>
  <si>
    <t>Котлеты рубленные из птицы  (курица тушка) (хлеб ржаной)</t>
  </si>
  <si>
    <t>Соус сметанный (сметана 10%)</t>
  </si>
  <si>
    <t>Каша ячневая вязкая на воде с маслом сливочным</t>
  </si>
  <si>
    <t>Запеканка творожная (твор.5%, сироп ст., овс.мука, смет.10%)</t>
  </si>
  <si>
    <t>Компот из черной смородины (сироп стевии 5 г.)</t>
  </si>
  <si>
    <t>Рыба запеченая под молочным соусом (минтай филе, овс.мука)</t>
  </si>
  <si>
    <t>Рассольник ленинградский (крупа перловая)</t>
  </si>
  <si>
    <t>Куриное филе запеченое (грудки кур)</t>
  </si>
  <si>
    <t>Рагу из овощей (овс.мука, сметана 10%)</t>
  </si>
  <si>
    <t>Помидоры порционные</t>
  </si>
  <si>
    <t>Борщ с фасолью и картофелем</t>
  </si>
  <si>
    <t>Чай с молоком с сиропом стевии</t>
  </si>
  <si>
    <t>Котлеты,биточки особые (свино-говяжьи б/к), хлеб рж.</t>
  </si>
  <si>
    <t xml:space="preserve">Рагу из овощей (овс.мука, сметана 10%) </t>
  </si>
  <si>
    <t xml:space="preserve">Чай  с сиропом стевии  </t>
  </si>
  <si>
    <t xml:space="preserve">Компот из свежих яблок  сиропом стевии </t>
  </si>
  <si>
    <t>Йогурт,</t>
  </si>
  <si>
    <t>Овощи натуральные свежие (помидоры)</t>
  </si>
  <si>
    <t xml:space="preserve">Компот из сухофруктов с сиропом стевии </t>
  </si>
  <si>
    <t>Борщ (без картофеля)</t>
  </si>
  <si>
    <t>Мясо тушёное (говядина б/к), мука овс.</t>
  </si>
  <si>
    <t>Компот из сухофруктов с сиропом стевии</t>
  </si>
  <si>
    <t>Компот из сухофруктов с сиропом стевии, 200 г</t>
  </si>
  <si>
    <t>Тефтели (говядина б/к) 1-ый вариант без соуса (хлеб ржаной, мука овс.)</t>
  </si>
  <si>
    <t>Соус сметанный (овсяная мука)</t>
  </si>
  <si>
    <t>Котлеты или биточки рыбные (минтай филе, хлеб ржаной)</t>
  </si>
  <si>
    <t>Пудинг творожный (твор.5%, сироп стевии, сметана 10%)</t>
  </si>
  <si>
    <t>Шницель натурально рубленный (гов.б/к)</t>
  </si>
  <si>
    <t>Кисель из яблок со стевией</t>
  </si>
  <si>
    <t>Фрикадельки из кур</t>
  </si>
  <si>
    <t xml:space="preserve">Кофейный напиток с молоком со стевией </t>
  </si>
  <si>
    <t>Борщ из свежей капусты с картофелем</t>
  </si>
  <si>
    <t>Плов из птицы (перловая крупа, грудки кур)</t>
  </si>
  <si>
    <t>Кофейный напиток с молоком со стевией</t>
  </si>
  <si>
    <t>Рыба тушеная в томате с овощами (треска)</t>
  </si>
  <si>
    <t>Расчет Хлебных единиц оснвовного меню общеобразовательных организаций Краснодарского края</t>
  </si>
  <si>
    <t>Капуста тушеная</t>
  </si>
  <si>
    <t>183/М/СД</t>
  </si>
  <si>
    <t>Каша жидкая молочная из гречневой  крупы (сироп стевии)</t>
  </si>
  <si>
    <t>Каша вязкая гречневая на воде (для меню г. Краснодар)</t>
  </si>
  <si>
    <t>139/М/СД</t>
  </si>
  <si>
    <t>Каша вязкая гречневая на воде</t>
  </si>
  <si>
    <t>дней:</t>
  </si>
  <si>
    <t>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</si>
</sst>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₽_-;\-* #,##0.00\ _₽_-;_-* &quot;-&quot;??\ _₽_-;_-@_-"/>
    <numFmt numFmtId="164" formatCode="0&quot;М&quot;"/>
    <numFmt numFmtId="165" formatCode="0.000"/>
    <numFmt numFmtId="166" formatCode="0&quot;/М/СД&quot;"/>
    <numFmt numFmtId="167" formatCode="0&quot;М/СД&quot;"/>
    <numFmt numFmtId="168" formatCode="0&quot;К&quot;"/>
    <numFmt numFmtId="169" formatCode="0&quot;М/328М/СД&quot;"/>
    <numFmt numFmtId="170" formatCode="0&quot;К/ссж&quot;"/>
    <numFmt numFmtId="171" formatCode="0&quot;/М&quot;"/>
    <numFmt numFmtId="172" formatCode="0&quot;К/СД&quot;"/>
    <numFmt numFmtId="173" formatCode="0&quot;М/ссж&quot;"/>
  </numFmts>
  <fonts count="3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name val="Times New Roman"/>
      <family val="2"/>
    </font>
    <font>
      <sz val="11"/>
      <name val="Calibri"/>
      <family val="2"/>
      <charset val="204"/>
      <scheme val="minor"/>
    </font>
    <font>
      <sz val="10"/>
      <color theme="1"/>
      <name val="Times New Roman"/>
      <family val="2"/>
    </font>
    <font>
      <b/>
      <i/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1"/>
      <name val="Times New Roman"/>
      <family val="2"/>
    </font>
    <font>
      <sz val="11"/>
      <name val="Times New Roman"/>
      <family val="2"/>
    </font>
    <font>
      <sz val="11"/>
      <color theme="1"/>
      <name val="Times New Roman"/>
      <family val="2"/>
    </font>
    <font>
      <b/>
      <i/>
      <sz val="11"/>
      <name val="Times New Roman"/>
      <family val="2"/>
    </font>
    <font>
      <sz val="11"/>
      <name val="Arial"/>
      <family val="2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381">
    <xf numFmtId="0" fontId="0" fillId="0" borderId="0" xfId="0"/>
    <xf numFmtId="0" fontId="7" fillId="2" borderId="0" xfId="12" applyNumberFormat="1" applyFont="1" applyFill="1" applyAlignment="1">
      <alignment horizontal="left" vertical="justify"/>
    </xf>
    <xf numFmtId="0" fontId="7" fillId="2" borderId="0" xfId="12" applyNumberFormat="1" applyFont="1" applyFill="1" applyAlignment="1">
      <alignment vertical="center"/>
    </xf>
    <xf numFmtId="0" fontId="11" fillId="2" borderId="0" xfId="12" applyNumberFormat="1" applyFont="1" applyFill="1" applyBorder="1" applyAlignment="1">
      <alignment horizontal="left" vertical="center"/>
    </xf>
    <xf numFmtId="0" fontId="11" fillId="2" borderId="0" xfId="12" applyNumberFormat="1" applyFont="1" applyFill="1" applyBorder="1" applyAlignment="1">
      <alignment horizontal="left" vertical="justify"/>
    </xf>
    <xf numFmtId="0" fontId="11" fillId="2" borderId="0" xfId="12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justify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/>
    </xf>
    <xf numFmtId="0" fontId="11" fillId="2" borderId="0" xfId="0" applyFont="1" applyFill="1" applyBorder="1" applyAlignment="1">
      <alignment vertical="justify"/>
    </xf>
    <xf numFmtId="0" fontId="12" fillId="2" borderId="1" xfId="0" applyFont="1" applyFill="1" applyBorder="1" applyAlignment="1">
      <alignment vertical="justify"/>
    </xf>
    <xf numFmtId="0" fontId="12" fillId="2" borderId="1" xfId="0" applyFont="1" applyFill="1" applyBorder="1" applyAlignment="1">
      <alignment horizontal="right"/>
    </xf>
    <xf numFmtId="0" fontId="11" fillId="2" borderId="4" xfId="0" applyFont="1" applyFill="1" applyBorder="1" applyAlignment="1">
      <alignment vertical="justify"/>
    </xf>
    <xf numFmtId="0" fontId="12" fillId="2" borderId="1" xfId="0" applyFont="1" applyFill="1" applyBorder="1"/>
    <xf numFmtId="0" fontId="12" fillId="2" borderId="1" xfId="0" applyFont="1" applyFill="1" applyBorder="1" applyAlignment="1"/>
    <xf numFmtId="0" fontId="12" fillId="2" borderId="4" xfId="0" applyFont="1" applyFill="1" applyBorder="1"/>
    <xf numFmtId="1" fontId="7" fillId="2" borderId="1" xfId="0" applyNumberFormat="1" applyFont="1" applyFill="1" applyBorder="1" applyAlignment="1">
      <alignment horizontal="right"/>
    </xf>
    <xf numFmtId="0" fontId="12" fillId="2" borderId="4" xfId="0" applyFont="1" applyFill="1" applyBorder="1" applyAlignment="1">
      <alignment vertical="justify"/>
    </xf>
    <xf numFmtId="0" fontId="7" fillId="2" borderId="4" xfId="0" applyFont="1" applyFill="1" applyBorder="1"/>
    <xf numFmtId="1" fontId="12" fillId="2" borderId="1" xfId="0" applyNumberFormat="1" applyFont="1" applyFill="1" applyBorder="1" applyAlignment="1">
      <alignment horizontal="right"/>
    </xf>
    <xf numFmtId="0" fontId="11" fillId="2" borderId="4" xfId="0" applyFont="1" applyFill="1" applyBorder="1"/>
    <xf numFmtId="0" fontId="7" fillId="2" borderId="1" xfId="0" applyFont="1" applyFill="1" applyBorder="1" applyAlignment="1">
      <alignment vertical="justify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1" fillId="2" borderId="0" xfId="12" applyNumberFormat="1" applyFont="1" applyFill="1" applyAlignment="1">
      <alignment horizontal="left" vertical="justify"/>
    </xf>
    <xf numFmtId="0" fontId="11" fillId="2" borderId="0" xfId="12" applyNumberFormat="1" applyFont="1" applyFill="1" applyAlignment="1">
      <alignment vertical="center"/>
    </xf>
    <xf numFmtId="0" fontId="13" fillId="2" borderId="0" xfId="0" applyFont="1" applyFill="1"/>
    <xf numFmtId="2" fontId="13" fillId="0" borderId="1" xfId="19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2" fontId="13" fillId="2" borderId="0" xfId="0" applyNumberFormat="1" applyFont="1" applyFill="1"/>
    <xf numFmtId="2" fontId="13" fillId="2" borderId="1" xfId="0" applyNumberFormat="1" applyFont="1" applyFill="1" applyBorder="1" applyAlignment="1">
      <alignment horizontal="center" vertical="center"/>
    </xf>
    <xf numFmtId="9" fontId="14" fillId="2" borderId="1" xfId="13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right" vertical="justify"/>
    </xf>
    <xf numFmtId="0" fontId="8" fillId="2" borderId="0" xfId="12" applyFont="1" applyFill="1"/>
    <xf numFmtId="0" fontId="9" fillId="2" borderId="0" xfId="12" applyFont="1" applyFill="1"/>
    <xf numFmtId="0" fontId="11" fillId="2" borderId="2" xfId="0" applyFont="1" applyFill="1" applyBorder="1" applyAlignment="1">
      <alignment vertical="justify"/>
    </xf>
    <xf numFmtId="0" fontId="16" fillId="0" borderId="0" xfId="0" applyFont="1"/>
    <xf numFmtId="0" fontId="6" fillId="0" borderId="0" xfId="12" applyFont="1"/>
    <xf numFmtId="0" fontId="6" fillId="0" borderId="0" xfId="12" applyFont="1" applyAlignment="1">
      <alignment horizontal="right"/>
    </xf>
    <xf numFmtId="49" fontId="8" fillId="2" borderId="1" xfId="12" applyNumberFormat="1" applyFont="1" applyFill="1" applyBorder="1" applyAlignment="1">
      <alignment horizontal="center" vertical="center" wrapText="1"/>
    </xf>
    <xf numFmtId="0" fontId="8" fillId="2" borderId="1" xfId="12" applyNumberFormat="1" applyFont="1" applyFill="1" applyBorder="1" applyAlignment="1">
      <alignment horizontal="center" vertical="center" wrapText="1"/>
    </xf>
    <xf numFmtId="9" fontId="17" fillId="2" borderId="1" xfId="12" applyNumberFormat="1" applyFont="1" applyFill="1" applyBorder="1" applyAlignment="1">
      <alignment horizontal="center" vertical="center" wrapText="1"/>
    </xf>
    <xf numFmtId="9" fontId="17" fillId="7" borderId="1" xfId="12" applyNumberFormat="1" applyFont="1" applyFill="1" applyBorder="1" applyAlignment="1">
      <alignment horizontal="center" vertical="center" wrapText="1"/>
    </xf>
    <xf numFmtId="9" fontId="17" fillId="2" borderId="0" xfId="12" applyNumberFormat="1" applyFont="1" applyFill="1" applyBorder="1" applyAlignment="1">
      <alignment horizontal="center" vertical="center" wrapText="1"/>
    </xf>
    <xf numFmtId="0" fontId="8" fillId="2" borderId="5" xfId="12" applyNumberFormat="1" applyFont="1" applyFill="1" applyBorder="1" applyAlignment="1">
      <alignment horizontal="center" vertical="center" wrapText="1"/>
    </xf>
    <xf numFmtId="2" fontId="17" fillId="2" borderId="1" xfId="12" applyNumberFormat="1" applyFont="1" applyFill="1" applyBorder="1" applyAlignment="1">
      <alignment horizontal="center" vertical="center"/>
    </xf>
    <xf numFmtId="0" fontId="17" fillId="9" borderId="1" xfId="12" applyFont="1" applyFill="1" applyBorder="1" applyAlignment="1">
      <alignment horizontal="center" vertical="center"/>
    </xf>
    <xf numFmtId="0" fontId="7" fillId="2" borderId="0" xfId="12" applyNumberFormat="1" applyFont="1" applyFill="1" applyAlignment="1">
      <alignment horizontal="left" vertical="center"/>
    </xf>
    <xf numFmtId="0" fontId="7" fillId="2" borderId="0" xfId="12" applyNumberFormat="1" applyFont="1" applyFill="1" applyBorder="1" applyAlignment="1">
      <alignment horizontal="left" vertical="center"/>
    </xf>
    <xf numFmtId="0" fontId="11" fillId="2" borderId="0" xfId="12" applyNumberFormat="1" applyFont="1" applyFill="1" applyAlignment="1">
      <alignment horizontal="left" vertical="center"/>
    </xf>
    <xf numFmtId="1" fontId="11" fillId="2" borderId="4" xfId="0" applyNumberFormat="1" applyFont="1" applyFill="1" applyBorder="1" applyAlignment="1">
      <alignment horizontal="right"/>
    </xf>
    <xf numFmtId="0" fontId="7" fillId="2" borderId="0" xfId="12" applyFont="1" applyFill="1"/>
    <xf numFmtId="0" fontId="7" fillId="2" borderId="0" xfId="12" applyFont="1" applyFill="1" applyAlignment="1">
      <alignment horizontal="right"/>
    </xf>
    <xf numFmtId="0" fontId="11" fillId="2" borderId="0" xfId="12" applyFont="1" applyFill="1" applyBorder="1"/>
    <xf numFmtId="0" fontId="11" fillId="2" borderId="0" xfId="12" applyFont="1" applyFill="1" applyBorder="1" applyAlignment="1">
      <alignment horizontal="right"/>
    </xf>
    <xf numFmtId="0" fontId="11" fillId="2" borderId="0" xfId="12" applyFont="1" applyFill="1"/>
    <xf numFmtId="0" fontId="7" fillId="2" borderId="0" xfId="0" applyNumberFormat="1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>
      <alignment horizontal="right" vertical="center" wrapText="1"/>
    </xf>
    <xf numFmtId="0" fontId="7" fillId="2" borderId="0" xfId="0" applyNumberFormat="1" applyFont="1" applyFill="1" applyAlignment="1">
      <alignment horizontal="left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12" fillId="2" borderId="0" xfId="0" applyNumberFormat="1" applyFont="1" applyFill="1" applyAlignment="1">
      <alignment horizontal="left" vertical="center" wrapText="1"/>
    </xf>
    <xf numFmtId="0" fontId="11" fillId="2" borderId="0" xfId="0" applyNumberFormat="1" applyFont="1" applyFill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righ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/>
    <xf numFmtId="0" fontId="12" fillId="2" borderId="0" xfId="0" applyFont="1" applyFill="1" applyAlignment="1">
      <alignment horizontal="right"/>
    </xf>
    <xf numFmtId="0" fontId="12" fillId="2" borderId="1" xfId="0" applyFont="1" applyFill="1" applyBorder="1" applyAlignment="1">
      <alignment horizontal="left"/>
    </xf>
    <xf numFmtId="0" fontId="12" fillId="2" borderId="8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>
      <alignment vertical="center" wrapText="1"/>
    </xf>
    <xf numFmtId="2" fontId="11" fillId="2" borderId="1" xfId="0" applyNumberFormat="1" applyFont="1" applyFill="1" applyBorder="1" applyAlignment="1">
      <alignment vertical="justify"/>
    </xf>
    <xf numFmtId="1" fontId="11" fillId="2" borderId="1" xfId="0" applyNumberFormat="1" applyFont="1" applyFill="1" applyBorder="1" applyAlignment="1">
      <alignment horizontal="right"/>
    </xf>
    <xf numFmtId="1" fontId="12" fillId="2" borderId="1" xfId="0" applyNumberFormat="1" applyFont="1" applyFill="1" applyBorder="1" applyAlignment="1">
      <alignment horizontal="right" vertical="center" wrapText="1"/>
    </xf>
    <xf numFmtId="0" fontId="12" fillId="2" borderId="0" xfId="0" applyNumberFormat="1" applyFont="1" applyFill="1" applyBorder="1" applyAlignment="1">
      <alignment horizontal="left" vertical="center" wrapText="1"/>
    </xf>
    <xf numFmtId="0" fontId="12" fillId="2" borderId="0" xfId="0" applyNumberFormat="1" applyFont="1" applyFill="1" applyBorder="1" applyAlignment="1">
      <alignment horizontal="right" vertical="center" wrapText="1"/>
    </xf>
    <xf numFmtId="0" fontId="12" fillId="2" borderId="0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/>
    <xf numFmtId="0" fontId="7" fillId="2" borderId="0" xfId="0" applyFont="1" applyFill="1" applyAlignment="1">
      <alignment horizontal="right"/>
    </xf>
    <xf numFmtId="0" fontId="12" fillId="2" borderId="2" xfId="0" applyNumberFormat="1" applyFont="1" applyFill="1" applyBorder="1" applyAlignment="1">
      <alignment horizontal="left" vertical="center" wrapText="1"/>
    </xf>
    <xf numFmtId="0" fontId="12" fillId="2" borderId="3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/>
    <xf numFmtId="164" fontId="11" fillId="2" borderId="1" xfId="20" applyNumberFormat="1" applyFont="1" applyFill="1" applyBorder="1" applyAlignment="1">
      <alignment horizontal="right" vertical="center" wrapText="1"/>
    </xf>
    <xf numFmtId="0" fontId="11" fillId="2" borderId="1" xfId="20" applyNumberFormat="1" applyFont="1" applyFill="1" applyBorder="1" applyAlignment="1">
      <alignment horizontal="left" vertical="center" wrapText="1"/>
    </xf>
    <xf numFmtId="1" fontId="11" fillId="2" borderId="1" xfId="20" applyNumberFormat="1" applyFont="1" applyFill="1" applyBorder="1" applyAlignment="1">
      <alignment horizontal="right" vertical="center" wrapText="1"/>
    </xf>
    <xf numFmtId="0" fontId="12" fillId="2" borderId="14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/>
    </xf>
    <xf numFmtId="0" fontId="12" fillId="2" borderId="4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/>
    <xf numFmtId="1" fontId="11" fillId="2" borderId="4" xfId="0" applyNumberFormat="1" applyFont="1" applyFill="1" applyBorder="1" applyAlignment="1"/>
    <xf numFmtId="1" fontId="12" fillId="2" borderId="1" xfId="0" applyNumberFormat="1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justify"/>
    </xf>
    <xf numFmtId="1" fontId="11" fillId="2" borderId="5" xfId="0" applyNumberFormat="1" applyFont="1" applyFill="1" applyBorder="1" applyAlignment="1">
      <alignment horizontal="right"/>
    </xf>
    <xf numFmtId="0" fontId="11" fillId="2" borderId="0" xfId="0" applyNumberFormat="1" applyFont="1" applyFill="1" applyAlignment="1">
      <alignment vertical="center" wrapText="1"/>
    </xf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right"/>
    </xf>
    <xf numFmtId="0" fontId="11" fillId="2" borderId="0" xfId="0" applyFont="1" applyFill="1" applyBorder="1"/>
    <xf numFmtId="0" fontId="7" fillId="2" borderId="1" xfId="0" applyNumberFormat="1" applyFont="1" applyFill="1" applyBorder="1" applyAlignment="1">
      <alignment horizontal="right" vertical="center" wrapText="1"/>
    </xf>
    <xf numFmtId="0" fontId="7" fillId="2" borderId="0" xfId="0" applyNumberFormat="1" applyFont="1" applyFill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2" fontId="11" fillId="2" borderId="1" xfId="19" applyNumberFormat="1" applyFont="1" applyFill="1" applyBorder="1" applyAlignment="1">
      <alignment wrapText="1"/>
    </xf>
    <xf numFmtId="1" fontId="11" fillId="2" borderId="1" xfId="19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left" vertical="justify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2" borderId="1" xfId="0" applyFont="1" applyFill="1" applyBorder="1" applyAlignment="1">
      <alignment horizontal="center"/>
    </xf>
    <xf numFmtId="0" fontId="11" fillId="2" borderId="0" xfId="12" applyFont="1" applyFill="1" applyAlignment="1">
      <alignment horizontal="right"/>
    </xf>
    <xf numFmtId="0" fontId="11" fillId="2" borderId="0" xfId="12" applyNumberFormat="1" applyFont="1" applyFill="1" applyAlignment="1">
      <alignment horizontal="right" vertical="center"/>
    </xf>
    <xf numFmtId="0" fontId="7" fillId="2" borderId="0" xfId="12" applyNumberFormat="1" applyFont="1" applyFill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NumberFormat="1" applyFont="1" applyFill="1" applyAlignment="1">
      <alignment horizontal="left" vertical="justify" wrapText="1"/>
    </xf>
    <xf numFmtId="0" fontId="11" fillId="2" borderId="0" xfId="0" applyFont="1" applyFill="1" applyAlignment="1"/>
    <xf numFmtId="1" fontId="11" fillId="2" borderId="1" xfId="0" applyNumberFormat="1" applyFont="1" applyFill="1" applyBorder="1"/>
    <xf numFmtId="2" fontId="11" fillId="2" borderId="1" xfId="0" applyNumberFormat="1" applyFont="1" applyFill="1" applyBorder="1" applyAlignment="1">
      <alignment vertical="justify" wrapText="1"/>
    </xf>
    <xf numFmtId="1" fontId="11" fillId="2" borderId="1" xfId="0" applyNumberFormat="1" applyFont="1" applyFill="1" applyBorder="1" applyAlignment="1">
      <alignment horizontal="right" wrapText="1"/>
    </xf>
    <xf numFmtId="0" fontId="7" fillId="3" borderId="0" xfId="12" applyNumberFormat="1" applyFont="1" applyFill="1" applyBorder="1" applyAlignment="1">
      <alignment horizontal="center" vertical="center"/>
    </xf>
    <xf numFmtId="0" fontId="7" fillId="2" borderId="7" xfId="18" applyNumberFormat="1" applyFont="1" applyFill="1" applyBorder="1" applyAlignment="1">
      <alignment horizontal="center" vertical="center" wrapText="1"/>
    </xf>
    <xf numFmtId="0" fontId="7" fillId="2" borderId="5" xfId="18" applyNumberFormat="1" applyFont="1" applyFill="1" applyBorder="1" applyAlignment="1">
      <alignment horizontal="center" vertical="center" wrapText="1"/>
    </xf>
    <xf numFmtId="0" fontId="11" fillId="2" borderId="5" xfId="0" applyFont="1" applyFill="1" applyBorder="1"/>
    <xf numFmtId="166" fontId="11" fillId="2" borderId="1" xfId="21" applyNumberFormat="1" applyFont="1" applyFill="1" applyBorder="1" applyAlignment="1">
      <alignment horizontal="right" vertical="center" wrapText="1"/>
    </xf>
    <xf numFmtId="167" fontId="11" fillId="2" borderId="1" xfId="21" applyNumberFormat="1" applyFont="1" applyFill="1" applyBorder="1" applyAlignment="1">
      <alignment horizontal="right" vertical="center" wrapText="1"/>
    </xf>
    <xf numFmtId="164" fontId="11" fillId="2" borderId="1" xfId="21" applyNumberFormat="1" applyFont="1" applyFill="1" applyBorder="1" applyAlignment="1">
      <alignment horizontal="right" vertical="center" wrapText="1"/>
    </xf>
    <xf numFmtId="168" fontId="11" fillId="2" borderId="1" xfId="21" applyNumberFormat="1" applyFont="1" applyFill="1" applyBorder="1" applyAlignment="1">
      <alignment horizontal="right" vertical="center" wrapText="1"/>
    </xf>
    <xf numFmtId="169" fontId="11" fillId="2" borderId="1" xfId="21" applyNumberFormat="1" applyFont="1" applyFill="1" applyBorder="1" applyAlignment="1">
      <alignment horizontal="right" vertical="center" wrapText="1"/>
    </xf>
    <xf numFmtId="170" fontId="11" fillId="2" borderId="1" xfId="21" applyNumberFormat="1" applyFont="1" applyFill="1" applyBorder="1" applyAlignment="1">
      <alignment horizontal="right" vertical="center" wrapText="1"/>
    </xf>
    <xf numFmtId="0" fontId="11" fillId="2" borderId="1" xfId="21" applyNumberFormat="1" applyFont="1" applyFill="1" applyBorder="1" applyAlignment="1">
      <alignment horizontal="right" vertical="center" wrapText="1"/>
    </xf>
    <xf numFmtId="171" fontId="11" fillId="2" borderId="1" xfId="21" applyNumberFormat="1" applyFont="1" applyFill="1" applyBorder="1" applyAlignment="1">
      <alignment horizontal="right" vertical="center" wrapText="1"/>
    </xf>
    <xf numFmtId="173" fontId="11" fillId="2" borderId="1" xfId="21" applyNumberFormat="1" applyFont="1" applyFill="1" applyBorder="1" applyAlignment="1">
      <alignment horizontal="right" vertical="center" wrapText="1"/>
    </xf>
    <xf numFmtId="0" fontId="20" fillId="2" borderId="1" xfId="21" applyNumberFormat="1" applyFont="1" applyFill="1" applyBorder="1" applyAlignment="1">
      <alignment horizontal="left" vertical="center" wrapText="1"/>
    </xf>
    <xf numFmtId="2" fontId="10" fillId="2" borderId="1" xfId="0" applyNumberFormat="1" applyFont="1" applyFill="1" applyBorder="1" applyAlignment="1">
      <alignment horizontal="center"/>
    </xf>
    <xf numFmtId="0" fontId="18" fillId="2" borderId="1" xfId="21" applyNumberFormat="1" applyFont="1" applyFill="1" applyBorder="1" applyAlignment="1">
      <alignment horizontal="left" vertical="center" wrapText="1"/>
    </xf>
    <xf numFmtId="2" fontId="13" fillId="2" borderId="0" xfId="1" applyNumberFormat="1" applyFont="1" applyFill="1"/>
    <xf numFmtId="2" fontId="14" fillId="2" borderId="1" xfId="1" applyNumberFormat="1" applyFont="1" applyFill="1" applyBorder="1" applyAlignment="1">
      <alignment horizontal="center" vertical="center" wrapText="1"/>
    </xf>
    <xf numFmtId="0" fontId="13" fillId="0" borderId="1" xfId="19" applyNumberFormat="1" applyFont="1" applyFill="1" applyBorder="1" applyAlignment="1">
      <alignment horizontal="center" wrapText="1"/>
    </xf>
    <xf numFmtId="2" fontId="13" fillId="0" borderId="1" xfId="19" applyNumberFormat="1" applyFont="1" applyFill="1" applyBorder="1" applyAlignment="1">
      <alignment wrapText="1"/>
    </xf>
    <xf numFmtId="1" fontId="13" fillId="0" borderId="1" xfId="19" applyNumberFormat="1" applyFont="1" applyFill="1" applyBorder="1" applyAlignment="1">
      <alignment horizontal="right" wrapText="1"/>
    </xf>
    <xf numFmtId="2" fontId="13" fillId="0" borderId="1" xfId="19" applyNumberFormat="1" applyFont="1" applyFill="1" applyBorder="1" applyAlignment="1">
      <alignment horizontal="right" wrapText="1"/>
    </xf>
    <xf numFmtId="2" fontId="13" fillId="0" borderId="1" xfId="19" applyNumberFormat="1" applyFont="1" applyFill="1" applyBorder="1"/>
    <xf numFmtId="0" fontId="13" fillId="2" borderId="0" xfId="19" applyNumberFormat="1" applyFont="1" applyFill="1" applyBorder="1" applyAlignment="1">
      <alignment horizontal="center" wrapText="1"/>
    </xf>
    <xf numFmtId="2" fontId="13" fillId="2" borderId="5" xfId="19" applyNumberFormat="1" applyFont="1" applyFill="1" applyBorder="1" applyAlignment="1">
      <alignment wrapText="1"/>
    </xf>
    <xf numFmtId="1" fontId="13" fillId="2" borderId="5" xfId="19" applyNumberFormat="1" applyFont="1" applyFill="1" applyBorder="1" applyAlignment="1">
      <alignment horizontal="right" wrapText="1"/>
    </xf>
    <xf numFmtId="0" fontId="14" fillId="3" borderId="1" xfId="19" applyNumberFormat="1" applyFont="1" applyFill="1" applyBorder="1" applyAlignment="1">
      <alignment horizontal="center" wrapText="1"/>
    </xf>
    <xf numFmtId="2" fontId="14" fillId="3" borderId="1" xfId="19" applyNumberFormat="1" applyFont="1" applyFill="1" applyBorder="1" applyAlignment="1">
      <alignment horizontal="left" wrapText="1"/>
    </xf>
    <xf numFmtId="1" fontId="14" fillId="3" borderId="1" xfId="19" applyNumberFormat="1" applyFont="1" applyFill="1" applyBorder="1" applyAlignment="1">
      <alignment horizontal="right" wrapText="1"/>
    </xf>
    <xf numFmtId="2" fontId="13" fillId="3" borderId="1" xfId="19" applyNumberFormat="1" applyFont="1" applyFill="1" applyBorder="1" applyAlignment="1">
      <alignment horizontal="right" wrapText="1"/>
    </xf>
    <xf numFmtId="2" fontId="14" fillId="3" borderId="1" xfId="19" applyNumberFormat="1" applyFont="1" applyFill="1" applyBorder="1" applyAlignment="1">
      <alignment wrapText="1"/>
    </xf>
    <xf numFmtId="0" fontId="14" fillId="2" borderId="8" xfId="19" applyNumberFormat="1" applyFont="1" applyFill="1" applyBorder="1" applyAlignment="1">
      <alignment horizontal="center" wrapText="1"/>
    </xf>
    <xf numFmtId="0" fontId="13" fillId="2" borderId="1" xfId="19" applyFont="1" applyFill="1" applyBorder="1"/>
    <xf numFmtId="1" fontId="13" fillId="2" borderId="1" xfId="19" applyNumberFormat="1" applyFont="1" applyFill="1" applyBorder="1" applyAlignment="1">
      <alignment horizontal="right"/>
    </xf>
    <xf numFmtId="2" fontId="13" fillId="2" borderId="1" xfId="19" applyNumberFormat="1" applyFont="1" applyFill="1" applyBorder="1"/>
    <xf numFmtId="0" fontId="13" fillId="0" borderId="1" xfId="19" applyFont="1" applyFill="1" applyBorder="1" applyAlignment="1">
      <alignment horizontal="center"/>
    </xf>
    <xf numFmtId="0" fontId="13" fillId="0" borderId="1" xfId="19" applyFont="1" applyFill="1" applyBorder="1"/>
    <xf numFmtId="1" fontId="13" fillId="0" borderId="1" xfId="19" applyNumberFormat="1" applyFont="1" applyFill="1" applyBorder="1" applyAlignment="1">
      <alignment horizontal="right"/>
    </xf>
    <xf numFmtId="2" fontId="13" fillId="2" borderId="1" xfId="19" applyNumberFormat="1" applyFont="1" applyFill="1" applyBorder="1" applyAlignment="1">
      <alignment horizontal="right"/>
    </xf>
    <xf numFmtId="2" fontId="13" fillId="2" borderId="1" xfId="19" applyNumberFormat="1" applyFont="1" applyFill="1" applyBorder="1" applyAlignment="1">
      <alignment horizontal="right" vertical="center"/>
    </xf>
    <xf numFmtId="2" fontId="13" fillId="2" borderId="2" xfId="19" applyNumberFormat="1" applyFont="1" applyFill="1" applyBorder="1" applyAlignment="1">
      <alignment horizontal="right"/>
    </xf>
    <xf numFmtId="2" fontId="13" fillId="2" borderId="2" xfId="19" applyNumberFormat="1" applyFont="1" applyFill="1" applyBorder="1" applyAlignment="1">
      <alignment horizontal="right" vertical="center"/>
    </xf>
    <xf numFmtId="0" fontId="13" fillId="0" borderId="0" xfId="19" applyFont="1" applyFill="1" applyAlignment="1">
      <alignment horizontal="center"/>
    </xf>
    <xf numFmtId="1" fontId="13" fillId="0" borderId="5" xfId="19" applyNumberFormat="1" applyFont="1" applyFill="1" applyBorder="1" applyAlignment="1">
      <alignment horizontal="right"/>
    </xf>
    <xf numFmtId="2" fontId="13" fillId="0" borderId="1" xfId="19" applyNumberFormat="1" applyFont="1" applyBorder="1"/>
    <xf numFmtId="1" fontId="13" fillId="0" borderId="1" xfId="19" applyNumberFormat="1" applyFont="1" applyBorder="1" applyAlignment="1">
      <alignment horizontal="right"/>
    </xf>
    <xf numFmtId="2" fontId="13" fillId="3" borderId="1" xfId="19" applyNumberFormat="1" applyFont="1" applyFill="1" applyBorder="1" applyAlignment="1">
      <alignment horizontal="right"/>
    </xf>
    <xf numFmtId="1" fontId="13" fillId="4" borderId="1" xfId="19" applyNumberFormat="1" applyFont="1" applyFill="1" applyBorder="1" applyAlignment="1">
      <alignment horizontal="right" wrapText="1"/>
    </xf>
    <xf numFmtId="2" fontId="13" fillId="4" borderId="1" xfId="19" applyNumberFormat="1" applyFont="1" applyFill="1" applyBorder="1" applyAlignment="1">
      <alignment wrapText="1"/>
    </xf>
    <xf numFmtId="0" fontId="13" fillId="0" borderId="5" xfId="19" applyNumberFormat="1" applyFont="1" applyFill="1" applyBorder="1" applyAlignment="1">
      <alignment horizontal="center" wrapText="1"/>
    </xf>
    <xf numFmtId="2" fontId="13" fillId="0" borderId="5" xfId="19" applyNumberFormat="1" applyFont="1" applyFill="1" applyBorder="1" applyAlignment="1">
      <alignment wrapText="1"/>
    </xf>
    <xf numFmtId="1" fontId="13" fillId="0" borderId="5" xfId="19" applyNumberFormat="1" applyFont="1" applyFill="1" applyBorder="1" applyAlignment="1">
      <alignment horizontal="right" wrapText="1"/>
    </xf>
    <xf numFmtId="2" fontId="13" fillId="0" borderId="5" xfId="19" applyNumberFormat="1" applyFont="1" applyFill="1" applyBorder="1" applyAlignment="1">
      <alignment horizontal="right" wrapText="1"/>
    </xf>
    <xf numFmtId="0" fontId="13" fillId="2" borderId="1" xfId="19" applyNumberFormat="1" applyFont="1" applyFill="1" applyBorder="1" applyAlignment="1">
      <alignment horizontal="center" wrapText="1"/>
    </xf>
    <xf numFmtId="2" fontId="13" fillId="3" borderId="5" xfId="19" applyNumberFormat="1" applyFont="1" applyFill="1" applyBorder="1" applyAlignment="1">
      <alignment horizontal="right" wrapText="1"/>
    </xf>
    <xf numFmtId="0" fontId="14" fillId="2" borderId="1" xfId="19" applyFont="1" applyFill="1" applyBorder="1" applyAlignment="1">
      <alignment horizontal="center" wrapText="1"/>
    </xf>
    <xf numFmtId="1" fontId="13" fillId="2" borderId="4" xfId="19" applyNumberFormat="1" applyFont="1" applyFill="1" applyBorder="1" applyAlignment="1">
      <alignment horizontal="right"/>
    </xf>
    <xf numFmtId="2" fontId="13" fillId="2" borderId="2" xfId="19" applyNumberFormat="1" applyFont="1" applyFill="1" applyBorder="1"/>
    <xf numFmtId="1" fontId="14" fillId="3" borderId="1" xfId="19" applyNumberFormat="1" applyFont="1" applyFill="1" applyBorder="1" applyAlignment="1">
      <alignment horizontal="center"/>
    </xf>
    <xf numFmtId="2" fontId="14" fillId="3" borderId="1" xfId="19" applyNumberFormat="1" applyFont="1" applyFill="1" applyBorder="1" applyAlignment="1"/>
    <xf numFmtId="1" fontId="14" fillId="3" borderId="1" xfId="19" applyNumberFormat="1" applyFont="1" applyFill="1" applyBorder="1" applyAlignment="1">
      <alignment horizontal="right"/>
    </xf>
    <xf numFmtId="2" fontId="14" fillId="3" borderId="1" xfId="19" applyNumberFormat="1" applyFont="1" applyFill="1" applyBorder="1" applyAlignment="1">
      <alignment horizontal="right"/>
    </xf>
    <xf numFmtId="0" fontId="13" fillId="0" borderId="0" xfId="19" applyNumberFormat="1" applyFont="1" applyFill="1" applyAlignment="1">
      <alignment horizontal="center" wrapText="1"/>
    </xf>
    <xf numFmtId="0" fontId="13" fillId="2" borderId="0" xfId="19" applyFont="1" applyFill="1" applyBorder="1" applyAlignment="1">
      <alignment horizontal="center"/>
    </xf>
    <xf numFmtId="0" fontId="13" fillId="2" borderId="5" xfId="19" applyFont="1" applyFill="1" applyBorder="1"/>
    <xf numFmtId="1" fontId="13" fillId="2" borderId="5" xfId="19" applyNumberFormat="1" applyFont="1" applyFill="1" applyBorder="1" applyAlignment="1">
      <alignment horizontal="right"/>
    </xf>
    <xf numFmtId="2" fontId="13" fillId="2" borderId="5" xfId="19" applyNumberFormat="1" applyFont="1" applyFill="1" applyBorder="1" applyAlignment="1">
      <alignment horizontal="right"/>
    </xf>
    <xf numFmtId="0" fontId="13" fillId="2" borderId="1" xfId="19" applyFont="1" applyFill="1" applyBorder="1" applyAlignment="1">
      <alignment horizontal="center"/>
    </xf>
    <xf numFmtId="2" fontId="13" fillId="2" borderId="1" xfId="19" applyNumberFormat="1" applyFont="1" applyFill="1" applyBorder="1" applyAlignment="1">
      <alignment vertical="center"/>
    </xf>
    <xf numFmtId="0" fontId="13" fillId="0" borderId="5" xfId="19" applyFont="1" applyFill="1" applyBorder="1"/>
    <xf numFmtId="2" fontId="13" fillId="0" borderId="1" xfId="19" applyNumberFormat="1" applyFont="1" applyFill="1" applyBorder="1" applyAlignment="1">
      <alignment horizontal="right" vertical="center"/>
    </xf>
    <xf numFmtId="2" fontId="13" fillId="3" borderId="5" xfId="19" applyNumberFormat="1" applyFont="1" applyFill="1" applyBorder="1" applyAlignment="1">
      <alignment horizontal="right"/>
    </xf>
    <xf numFmtId="0" fontId="13" fillId="0" borderId="2" xfId="19" applyNumberFormat="1" applyFont="1" applyFill="1" applyBorder="1" applyAlignment="1">
      <alignment horizontal="center" wrapText="1"/>
    </xf>
    <xf numFmtId="0" fontId="13" fillId="2" borderId="2" xfId="19" applyNumberFormat="1" applyFont="1" applyFill="1" applyBorder="1" applyAlignment="1">
      <alignment horizontal="center" wrapText="1"/>
    </xf>
    <xf numFmtId="2" fontId="13" fillId="2" borderId="2" xfId="19" applyNumberFormat="1" applyFont="1" applyFill="1" applyBorder="1" applyAlignment="1">
      <alignment vertical="center"/>
    </xf>
    <xf numFmtId="0" fontId="13" fillId="0" borderId="0" xfId="19" applyFont="1" applyFill="1" applyBorder="1" applyAlignment="1">
      <alignment horizontal="center"/>
    </xf>
    <xf numFmtId="0" fontId="13" fillId="2" borderId="2" xfId="19" applyFont="1" applyFill="1" applyBorder="1" applyAlignment="1">
      <alignment horizontal="center"/>
    </xf>
    <xf numFmtId="0" fontId="13" fillId="0" borderId="2" xfId="19" applyFont="1" applyFill="1" applyBorder="1" applyAlignment="1">
      <alignment horizontal="center"/>
    </xf>
    <xf numFmtId="2" fontId="13" fillId="0" borderId="1" xfId="19" applyNumberFormat="1" applyFont="1" applyBorder="1" applyAlignment="1">
      <alignment horizontal="right"/>
    </xf>
    <xf numFmtId="0" fontId="13" fillId="0" borderId="7" xfId="19" applyNumberFormat="1" applyFont="1" applyFill="1" applyBorder="1" applyAlignment="1">
      <alignment horizontal="center" wrapText="1"/>
    </xf>
    <xf numFmtId="2" fontId="13" fillId="0" borderId="7" xfId="19" applyNumberFormat="1" applyFont="1" applyFill="1" applyBorder="1" applyAlignment="1">
      <alignment wrapText="1"/>
    </xf>
    <xf numFmtId="1" fontId="13" fillId="0" borderId="7" xfId="19" applyNumberFormat="1" applyFont="1" applyFill="1" applyBorder="1" applyAlignment="1">
      <alignment horizontal="right" wrapText="1"/>
    </xf>
    <xf numFmtId="0" fontId="13" fillId="2" borderId="5" xfId="19" applyFont="1" applyFill="1" applyBorder="1" applyAlignment="1">
      <alignment horizontal="center" wrapText="1"/>
    </xf>
    <xf numFmtId="0" fontId="13" fillId="2" borderId="5" xfId="19" applyFont="1" applyFill="1" applyBorder="1" applyAlignment="1">
      <alignment horizontal="left" wrapText="1"/>
    </xf>
    <xf numFmtId="2" fontId="13" fillId="2" borderId="1" xfId="19" applyNumberFormat="1" applyFont="1" applyFill="1" applyBorder="1" applyAlignment="1">
      <alignment wrapText="1"/>
    </xf>
    <xf numFmtId="1" fontId="13" fillId="2" borderId="1" xfId="19" applyNumberFormat="1" applyFont="1" applyFill="1" applyBorder="1" applyAlignment="1">
      <alignment horizontal="right" wrapText="1"/>
    </xf>
    <xf numFmtId="2" fontId="14" fillId="3" borderId="1" xfId="19" applyNumberFormat="1" applyFont="1" applyFill="1" applyBorder="1" applyAlignment="1">
      <alignment horizontal="left"/>
    </xf>
    <xf numFmtId="2" fontId="13" fillId="2" borderId="1" xfId="19" applyNumberFormat="1" applyFont="1" applyFill="1" applyBorder="1" applyAlignment="1">
      <alignment horizontal="center"/>
    </xf>
    <xf numFmtId="2" fontId="13" fillId="0" borderId="5" xfId="19" applyNumberFormat="1" applyFont="1" applyFill="1" applyBorder="1" applyAlignment="1">
      <alignment horizontal="right"/>
    </xf>
    <xf numFmtId="1" fontId="13" fillId="0" borderId="1" xfId="19" applyNumberFormat="1" applyFont="1" applyBorder="1" applyAlignment="1">
      <alignment horizontal="center"/>
    </xf>
    <xf numFmtId="1" fontId="13" fillId="3" borderId="1" xfId="19" applyNumberFormat="1" applyFont="1" applyFill="1" applyBorder="1" applyAlignment="1">
      <alignment horizontal="center"/>
    </xf>
    <xf numFmtId="164" fontId="13" fillId="2" borderId="1" xfId="20" applyNumberFormat="1" applyFont="1" applyFill="1" applyBorder="1" applyAlignment="1">
      <alignment horizontal="center" vertical="center" wrapText="1"/>
    </xf>
    <xf numFmtId="0" fontId="13" fillId="2" borderId="1" xfId="20" applyNumberFormat="1" applyFont="1" applyFill="1" applyBorder="1" applyAlignment="1">
      <alignment horizontal="left" vertical="center" wrapText="1"/>
    </xf>
    <xf numFmtId="1" fontId="13" fillId="2" borderId="1" xfId="20" applyNumberFormat="1" applyFont="1" applyFill="1" applyBorder="1" applyAlignment="1">
      <alignment horizontal="center" vertical="center" wrapText="1"/>
    </xf>
    <xf numFmtId="2" fontId="13" fillId="2" borderId="1" xfId="20" applyNumberFormat="1" applyFont="1" applyFill="1" applyBorder="1" applyAlignment="1">
      <alignment horizontal="center" vertical="center" wrapText="1"/>
    </xf>
    <xf numFmtId="0" fontId="14" fillId="2" borderId="0" xfId="1" applyNumberFormat="1" applyFont="1" applyFill="1" applyBorder="1" applyAlignment="1">
      <alignment horizontal="center" vertical="center"/>
    </xf>
    <xf numFmtId="1" fontId="14" fillId="2" borderId="0" xfId="1" applyNumberFormat="1" applyFont="1" applyFill="1" applyBorder="1" applyAlignment="1">
      <alignment horizontal="center" vertical="center"/>
    </xf>
    <xf numFmtId="2" fontId="14" fillId="2" borderId="0" xfId="1" applyNumberFormat="1" applyFont="1" applyFill="1" applyBorder="1" applyAlignment="1">
      <alignment horizontal="center" vertical="center" wrapText="1"/>
    </xf>
    <xf numFmtId="1" fontId="14" fillId="2" borderId="1" xfId="10" applyNumberFormat="1" applyFont="1" applyFill="1" applyBorder="1" applyAlignment="1">
      <alignment horizontal="center" vertical="center" wrapText="1"/>
    </xf>
    <xf numFmtId="2" fontId="14" fillId="2" borderId="1" xfId="10" applyNumberFormat="1" applyFont="1" applyFill="1" applyBorder="1" applyAlignment="1">
      <alignment horizontal="center" vertical="center" wrapText="1"/>
    </xf>
    <xf numFmtId="9" fontId="14" fillId="2" borderId="1" xfId="13" applyNumberFormat="1" applyFont="1" applyFill="1" applyBorder="1" applyAlignment="1">
      <alignment horizontal="center" vertical="center" wrapText="1"/>
    </xf>
    <xf numFmtId="2" fontId="14" fillId="2" borderId="1" xfId="13" applyNumberFormat="1" applyFont="1" applyFill="1" applyBorder="1" applyAlignment="1">
      <alignment horizontal="center" vertical="center" wrapText="1"/>
    </xf>
    <xf numFmtId="9" fontId="14" fillId="3" borderId="1" xfId="13" applyNumberFormat="1" applyFont="1" applyFill="1" applyBorder="1" applyAlignment="1">
      <alignment horizontal="center"/>
    </xf>
    <xf numFmtId="1" fontId="14" fillId="6" borderId="1" xfId="10" applyNumberFormat="1" applyFont="1" applyFill="1" applyBorder="1" applyAlignment="1">
      <alignment horizontal="center" vertical="center" wrapText="1"/>
    </xf>
    <xf numFmtId="9" fontId="14" fillId="6" borderId="1" xfId="13" applyNumberFormat="1" applyFont="1" applyFill="1" applyBorder="1" applyAlignment="1">
      <alignment horizontal="center"/>
    </xf>
    <xf numFmtId="2" fontId="14" fillId="2" borderId="1" xfId="11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/>
    </xf>
    <xf numFmtId="2" fontId="13" fillId="2" borderId="1" xfId="17" applyNumberFormat="1" applyFont="1" applyFill="1" applyBorder="1" applyAlignment="1">
      <alignment horizontal="center" vertical="center" wrapText="1"/>
    </xf>
    <xf numFmtId="0" fontId="13" fillId="3" borderId="1" xfId="0" applyFont="1" applyFill="1" applyBorder="1"/>
    <xf numFmtId="0" fontId="13" fillId="5" borderId="1" xfId="0" applyFont="1" applyFill="1" applyBorder="1"/>
    <xf numFmtId="0" fontId="13" fillId="2" borderId="1" xfId="0" applyFont="1" applyFill="1" applyBorder="1"/>
    <xf numFmtId="2" fontId="14" fillId="3" borderId="1" xfId="10" applyNumberFormat="1" applyFont="1" applyFill="1" applyBorder="1" applyAlignment="1">
      <alignment horizontal="center" vertical="center" wrapText="1"/>
    </xf>
    <xf numFmtId="0" fontId="15" fillId="2" borderId="0" xfId="0" applyNumberFormat="1" applyFont="1" applyFill="1" applyAlignment="1">
      <alignment horizontal="left" vertical="center" wrapText="1"/>
    </xf>
    <xf numFmtId="0" fontId="2" fillId="0" borderId="0" xfId="0" applyFont="1"/>
    <xf numFmtId="0" fontId="23" fillId="0" borderId="0" xfId="12" applyNumberFormat="1" applyFont="1" applyFill="1" applyAlignment="1">
      <alignment horizontal="left" vertical="center"/>
    </xf>
    <xf numFmtId="0" fontId="24" fillId="0" borderId="0" xfId="12" applyNumberFormat="1" applyFont="1" applyFill="1" applyAlignment="1">
      <alignment horizontal="left" vertical="justify"/>
    </xf>
    <xf numFmtId="2" fontId="24" fillId="0" borderId="0" xfId="12" applyNumberFormat="1" applyFont="1" applyFill="1" applyAlignment="1">
      <alignment horizontal="left" vertical="justify"/>
    </xf>
    <xf numFmtId="2" fontId="25" fillId="0" borderId="0" xfId="0" applyNumberFormat="1" applyFont="1" applyAlignment="1">
      <alignment horizontal="center"/>
    </xf>
    <xf numFmtId="2" fontId="25" fillId="0" borderId="0" xfId="0" applyNumberFormat="1" applyFont="1"/>
    <xf numFmtId="0" fontId="25" fillId="0" borderId="0" xfId="0" applyFont="1"/>
    <xf numFmtId="2" fontId="23" fillId="0" borderId="1" xfId="21" applyNumberFormat="1" applyFont="1" applyBorder="1" applyAlignment="1">
      <alignment horizontal="center" vertical="center" wrapText="1"/>
    </xf>
    <xf numFmtId="0" fontId="24" fillId="2" borderId="1" xfId="21" applyNumberFormat="1" applyFont="1" applyFill="1" applyBorder="1" applyAlignment="1">
      <alignment horizontal="left" vertical="center" wrapText="1"/>
    </xf>
    <xf numFmtId="1" fontId="24" fillId="2" borderId="1" xfId="21" applyNumberFormat="1" applyFont="1" applyFill="1" applyBorder="1" applyAlignment="1">
      <alignment horizontal="center" vertical="center" wrapText="1"/>
    </xf>
    <xf numFmtId="2" fontId="24" fillId="2" borderId="1" xfId="21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164" fontId="24" fillId="2" borderId="1" xfId="21" applyNumberFormat="1" applyFont="1" applyFill="1" applyBorder="1" applyAlignment="1">
      <alignment horizontal="center" vertical="center" wrapText="1"/>
    </xf>
    <xf numFmtId="166" fontId="24" fillId="2" borderId="1" xfId="21" applyNumberFormat="1" applyFont="1" applyFill="1" applyBorder="1" applyAlignment="1">
      <alignment horizontal="center" vertical="center" wrapText="1"/>
    </xf>
    <xf numFmtId="1" fontId="26" fillId="2" borderId="1" xfId="21" applyNumberFormat="1" applyFont="1" applyFill="1" applyBorder="1" applyAlignment="1">
      <alignment horizontal="center" vertical="center"/>
    </xf>
    <xf numFmtId="2" fontId="26" fillId="2" borderId="1" xfId="21" applyNumberFormat="1" applyFont="1" applyFill="1" applyBorder="1" applyAlignment="1">
      <alignment horizontal="center" vertical="center" wrapText="1"/>
    </xf>
    <xf numFmtId="0" fontId="24" fillId="2" borderId="1" xfId="21" applyNumberFormat="1" applyFont="1" applyFill="1" applyBorder="1" applyAlignment="1">
      <alignment horizontal="center" vertical="center" wrapText="1"/>
    </xf>
    <xf numFmtId="167" fontId="24" fillId="2" borderId="1" xfId="21" applyNumberFormat="1" applyFont="1" applyFill="1" applyBorder="1" applyAlignment="1">
      <alignment horizontal="center" vertical="center" wrapText="1"/>
    </xf>
    <xf numFmtId="1" fontId="23" fillId="2" borderId="1" xfId="21" applyNumberFormat="1" applyFont="1" applyFill="1" applyBorder="1" applyAlignment="1">
      <alignment horizontal="center" vertical="center"/>
    </xf>
    <xf numFmtId="2" fontId="23" fillId="2" borderId="1" xfId="21" applyNumberFormat="1" applyFont="1" applyFill="1" applyBorder="1" applyAlignment="1">
      <alignment horizontal="center" vertical="center"/>
    </xf>
    <xf numFmtId="2" fontId="23" fillId="2" borderId="1" xfId="21" applyNumberFormat="1" applyFont="1" applyFill="1" applyBorder="1" applyAlignment="1">
      <alignment horizontal="center" vertical="center" wrapText="1"/>
    </xf>
    <xf numFmtId="168" fontId="24" fillId="2" borderId="1" xfId="21" applyNumberFormat="1" applyFont="1" applyFill="1" applyBorder="1" applyAlignment="1">
      <alignment horizontal="center" vertical="center" wrapText="1"/>
    </xf>
    <xf numFmtId="169" fontId="24" fillId="2" borderId="1" xfId="21" applyNumberFormat="1" applyFont="1" applyFill="1" applyBorder="1" applyAlignment="1">
      <alignment horizontal="center" vertical="center" wrapText="1"/>
    </xf>
    <xf numFmtId="170" fontId="24" fillId="2" borderId="1" xfId="21" applyNumberFormat="1" applyFont="1" applyFill="1" applyBorder="1" applyAlignment="1">
      <alignment horizontal="center" vertical="center" wrapText="1"/>
    </xf>
    <xf numFmtId="171" fontId="24" fillId="2" borderId="1" xfId="21" applyNumberFormat="1" applyFont="1" applyFill="1" applyBorder="1" applyAlignment="1">
      <alignment horizontal="center" vertical="center" wrapText="1"/>
    </xf>
    <xf numFmtId="0" fontId="28" fillId="2" borderId="1" xfId="0" applyFont="1" applyFill="1" applyBorder="1"/>
    <xf numFmtId="0" fontId="2" fillId="2" borderId="1" xfId="0" applyFont="1" applyFill="1" applyBorder="1"/>
    <xf numFmtId="2" fontId="2" fillId="2" borderId="1" xfId="0" applyNumberFormat="1" applyFont="1" applyFill="1" applyBorder="1"/>
    <xf numFmtId="172" fontId="24" fillId="2" borderId="1" xfId="21" applyNumberFormat="1" applyFont="1" applyFill="1" applyBorder="1" applyAlignment="1">
      <alignment horizontal="center" vertical="center" wrapText="1"/>
    </xf>
    <xf numFmtId="173" fontId="24" fillId="2" borderId="1" xfId="21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0" fontId="19" fillId="0" borderId="0" xfId="0" applyFont="1" applyFill="1"/>
    <xf numFmtId="0" fontId="23" fillId="0" borderId="1" xfId="1" applyNumberFormat="1" applyFont="1" applyFill="1" applyBorder="1" applyAlignment="1">
      <alignment horizontal="center" vertical="center" wrapText="1"/>
    </xf>
    <xf numFmtId="1" fontId="31" fillId="0" borderId="1" xfId="10" applyNumberFormat="1" applyFont="1" applyFill="1" applyBorder="1" applyAlignment="1">
      <alignment horizontal="center" vertical="center" wrapText="1"/>
    </xf>
    <xf numFmtId="2" fontId="31" fillId="0" borderId="1" xfId="10" applyNumberFormat="1" applyFont="1" applyFill="1" applyBorder="1" applyAlignment="1">
      <alignment horizontal="center" vertical="center" wrapText="1"/>
    </xf>
    <xf numFmtId="1" fontId="29" fillId="0" borderId="1" xfId="10" applyNumberFormat="1" applyFont="1" applyFill="1" applyBorder="1" applyAlignment="1">
      <alignment horizontal="center" vertical="center" wrapText="1"/>
    </xf>
    <xf numFmtId="2" fontId="29" fillId="0" borderId="1" xfId="10" applyNumberFormat="1" applyFont="1" applyFill="1" applyBorder="1" applyAlignment="1">
      <alignment horizontal="center" vertical="center" wrapText="1"/>
    </xf>
    <xf numFmtId="9" fontId="29" fillId="8" borderId="1" xfId="13" applyNumberFormat="1" applyFont="1" applyFill="1" applyBorder="1" applyAlignment="1">
      <alignment horizontal="center" vertical="center" wrapText="1"/>
    </xf>
    <xf numFmtId="9" fontId="29" fillId="0" borderId="1" xfId="13" applyNumberFormat="1" applyFont="1" applyFill="1" applyBorder="1" applyAlignment="1">
      <alignment horizontal="center" vertical="center" wrapText="1"/>
    </xf>
    <xf numFmtId="165" fontId="29" fillId="0" borderId="1" xfId="1" applyNumberFormat="1" applyFont="1" applyFill="1" applyBorder="1" applyAlignment="1">
      <alignment horizontal="center" vertical="center" wrapText="1"/>
    </xf>
    <xf numFmtId="9" fontId="29" fillId="7" borderId="1" xfId="13" applyNumberFormat="1" applyFont="1" applyFill="1" applyBorder="1" applyAlignment="1">
      <alignment horizontal="center"/>
    </xf>
    <xf numFmtId="9" fontId="29" fillId="8" borderId="1" xfId="13" applyNumberFormat="1" applyFont="1" applyFill="1" applyBorder="1" applyAlignment="1">
      <alignment horizontal="center"/>
    </xf>
    <xf numFmtId="9" fontId="29" fillId="0" borderId="1" xfId="13" applyNumberFormat="1" applyFont="1" applyFill="1" applyBorder="1" applyAlignment="1">
      <alignment horizontal="center"/>
    </xf>
    <xf numFmtId="165" fontId="31" fillId="0" borderId="1" xfId="10" applyNumberFormat="1" applyFont="1" applyFill="1" applyBorder="1" applyAlignment="1">
      <alignment horizontal="center" vertical="center" wrapText="1"/>
    </xf>
    <xf numFmtId="165" fontId="29" fillId="0" borderId="1" xfId="10" applyNumberFormat="1" applyFont="1" applyFill="1" applyBorder="1" applyAlignment="1">
      <alignment horizontal="center" vertical="center" wrapText="1"/>
    </xf>
    <xf numFmtId="2" fontId="29" fillId="0" borderId="5" xfId="1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center"/>
    </xf>
    <xf numFmtId="2" fontId="32" fillId="3" borderId="1" xfId="0" applyNumberFormat="1" applyFont="1" applyFill="1" applyBorder="1" applyAlignment="1">
      <alignment horizontal="center"/>
    </xf>
    <xf numFmtId="1" fontId="24" fillId="0" borderId="1" xfId="17" applyNumberFormat="1" applyFont="1" applyFill="1" applyBorder="1" applyAlignment="1">
      <alignment horizontal="center" vertical="center" wrapText="1"/>
    </xf>
    <xf numFmtId="0" fontId="23" fillId="0" borderId="14" xfId="1" applyNumberFormat="1" applyFont="1" applyBorder="1" applyAlignment="1">
      <alignment vertical="center" wrapText="1"/>
    </xf>
    <xf numFmtId="0" fontId="23" fillId="0" borderId="11" xfId="1" applyNumberFormat="1" applyFont="1" applyBorder="1" applyAlignment="1">
      <alignment vertical="center" wrapText="1"/>
    </xf>
    <xf numFmtId="2" fontId="27" fillId="2" borderId="1" xfId="21" applyNumberFormat="1" applyFont="1" applyFill="1" applyBorder="1"/>
    <xf numFmtId="2" fontId="33" fillId="0" borderId="1" xfId="0" applyNumberFormat="1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0" fontId="26" fillId="2" borderId="1" xfId="21" applyNumberFormat="1" applyFont="1" applyFill="1" applyBorder="1" applyAlignment="1">
      <alignment horizontal="center" vertical="center" wrapText="1"/>
    </xf>
    <xf numFmtId="0" fontId="26" fillId="2" borderId="1" xfId="21" applyNumberFormat="1" applyFont="1" applyFill="1" applyBorder="1" applyAlignment="1">
      <alignment horizontal="center" vertical="center"/>
    </xf>
    <xf numFmtId="0" fontId="23" fillId="2" borderId="1" xfId="21" applyNumberFormat="1" applyFont="1" applyFill="1" applyBorder="1" applyAlignment="1">
      <alignment horizontal="center" vertical="center"/>
    </xf>
    <xf numFmtId="0" fontId="23" fillId="2" borderId="1" xfId="21" applyNumberFormat="1" applyFont="1" applyFill="1" applyBorder="1" applyAlignment="1">
      <alignment horizontal="left" vertical="center" wrapText="1"/>
    </xf>
    <xf numFmtId="2" fontId="23" fillId="0" borderId="1" xfId="21" applyNumberFormat="1" applyFont="1" applyBorder="1" applyAlignment="1">
      <alignment horizontal="center" vertical="center" wrapText="1"/>
    </xf>
    <xf numFmtId="0" fontId="26" fillId="0" borderId="1" xfId="21" applyNumberFormat="1" applyFont="1" applyBorder="1" applyAlignment="1">
      <alignment horizontal="center" vertical="center" wrapText="1"/>
    </xf>
    <xf numFmtId="0" fontId="23" fillId="0" borderId="1" xfId="21" applyNumberFormat="1" applyFont="1" applyBorder="1" applyAlignment="1">
      <alignment horizontal="center" vertical="center" wrapText="1"/>
    </xf>
    <xf numFmtId="0" fontId="23" fillId="0" borderId="8" xfId="1" applyNumberFormat="1" applyFont="1" applyBorder="1" applyAlignment="1">
      <alignment horizontal="center" vertical="center" wrapText="1"/>
    </xf>
    <xf numFmtId="0" fontId="23" fillId="0" borderId="14" xfId="1" applyNumberFormat="1" applyFont="1" applyBorder="1" applyAlignment="1">
      <alignment horizontal="center" vertical="center" wrapText="1"/>
    </xf>
    <xf numFmtId="2" fontId="23" fillId="2" borderId="1" xfId="21" applyNumberFormat="1" applyFont="1" applyFill="1" applyBorder="1" applyAlignment="1">
      <alignment horizontal="center" vertical="center" wrapText="1"/>
    </xf>
    <xf numFmtId="0" fontId="23" fillId="2" borderId="1" xfId="21" applyNumberFormat="1" applyFont="1" applyFill="1" applyBorder="1" applyAlignment="1">
      <alignment horizontal="center" vertical="center" wrapText="1"/>
    </xf>
    <xf numFmtId="2" fontId="23" fillId="0" borderId="7" xfId="1" applyNumberFormat="1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3" fillId="0" borderId="1" xfId="1" applyNumberFormat="1" applyFont="1" applyFill="1" applyBorder="1" applyAlignment="1">
      <alignment horizontal="center" vertical="center" wrapText="1"/>
    </xf>
    <xf numFmtId="0" fontId="23" fillId="0" borderId="7" xfId="1" applyNumberFormat="1" applyFont="1" applyFill="1" applyBorder="1" applyAlignment="1">
      <alignment horizontal="center" vertical="center" wrapText="1"/>
    </xf>
    <xf numFmtId="0" fontId="23" fillId="0" borderId="5" xfId="1" applyNumberFormat="1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3" fillId="0" borderId="8" xfId="1" applyNumberFormat="1" applyFont="1" applyFill="1" applyBorder="1" applyAlignment="1">
      <alignment horizontal="center" vertical="center" wrapText="1"/>
    </xf>
    <xf numFmtId="0" fontId="30" fillId="0" borderId="3" xfId="1" applyNumberFormat="1" applyFont="1" applyFill="1" applyBorder="1" applyAlignment="1">
      <alignment horizontal="right" vertical="center"/>
    </xf>
    <xf numFmtId="0" fontId="19" fillId="0" borderId="3" xfId="0" applyFont="1" applyFill="1" applyBorder="1"/>
    <xf numFmtId="0" fontId="30" fillId="3" borderId="1" xfId="1" applyNumberFormat="1" applyFont="1" applyFill="1" applyBorder="1" applyAlignment="1">
      <alignment horizontal="right" vertical="center"/>
    </xf>
    <xf numFmtId="0" fontId="19" fillId="3" borderId="1" xfId="0" applyFont="1" applyFill="1" applyBorder="1"/>
    <xf numFmtId="0" fontId="30" fillId="3" borderId="3" xfId="1" applyNumberFormat="1" applyFont="1" applyFill="1" applyBorder="1" applyAlignment="1">
      <alignment horizontal="right" vertical="center"/>
    </xf>
    <xf numFmtId="0" fontId="19" fillId="3" borderId="3" xfId="0" applyFont="1" applyFill="1" applyBorder="1"/>
    <xf numFmtId="0" fontId="7" fillId="2" borderId="0" xfId="12" applyNumberFormat="1" applyFont="1" applyFill="1" applyBorder="1" applyAlignment="1">
      <alignment horizontal="center" vertical="center" wrapText="1"/>
    </xf>
    <xf numFmtId="0" fontId="7" fillId="2" borderId="7" xfId="18" applyNumberFormat="1" applyFont="1" applyFill="1" applyBorder="1" applyAlignment="1">
      <alignment horizontal="center" vertical="center" wrapText="1"/>
    </xf>
    <xf numFmtId="0" fontId="7" fillId="2" borderId="5" xfId="18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justify"/>
    </xf>
    <xf numFmtId="0" fontId="12" fillId="2" borderId="3" xfId="0" applyFont="1" applyFill="1" applyBorder="1" applyAlignment="1">
      <alignment vertical="justify"/>
    </xf>
    <xf numFmtId="0" fontId="11" fillId="2" borderId="4" xfId="0" applyFont="1" applyFill="1" applyBorder="1" applyAlignment="1"/>
    <xf numFmtId="0" fontId="12" fillId="2" borderId="3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justify"/>
    </xf>
    <xf numFmtId="0" fontId="7" fillId="2" borderId="3" xfId="0" applyFont="1" applyFill="1" applyBorder="1" applyAlignment="1">
      <alignment vertical="justify"/>
    </xf>
    <xf numFmtId="0" fontId="7" fillId="2" borderId="4" xfId="0" applyFont="1" applyFill="1" applyBorder="1" applyAlignment="1">
      <alignment vertical="justify"/>
    </xf>
    <xf numFmtId="0" fontId="7" fillId="2" borderId="0" xfId="0" applyNumberFormat="1" applyFont="1" applyFill="1" applyBorder="1" applyAlignment="1">
      <alignment horizontal="center" vertical="center" wrapText="1"/>
    </xf>
    <xf numFmtId="0" fontId="12" fillId="2" borderId="14" xfId="0" applyNumberFormat="1" applyFont="1" applyFill="1" applyBorder="1" applyAlignment="1">
      <alignment horizontal="center" vertical="center" wrapText="1"/>
    </xf>
    <xf numFmtId="0" fontId="12" fillId="2" borderId="8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1" fillId="2" borderId="0" xfId="0" applyFont="1" applyFill="1" applyBorder="1" applyAlignment="1">
      <alignment vertical="center"/>
    </xf>
    <xf numFmtId="0" fontId="7" fillId="2" borderId="10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/>
    </xf>
    <xf numFmtId="0" fontId="7" fillId="2" borderId="7" xfId="18" applyNumberFormat="1" applyFont="1" applyFill="1" applyBorder="1" applyAlignment="1">
      <alignment horizontal="right" vertical="center" wrapText="1"/>
    </xf>
    <xf numFmtId="0" fontId="7" fillId="2" borderId="5" xfId="18" applyNumberFormat="1" applyFont="1" applyFill="1" applyBorder="1" applyAlignment="1">
      <alignment horizontal="right" vertical="center" wrapText="1"/>
    </xf>
    <xf numFmtId="0" fontId="21" fillId="2" borderId="3" xfId="1" applyNumberFormat="1" applyFont="1" applyFill="1" applyBorder="1" applyAlignment="1">
      <alignment horizontal="right" vertical="center"/>
    </xf>
    <xf numFmtId="0" fontId="13" fillId="2" borderId="3" xfId="0" applyFont="1" applyFill="1" applyBorder="1"/>
    <xf numFmtId="0" fontId="21" fillId="5" borderId="3" xfId="1" applyNumberFormat="1" applyFont="1" applyFill="1" applyBorder="1" applyAlignment="1">
      <alignment horizontal="right" vertical="center"/>
    </xf>
    <xf numFmtId="0" fontId="13" fillId="5" borderId="3" xfId="0" applyFont="1" applyFill="1" applyBorder="1"/>
    <xf numFmtId="2" fontId="14" fillId="0" borderId="2" xfId="19" applyNumberFormat="1" applyFont="1" applyFill="1" applyBorder="1" applyAlignment="1">
      <alignment horizontal="center" wrapText="1"/>
    </xf>
    <xf numFmtId="2" fontId="14" fillId="0" borderId="3" xfId="19" applyNumberFormat="1" applyFont="1" applyFill="1" applyBorder="1" applyAlignment="1">
      <alignment horizontal="center" wrapText="1"/>
    </xf>
    <xf numFmtId="2" fontId="14" fillId="4" borderId="2" xfId="19" applyNumberFormat="1" applyFont="1" applyFill="1" applyBorder="1" applyAlignment="1">
      <alignment horizontal="center" wrapText="1"/>
    </xf>
    <xf numFmtId="2" fontId="14" fillId="4" borderId="4" xfId="19" applyNumberFormat="1" applyFont="1" applyFill="1" applyBorder="1" applyAlignment="1">
      <alignment horizontal="center" wrapText="1"/>
    </xf>
    <xf numFmtId="0" fontId="13" fillId="0" borderId="3" xfId="0" applyFont="1" applyBorder="1" applyAlignment="1">
      <alignment wrapText="1"/>
    </xf>
    <xf numFmtId="0" fontId="21" fillId="3" borderId="3" xfId="1" applyNumberFormat="1" applyFont="1" applyFill="1" applyBorder="1" applyAlignment="1">
      <alignment horizontal="right" vertical="center"/>
    </xf>
    <xf numFmtId="0" fontId="13" fillId="3" borderId="3" xfId="0" applyFont="1" applyFill="1" applyBorder="1"/>
    <xf numFmtId="2" fontId="14" fillId="2" borderId="1" xfId="1" applyNumberFormat="1" applyFont="1" applyFill="1" applyBorder="1" applyAlignment="1">
      <alignment horizontal="center" vertical="center" wrapText="1"/>
    </xf>
    <xf numFmtId="2" fontId="14" fillId="2" borderId="8" xfId="1" applyNumberFormat="1" applyFont="1" applyFill="1" applyBorder="1" applyAlignment="1">
      <alignment horizontal="center" vertical="center" wrapText="1"/>
    </xf>
    <xf numFmtId="0" fontId="21" fillId="2" borderId="8" xfId="1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wrapText="1"/>
    </xf>
    <xf numFmtId="0" fontId="22" fillId="2" borderId="0" xfId="0" applyFont="1" applyFill="1" applyAlignment="1">
      <alignment horizontal="center"/>
    </xf>
    <xf numFmtId="0" fontId="14" fillId="2" borderId="1" xfId="1" applyNumberFormat="1" applyFont="1" applyFill="1" applyBorder="1" applyAlignment="1">
      <alignment horizontal="left" vertical="center" wrapText="1"/>
    </xf>
    <xf numFmtId="0" fontId="14" fillId="2" borderId="7" xfId="1" applyNumberFormat="1" applyFont="1" applyFill="1" applyBorder="1" applyAlignment="1">
      <alignment horizontal="center" vertical="center" wrapText="1"/>
    </xf>
    <xf numFmtId="0" fontId="14" fillId="2" borderId="5" xfId="1" applyNumberFormat="1" applyFont="1" applyFill="1" applyBorder="1" applyAlignment="1">
      <alignment horizontal="center" vertical="center" wrapText="1"/>
    </xf>
    <xf numFmtId="2" fontId="14" fillId="2" borderId="7" xfId="1" applyNumberFormat="1" applyFont="1" applyFill="1" applyBorder="1" applyAlignment="1">
      <alignment horizontal="center" vertical="center" wrapText="1"/>
    </xf>
    <xf numFmtId="2" fontId="14" fillId="2" borderId="5" xfId="1" applyNumberFormat="1" applyFont="1" applyFill="1" applyBorder="1" applyAlignment="1">
      <alignment horizontal="center" vertical="center" wrapText="1"/>
    </xf>
    <xf numFmtId="0" fontId="17" fillId="2" borderId="1" xfId="12" applyNumberFormat="1" applyFont="1" applyFill="1" applyBorder="1" applyAlignment="1">
      <alignment horizontal="center" vertical="center"/>
    </xf>
    <xf numFmtId="0" fontId="8" fillId="2" borderId="0" xfId="12" applyFont="1" applyFill="1" applyAlignment="1">
      <alignment horizontal="center" wrapText="1"/>
    </xf>
    <xf numFmtId="0" fontId="17" fillId="3" borderId="1" xfId="12" applyFont="1" applyFill="1" applyBorder="1" applyAlignment="1">
      <alignment horizontal="center"/>
    </xf>
    <xf numFmtId="0" fontId="8" fillId="2" borderId="1" xfId="12" applyNumberFormat="1" applyFont="1" applyFill="1" applyBorder="1" applyAlignment="1">
      <alignment horizontal="center" vertical="center"/>
    </xf>
    <xf numFmtId="0" fontId="8" fillId="2" borderId="5" xfId="12" applyNumberFormat="1" applyFont="1" applyFill="1" applyBorder="1" applyAlignment="1">
      <alignment horizontal="center" vertical="center" wrapText="1"/>
    </xf>
    <xf numFmtId="0" fontId="8" fillId="2" borderId="1" xfId="12" applyNumberFormat="1" applyFont="1" applyFill="1" applyBorder="1" applyAlignment="1">
      <alignment horizontal="center" vertical="center" wrapText="1"/>
    </xf>
    <xf numFmtId="49" fontId="8" fillId="2" borderId="5" xfId="12" applyNumberFormat="1" applyFont="1" applyFill="1" applyBorder="1" applyAlignment="1">
      <alignment horizontal="center" vertical="center" wrapText="1"/>
    </xf>
    <xf numFmtId="0" fontId="8" fillId="2" borderId="6" xfId="12" applyNumberFormat="1" applyFont="1" applyFill="1" applyBorder="1" applyAlignment="1">
      <alignment horizontal="center" vertical="center" wrapText="1"/>
    </xf>
    <xf numFmtId="0" fontId="8" fillId="2" borderId="9" xfId="12" applyNumberFormat="1" applyFont="1" applyFill="1" applyBorder="1" applyAlignment="1">
      <alignment horizontal="center" vertical="center" wrapText="1"/>
    </xf>
    <xf numFmtId="0" fontId="8" fillId="2" borderId="12" xfId="12" applyNumberFormat="1" applyFont="1" applyFill="1" applyBorder="1" applyAlignment="1">
      <alignment horizontal="center" vertical="center" wrapText="1"/>
    </xf>
    <xf numFmtId="0" fontId="8" fillId="2" borderId="7" xfId="12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0" xfId="12" applyFont="1" applyAlignment="1">
      <alignment horizontal="center" vertical="center" wrapText="1"/>
    </xf>
    <xf numFmtId="0" fontId="17" fillId="9" borderId="8" xfId="12" applyFont="1" applyFill="1" applyBorder="1" applyAlignment="1">
      <alignment horizontal="center" vertical="center"/>
    </xf>
    <xf numFmtId="0" fontId="17" fillId="9" borderId="11" xfId="12" applyFont="1" applyFill="1" applyBorder="1" applyAlignment="1">
      <alignment horizontal="center" vertical="center"/>
    </xf>
  </cellXfs>
  <cellStyles count="22">
    <cellStyle name="Обычный" xfId="0" builtinId="0"/>
    <cellStyle name="Обычный 2" xfId="2"/>
    <cellStyle name="Обычный 2 2" xfId="3"/>
    <cellStyle name="Обычный 2 3" xfId="14"/>
    <cellStyle name="Обычный 2 4" xfId="19"/>
    <cellStyle name="Обычный 3" xfId="4"/>
    <cellStyle name="Обычный 3 2" xfId="15"/>
    <cellStyle name="Обычный 4" xfId="7"/>
    <cellStyle name="Обычный 5" xfId="8"/>
    <cellStyle name="Обычный 6" xfId="12"/>
    <cellStyle name="Обычный_1С хэх" xfId="18"/>
    <cellStyle name="Обычный_Лист1" xfId="1"/>
    <cellStyle name="Обычный_Лист10" xfId="17"/>
    <cellStyle name="Обычный_Лист3" xfId="20"/>
    <cellStyle name="Обычный_Лист6" xfId="11"/>
    <cellStyle name="Обычный_Меню ХЭХ СД 16.09" xfId="21"/>
    <cellStyle name="Обычный_хэх Могильный" xfId="10"/>
    <cellStyle name="Процентный 2" xfId="5"/>
    <cellStyle name="Процентный 2 2" xfId="6"/>
    <cellStyle name="Процентный 3" xfId="9"/>
    <cellStyle name="Процентный 4" xfId="13"/>
    <cellStyle name="Финансовый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U329"/>
  <sheetViews>
    <sheetView tabSelected="1" topLeftCell="A282" zoomScale="90" zoomScaleNormal="90" workbookViewId="0">
      <selection activeCell="B283" sqref="B283"/>
    </sheetView>
  </sheetViews>
  <sheetFormatPr defaultColWidth="9.109375" defaultRowHeight="14.4" x14ac:dyDescent="0.3"/>
  <cols>
    <col min="1" max="1" width="13" style="236" customWidth="1"/>
    <col min="2" max="2" width="36" style="236" customWidth="1"/>
    <col min="3" max="3" width="7.6640625" style="236" customWidth="1"/>
    <col min="4" max="4" width="7.6640625" style="266" customWidth="1"/>
    <col min="5" max="5" width="8.44140625" style="266" customWidth="1"/>
    <col min="6" max="6" width="7.88671875" style="266" customWidth="1"/>
    <col min="7" max="7" width="9.109375" style="266"/>
    <col min="8" max="8" width="10" style="266" customWidth="1"/>
    <col min="9" max="9" width="7.33203125" style="266" customWidth="1"/>
    <col min="10" max="10" width="9.109375" style="266" customWidth="1"/>
    <col min="11" max="11" width="9.6640625" style="266" customWidth="1"/>
    <col min="12" max="12" width="7.88671875" style="266" customWidth="1"/>
    <col min="13" max="13" width="10" style="266" customWidth="1"/>
    <col min="14" max="14" width="9.5546875" style="266" customWidth="1"/>
    <col min="15" max="15" width="9.6640625" style="266" customWidth="1"/>
    <col min="16" max="16" width="7.6640625" style="266" customWidth="1"/>
    <col min="17" max="16384" width="9.109375" style="236"/>
  </cols>
  <sheetData>
    <row r="1" spans="1:18" ht="33" customHeight="1" x14ac:dyDescent="0.3">
      <c r="A1" s="297" t="s">
        <v>282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85"/>
      <c r="R1" s="286"/>
    </row>
    <row r="2" spans="1:18" s="242" customFormat="1" ht="13.8" x14ac:dyDescent="0.25">
      <c r="A2" s="237" t="s">
        <v>246</v>
      </c>
      <c r="B2" s="238"/>
      <c r="C2" s="238"/>
      <c r="D2" s="239"/>
      <c r="E2" s="240"/>
      <c r="F2" s="240"/>
      <c r="G2" s="241"/>
      <c r="H2" s="241"/>
      <c r="I2" s="241"/>
      <c r="J2" s="241"/>
      <c r="K2" s="241"/>
      <c r="L2" s="241"/>
      <c r="M2" s="241"/>
      <c r="N2" s="241"/>
      <c r="O2" s="241"/>
      <c r="P2" s="241"/>
    </row>
    <row r="3" spans="1:18" s="242" customFormat="1" ht="13.8" x14ac:dyDescent="0.25">
      <c r="A3" s="237" t="s">
        <v>247</v>
      </c>
      <c r="B3" s="238"/>
      <c r="C3" s="238"/>
      <c r="D3" s="239"/>
      <c r="E3" s="240"/>
      <c r="F3" s="240"/>
      <c r="G3" s="241"/>
      <c r="H3" s="241"/>
      <c r="I3" s="241"/>
      <c r="J3" s="241"/>
      <c r="K3" s="241"/>
      <c r="L3" s="241"/>
      <c r="M3" s="241"/>
      <c r="N3" s="241"/>
      <c r="O3" s="241"/>
      <c r="P3" s="241"/>
    </row>
    <row r="4" spans="1:18" x14ac:dyDescent="0.3">
      <c r="A4" s="296" t="s">
        <v>33</v>
      </c>
      <c r="B4" s="296" t="s">
        <v>32</v>
      </c>
      <c r="C4" s="296" t="s">
        <v>0</v>
      </c>
      <c r="D4" s="294" t="s">
        <v>55</v>
      </c>
      <c r="E4" s="294" t="s">
        <v>1</v>
      </c>
      <c r="F4" s="294"/>
      <c r="G4" s="294"/>
      <c r="H4" s="294" t="s">
        <v>31</v>
      </c>
      <c r="I4" s="294" t="s">
        <v>9</v>
      </c>
      <c r="J4" s="294"/>
      <c r="K4" s="294"/>
      <c r="L4" s="294"/>
      <c r="M4" s="294" t="s">
        <v>10</v>
      </c>
      <c r="N4" s="294"/>
      <c r="O4" s="294"/>
      <c r="P4" s="294"/>
    </row>
    <row r="5" spans="1:18" x14ac:dyDescent="0.3">
      <c r="A5" s="296"/>
      <c r="B5" s="296"/>
      <c r="C5" s="296"/>
      <c r="D5" s="294"/>
      <c r="E5" s="243" t="s">
        <v>2</v>
      </c>
      <c r="F5" s="243" t="s">
        <v>3</v>
      </c>
      <c r="G5" s="243" t="s">
        <v>4</v>
      </c>
      <c r="H5" s="294"/>
      <c r="I5" s="243" t="s">
        <v>11</v>
      </c>
      <c r="J5" s="243" t="s">
        <v>12</v>
      </c>
      <c r="K5" s="243" t="s">
        <v>13</v>
      </c>
      <c r="L5" s="243" t="s">
        <v>14</v>
      </c>
      <c r="M5" s="243" t="s">
        <v>15</v>
      </c>
      <c r="N5" s="243" t="s">
        <v>16</v>
      </c>
      <c r="O5" s="243" t="s">
        <v>17</v>
      </c>
      <c r="P5" s="243" t="s">
        <v>18</v>
      </c>
    </row>
    <row r="6" spans="1:18" x14ac:dyDescent="0.3">
      <c r="A6" s="293" t="s">
        <v>37</v>
      </c>
      <c r="B6" s="293"/>
      <c r="C6" s="293"/>
      <c r="D6" s="293"/>
      <c r="E6" s="293"/>
      <c r="F6" s="293"/>
      <c r="G6" s="293"/>
      <c r="H6" s="293"/>
      <c r="I6" s="243"/>
      <c r="J6" s="243"/>
      <c r="K6" s="243"/>
      <c r="L6" s="243"/>
      <c r="M6" s="243"/>
      <c r="N6" s="243"/>
      <c r="O6" s="243"/>
      <c r="P6" s="243"/>
    </row>
    <row r="7" spans="1:18" x14ac:dyDescent="0.3">
      <c r="A7" s="295" t="s">
        <v>21</v>
      </c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</row>
    <row r="8" spans="1:18" s="247" customFormat="1" ht="27.6" x14ac:dyDescent="0.3">
      <c r="A8" s="244" t="s">
        <v>379</v>
      </c>
      <c r="B8" s="244" t="s">
        <v>380</v>
      </c>
      <c r="C8" s="245">
        <v>200</v>
      </c>
      <c r="D8" s="246">
        <f>G8/12</f>
        <v>2.4690833333333333</v>
      </c>
      <c r="E8" s="246">
        <v>9.14</v>
      </c>
      <c r="F8" s="246">
        <v>8.4450000000000003</v>
      </c>
      <c r="G8" s="246">
        <v>29.629000000000001</v>
      </c>
      <c r="H8" s="246">
        <v>231.845</v>
      </c>
      <c r="I8" s="246">
        <v>0.20100000000000001</v>
      </c>
      <c r="J8" s="246">
        <v>0.84</v>
      </c>
      <c r="K8" s="246">
        <v>34</v>
      </c>
      <c r="L8" s="246">
        <v>0.37</v>
      </c>
      <c r="M8" s="246">
        <v>182.10900000000001</v>
      </c>
      <c r="N8" s="246">
        <v>247.70099999999999</v>
      </c>
      <c r="O8" s="246">
        <v>99.893000000000001</v>
      </c>
      <c r="P8" s="246">
        <v>2.8690000000000002</v>
      </c>
    </row>
    <row r="9" spans="1:18" s="247" customFormat="1" x14ac:dyDescent="0.3">
      <c r="A9" s="248">
        <v>15</v>
      </c>
      <c r="B9" s="244" t="s">
        <v>67</v>
      </c>
      <c r="C9" s="245">
        <v>10</v>
      </c>
      <c r="D9" s="246">
        <f t="shared" ref="D9:D14" si="0">G9/12</f>
        <v>0</v>
      </c>
      <c r="E9" s="246">
        <v>2.6</v>
      </c>
      <c r="F9" s="246">
        <v>2.61</v>
      </c>
      <c r="G9" s="246"/>
      <c r="H9" s="246">
        <v>34.4</v>
      </c>
      <c r="I9" s="246">
        <v>3.0000000000000001E-3</v>
      </c>
      <c r="J9" s="246">
        <v>0.08</v>
      </c>
      <c r="K9" s="246">
        <v>23</v>
      </c>
      <c r="L9" s="246">
        <v>0.05</v>
      </c>
      <c r="M9" s="246">
        <v>100</v>
      </c>
      <c r="N9" s="246">
        <v>64</v>
      </c>
      <c r="O9" s="246">
        <v>4.5</v>
      </c>
      <c r="P9" s="246">
        <v>0.1</v>
      </c>
    </row>
    <row r="10" spans="1:18" s="247" customFormat="1" ht="27.6" x14ac:dyDescent="0.3">
      <c r="A10" s="248">
        <v>4</v>
      </c>
      <c r="B10" s="244" t="s">
        <v>330</v>
      </c>
      <c r="C10" s="245">
        <v>20</v>
      </c>
      <c r="D10" s="246">
        <f t="shared" si="0"/>
        <v>0</v>
      </c>
      <c r="E10" s="246">
        <v>6.4</v>
      </c>
      <c r="F10" s="246">
        <v>3.1360000000000001</v>
      </c>
      <c r="G10" s="246"/>
      <c r="H10" s="246">
        <v>53.76</v>
      </c>
      <c r="I10" s="246">
        <v>1.9E-2</v>
      </c>
      <c r="J10" s="246"/>
      <c r="K10" s="246"/>
      <c r="L10" s="246">
        <v>0.128</v>
      </c>
      <c r="M10" s="246">
        <v>2.88</v>
      </c>
      <c r="N10" s="246">
        <v>60.16</v>
      </c>
      <c r="O10" s="246">
        <v>7.04</v>
      </c>
      <c r="P10" s="246">
        <v>0.86399999999999999</v>
      </c>
    </row>
    <row r="11" spans="1:18" s="247" customFormat="1" ht="27.6" x14ac:dyDescent="0.3">
      <c r="A11" s="248">
        <v>4</v>
      </c>
      <c r="B11" s="244" t="s">
        <v>331</v>
      </c>
      <c r="C11" s="245">
        <v>40</v>
      </c>
      <c r="D11" s="246">
        <f t="shared" si="0"/>
        <v>1.1399999999999999</v>
      </c>
      <c r="E11" s="246">
        <v>2.64</v>
      </c>
      <c r="F11" s="246">
        <v>0.48</v>
      </c>
      <c r="G11" s="246">
        <v>13.68</v>
      </c>
      <c r="H11" s="246">
        <v>69.599999999999994</v>
      </c>
      <c r="I11" s="246">
        <v>0.08</v>
      </c>
      <c r="J11" s="246"/>
      <c r="K11" s="246">
        <v>2.4</v>
      </c>
      <c r="L11" s="246">
        <v>0.88</v>
      </c>
      <c r="M11" s="246">
        <v>14</v>
      </c>
      <c r="N11" s="246">
        <v>63.2</v>
      </c>
      <c r="O11" s="246">
        <v>18.8</v>
      </c>
      <c r="P11" s="246">
        <v>1.56</v>
      </c>
    </row>
    <row r="12" spans="1:18" s="247" customFormat="1" x14ac:dyDescent="0.3">
      <c r="A12" s="249">
        <v>382</v>
      </c>
      <c r="B12" s="244" t="s">
        <v>60</v>
      </c>
      <c r="C12" s="245">
        <v>200</v>
      </c>
      <c r="D12" s="246">
        <f t="shared" si="0"/>
        <v>0.43441666666666667</v>
      </c>
      <c r="E12" s="246">
        <v>3.88</v>
      </c>
      <c r="F12" s="246">
        <v>3.1</v>
      </c>
      <c r="G12" s="246">
        <v>5.2130000000000001</v>
      </c>
      <c r="H12" s="246">
        <v>65.56</v>
      </c>
      <c r="I12" s="246">
        <v>2.4E-2</v>
      </c>
      <c r="J12" s="246">
        <v>0.6</v>
      </c>
      <c r="K12" s="246">
        <v>10.119999999999999</v>
      </c>
      <c r="L12" s="246">
        <v>1.2E-2</v>
      </c>
      <c r="M12" s="246">
        <v>125.12</v>
      </c>
      <c r="N12" s="246">
        <v>116.2</v>
      </c>
      <c r="O12" s="246">
        <v>31</v>
      </c>
      <c r="P12" s="246">
        <v>0.98</v>
      </c>
    </row>
    <row r="13" spans="1:18" s="247" customFormat="1" x14ac:dyDescent="0.3">
      <c r="A13" s="245"/>
      <c r="B13" s="244" t="s">
        <v>51</v>
      </c>
      <c r="C13" s="245">
        <v>100</v>
      </c>
      <c r="D13" s="246">
        <f t="shared" si="0"/>
        <v>0.81666666666666676</v>
      </c>
      <c r="E13" s="246">
        <v>0.4</v>
      </c>
      <c r="F13" s="246">
        <v>0.4</v>
      </c>
      <c r="G13" s="246">
        <v>9.8000000000000007</v>
      </c>
      <c r="H13" s="246">
        <v>47</v>
      </c>
      <c r="I13" s="246">
        <v>2.9999999999999995E-2</v>
      </c>
      <c r="J13" s="246">
        <v>10</v>
      </c>
      <c r="K13" s="246">
        <v>5</v>
      </c>
      <c r="L13" s="246">
        <v>0.2</v>
      </c>
      <c r="M13" s="246">
        <v>16</v>
      </c>
      <c r="N13" s="246">
        <v>11</v>
      </c>
      <c r="O13" s="246">
        <v>9</v>
      </c>
      <c r="P13" s="246">
        <v>2.2000000000000002</v>
      </c>
    </row>
    <row r="14" spans="1:18" s="247" customFormat="1" x14ac:dyDescent="0.3">
      <c r="A14" s="291" t="s">
        <v>248</v>
      </c>
      <c r="B14" s="291"/>
      <c r="C14" s="250">
        <f>SUM(C8:C13)</f>
        <v>570</v>
      </c>
      <c r="D14" s="246">
        <f t="shared" si="0"/>
        <v>4.8601666666666672</v>
      </c>
      <c r="E14" s="251">
        <f>SUM(E8:E13)</f>
        <v>25.06</v>
      </c>
      <c r="F14" s="251">
        <f t="shared" ref="F14:P14" si="1">SUM(F8:F13)</f>
        <v>18.170999999999999</v>
      </c>
      <c r="G14" s="251">
        <f t="shared" si="1"/>
        <v>58.322000000000003</v>
      </c>
      <c r="H14" s="251">
        <f t="shared" si="1"/>
        <v>502.16500000000002</v>
      </c>
      <c r="I14" s="251">
        <f t="shared" si="1"/>
        <v>0.35699999999999998</v>
      </c>
      <c r="J14" s="251">
        <f t="shared" si="1"/>
        <v>11.52</v>
      </c>
      <c r="K14" s="251">
        <f t="shared" si="1"/>
        <v>74.52</v>
      </c>
      <c r="L14" s="251">
        <f t="shared" si="1"/>
        <v>1.64</v>
      </c>
      <c r="M14" s="251">
        <f t="shared" si="1"/>
        <v>440.10900000000004</v>
      </c>
      <c r="N14" s="251">
        <f t="shared" si="1"/>
        <v>562.26099999999997</v>
      </c>
      <c r="O14" s="251">
        <f t="shared" si="1"/>
        <v>170.233</v>
      </c>
      <c r="P14" s="251">
        <f t="shared" si="1"/>
        <v>8.5730000000000004</v>
      </c>
    </row>
    <row r="15" spans="1:18" s="247" customFormat="1" x14ac:dyDescent="0.3">
      <c r="A15" s="290" t="s">
        <v>249</v>
      </c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</row>
    <row r="16" spans="1:18" s="247" customFormat="1" ht="27.6" x14ac:dyDescent="0.3">
      <c r="A16" s="252"/>
      <c r="B16" s="244" t="s">
        <v>332</v>
      </c>
      <c r="C16" s="245">
        <v>20</v>
      </c>
      <c r="D16" s="246">
        <f>G16/12</f>
        <v>0.64524999999999999</v>
      </c>
      <c r="E16" s="246">
        <v>1.6459999999999999</v>
      </c>
      <c r="F16" s="246">
        <v>4.4420000000000002</v>
      </c>
      <c r="G16" s="246">
        <v>7.7430000000000003</v>
      </c>
      <c r="H16" s="246">
        <v>78.463999999999999</v>
      </c>
      <c r="I16" s="246">
        <v>3.5999999999999997E-2</v>
      </c>
      <c r="J16" s="246">
        <v>0.86599999999999999</v>
      </c>
      <c r="K16" s="246">
        <v>37.311999999999998</v>
      </c>
      <c r="L16" s="246">
        <v>2.1230000000000002</v>
      </c>
      <c r="M16" s="246">
        <v>24.288</v>
      </c>
      <c r="N16" s="246">
        <v>40.863999999999997</v>
      </c>
      <c r="O16" s="246">
        <v>27.504000000000001</v>
      </c>
      <c r="P16" s="246">
        <v>0.56200000000000006</v>
      </c>
    </row>
    <row r="17" spans="1:16" s="247" customFormat="1" x14ac:dyDescent="0.3">
      <c r="A17" s="245"/>
      <c r="B17" s="244" t="s">
        <v>71</v>
      </c>
      <c r="C17" s="245">
        <v>90</v>
      </c>
      <c r="D17" s="246">
        <f t="shared" ref="D17:D19" si="2">G17/12</f>
        <v>0.44249999999999995</v>
      </c>
      <c r="E17" s="246">
        <v>3.69</v>
      </c>
      <c r="F17" s="246">
        <v>1.35</v>
      </c>
      <c r="G17" s="246">
        <v>5.31</v>
      </c>
      <c r="H17" s="246">
        <v>51.3</v>
      </c>
      <c r="I17" s="246"/>
      <c r="J17" s="246">
        <v>0.54</v>
      </c>
      <c r="K17" s="246">
        <v>9</v>
      </c>
      <c r="L17" s="246"/>
      <c r="M17" s="246">
        <v>111.6</v>
      </c>
      <c r="N17" s="246">
        <v>85.5</v>
      </c>
      <c r="O17" s="246">
        <v>13.5</v>
      </c>
      <c r="P17" s="246">
        <v>0.09</v>
      </c>
    </row>
    <row r="18" spans="1:16" s="247" customFormat="1" x14ac:dyDescent="0.3">
      <c r="A18" s="245"/>
      <c r="B18" s="244" t="s">
        <v>66</v>
      </c>
      <c r="C18" s="245">
        <v>150</v>
      </c>
      <c r="D18" s="246">
        <f t="shared" si="2"/>
        <v>0.9375</v>
      </c>
      <c r="E18" s="246">
        <v>1.2</v>
      </c>
      <c r="F18" s="246">
        <v>0.3</v>
      </c>
      <c r="G18" s="246">
        <v>11.25</v>
      </c>
      <c r="H18" s="246">
        <v>57</v>
      </c>
      <c r="I18" s="246">
        <v>0.09</v>
      </c>
      <c r="J18" s="246">
        <v>57</v>
      </c>
      <c r="K18" s="246"/>
      <c r="L18" s="246">
        <v>0.3</v>
      </c>
      <c r="M18" s="246">
        <v>52.5</v>
      </c>
      <c r="N18" s="246">
        <v>25.5</v>
      </c>
      <c r="O18" s="246">
        <v>16.5</v>
      </c>
      <c r="P18" s="246">
        <v>0.15</v>
      </c>
    </row>
    <row r="19" spans="1:16" s="247" customFormat="1" x14ac:dyDescent="0.3">
      <c r="A19" s="291" t="s">
        <v>250</v>
      </c>
      <c r="B19" s="291"/>
      <c r="C19" s="250">
        <f>SUM(C16:C18)</f>
        <v>260</v>
      </c>
      <c r="D19" s="246">
        <f t="shared" si="2"/>
        <v>2.0252500000000002</v>
      </c>
      <c r="E19" s="251">
        <f>SUM(E16:E18)</f>
        <v>6.5360000000000005</v>
      </c>
      <c r="F19" s="251">
        <f t="shared" ref="F19:P19" si="3">SUM(F16:F18)</f>
        <v>6.0919999999999996</v>
      </c>
      <c r="G19" s="251">
        <f t="shared" si="3"/>
        <v>24.303000000000001</v>
      </c>
      <c r="H19" s="251">
        <f t="shared" si="3"/>
        <v>186.76400000000001</v>
      </c>
      <c r="I19" s="251">
        <f t="shared" si="3"/>
        <v>0.126</v>
      </c>
      <c r="J19" s="251">
        <f t="shared" si="3"/>
        <v>58.405999999999999</v>
      </c>
      <c r="K19" s="251">
        <f t="shared" si="3"/>
        <v>46.311999999999998</v>
      </c>
      <c r="L19" s="251">
        <f t="shared" si="3"/>
        <v>2.423</v>
      </c>
      <c r="M19" s="251">
        <f t="shared" si="3"/>
        <v>188.38800000000001</v>
      </c>
      <c r="N19" s="251">
        <f t="shared" si="3"/>
        <v>151.864</v>
      </c>
      <c r="O19" s="251">
        <f t="shared" si="3"/>
        <v>57.504000000000005</v>
      </c>
      <c r="P19" s="251">
        <f t="shared" si="3"/>
        <v>0.80200000000000005</v>
      </c>
    </row>
    <row r="20" spans="1:16" s="247" customFormat="1" x14ac:dyDescent="0.3">
      <c r="A20" s="290" t="s">
        <v>8</v>
      </c>
      <c r="B20" s="290"/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</row>
    <row r="21" spans="1:16" s="247" customFormat="1" x14ac:dyDescent="0.3">
      <c r="A21" s="248">
        <v>88</v>
      </c>
      <c r="B21" s="244" t="s">
        <v>140</v>
      </c>
      <c r="C21" s="245">
        <v>250</v>
      </c>
      <c r="D21" s="246">
        <f>G21/12</f>
        <v>0.80191666666666661</v>
      </c>
      <c r="E21" s="246">
        <v>1.9590000000000001</v>
      </c>
      <c r="F21" s="246">
        <v>5.2130000000000001</v>
      </c>
      <c r="G21" s="246">
        <v>9.6229999999999993</v>
      </c>
      <c r="H21" s="246">
        <v>94.245000000000005</v>
      </c>
      <c r="I21" s="246">
        <v>6.9000000000000006E-2</v>
      </c>
      <c r="J21" s="246">
        <v>32.4</v>
      </c>
      <c r="K21" s="246">
        <v>200</v>
      </c>
      <c r="L21" s="246">
        <v>2.37</v>
      </c>
      <c r="M21" s="246">
        <v>42.47</v>
      </c>
      <c r="N21" s="246">
        <v>50.03</v>
      </c>
      <c r="O21" s="246">
        <v>22.7</v>
      </c>
      <c r="P21" s="246">
        <v>0.86799999999999999</v>
      </c>
    </row>
    <row r="22" spans="1:16" s="247" customFormat="1" ht="27.6" x14ac:dyDescent="0.3">
      <c r="A22" s="253">
        <v>260</v>
      </c>
      <c r="B22" s="244" t="s">
        <v>301</v>
      </c>
      <c r="C22" s="245">
        <v>90</v>
      </c>
      <c r="D22" s="246">
        <f t="shared" ref="D22:D27" si="4">G22/12</f>
        <v>0.27733333333333332</v>
      </c>
      <c r="E22" s="246">
        <v>14.922000000000001</v>
      </c>
      <c r="F22" s="246">
        <v>9.1140000000000008</v>
      </c>
      <c r="G22" s="246">
        <v>3.3279999999999998</v>
      </c>
      <c r="H22" s="246">
        <v>155.49199999999999</v>
      </c>
      <c r="I22" s="246">
        <v>5.8000000000000003E-2</v>
      </c>
      <c r="J22" s="246">
        <v>4.05</v>
      </c>
      <c r="K22" s="246"/>
      <c r="L22" s="246">
        <v>1.252</v>
      </c>
      <c r="M22" s="246">
        <v>10.58</v>
      </c>
      <c r="N22" s="246">
        <v>143.5</v>
      </c>
      <c r="O22" s="246">
        <v>20.38</v>
      </c>
      <c r="P22" s="246">
        <v>2.15</v>
      </c>
    </row>
    <row r="23" spans="1:16" s="247" customFormat="1" x14ac:dyDescent="0.3">
      <c r="A23" s="252"/>
      <c r="B23" s="244" t="s">
        <v>383</v>
      </c>
      <c r="C23" s="245">
        <v>155</v>
      </c>
      <c r="D23" s="246">
        <f t="shared" si="4"/>
        <v>1.7898333333333334</v>
      </c>
      <c r="E23" s="246">
        <v>4.7649999999999997</v>
      </c>
      <c r="F23" s="246">
        <v>4.8630000000000004</v>
      </c>
      <c r="G23" s="246">
        <v>21.478000000000002</v>
      </c>
      <c r="H23" s="246">
        <v>148.54499999999999</v>
      </c>
      <c r="I23" s="246">
        <v>0.16200000000000001</v>
      </c>
      <c r="J23" s="246"/>
      <c r="K23" s="246">
        <v>20</v>
      </c>
      <c r="L23" s="246">
        <v>0.35</v>
      </c>
      <c r="M23" s="246">
        <v>9.8219999999999992</v>
      </c>
      <c r="N23" s="246">
        <v>113.479</v>
      </c>
      <c r="O23" s="246">
        <v>75.066999999999993</v>
      </c>
      <c r="P23" s="246">
        <v>2.5310000000000001</v>
      </c>
    </row>
    <row r="24" spans="1:16" s="247" customFormat="1" x14ac:dyDescent="0.3">
      <c r="A24" s="249">
        <v>342</v>
      </c>
      <c r="B24" s="244" t="s">
        <v>333</v>
      </c>
      <c r="C24" s="245">
        <v>200</v>
      </c>
      <c r="D24" s="246">
        <f t="shared" si="4"/>
        <v>0.48708333333333331</v>
      </c>
      <c r="E24" s="246">
        <v>0.48</v>
      </c>
      <c r="F24" s="246">
        <v>0.08</v>
      </c>
      <c r="G24" s="246">
        <v>5.8449999999999998</v>
      </c>
      <c r="H24" s="246">
        <v>26.8</v>
      </c>
      <c r="I24" s="246">
        <v>1.2E-2</v>
      </c>
      <c r="J24" s="246">
        <v>6</v>
      </c>
      <c r="K24" s="246"/>
      <c r="L24" s="246">
        <v>0.12</v>
      </c>
      <c r="M24" s="246">
        <v>14.8</v>
      </c>
      <c r="N24" s="246">
        <v>12</v>
      </c>
      <c r="O24" s="246">
        <v>10.4</v>
      </c>
      <c r="P24" s="246">
        <v>0.2</v>
      </c>
    </row>
    <row r="25" spans="1:16" s="247" customFormat="1" x14ac:dyDescent="0.3">
      <c r="A25" s="252"/>
      <c r="B25" s="244" t="s">
        <v>19</v>
      </c>
      <c r="C25" s="245">
        <v>50</v>
      </c>
      <c r="D25" s="246">
        <f t="shared" si="4"/>
        <v>1.425</v>
      </c>
      <c r="E25" s="246">
        <v>3.3</v>
      </c>
      <c r="F25" s="246">
        <v>0.6</v>
      </c>
      <c r="G25" s="246">
        <v>17.100000000000001</v>
      </c>
      <c r="H25" s="246">
        <v>87</v>
      </c>
      <c r="I25" s="246">
        <v>0.1</v>
      </c>
      <c r="J25" s="246"/>
      <c r="K25" s="246">
        <v>3</v>
      </c>
      <c r="L25" s="246">
        <v>1.1000000000000001</v>
      </c>
      <c r="M25" s="246">
        <v>17.5</v>
      </c>
      <c r="N25" s="246">
        <v>79</v>
      </c>
      <c r="O25" s="246">
        <v>23.5</v>
      </c>
      <c r="P25" s="246">
        <v>1.95</v>
      </c>
    </row>
    <row r="26" spans="1:16" s="247" customFormat="1" x14ac:dyDescent="0.3">
      <c r="A26" s="252"/>
      <c r="B26" s="244" t="s">
        <v>53</v>
      </c>
      <c r="C26" s="245">
        <v>200</v>
      </c>
      <c r="D26" s="246">
        <f t="shared" si="4"/>
        <v>1.6333333333333335</v>
      </c>
      <c r="E26" s="246">
        <v>0.8</v>
      </c>
      <c r="F26" s="246">
        <v>0.8</v>
      </c>
      <c r="G26" s="246">
        <v>19.600000000000001</v>
      </c>
      <c r="H26" s="246">
        <v>94</v>
      </c>
      <c r="I26" s="246">
        <v>0.06</v>
      </c>
      <c r="J26" s="246">
        <v>20</v>
      </c>
      <c r="K26" s="246">
        <v>10</v>
      </c>
      <c r="L26" s="246">
        <v>0.4</v>
      </c>
      <c r="M26" s="246">
        <v>32</v>
      </c>
      <c r="N26" s="246">
        <v>22</v>
      </c>
      <c r="O26" s="246">
        <v>18</v>
      </c>
      <c r="P26" s="246">
        <v>4.4000000000000004</v>
      </c>
    </row>
    <row r="27" spans="1:16" s="247" customFormat="1" x14ac:dyDescent="0.3">
      <c r="A27" s="291" t="s">
        <v>20</v>
      </c>
      <c r="B27" s="291"/>
      <c r="C27" s="250">
        <f>SUM(C21:C26)</f>
        <v>945</v>
      </c>
      <c r="D27" s="246">
        <f t="shared" si="4"/>
        <v>6.4145000000000003</v>
      </c>
      <c r="E27" s="251">
        <f>SUM(E21:E26)</f>
        <v>26.226000000000003</v>
      </c>
      <c r="F27" s="251">
        <f t="shared" ref="F27:P27" si="5">SUM(F21:F26)</f>
        <v>20.67</v>
      </c>
      <c r="G27" s="251">
        <f t="shared" si="5"/>
        <v>76.974000000000004</v>
      </c>
      <c r="H27" s="251">
        <f t="shared" si="5"/>
        <v>606.08199999999999</v>
      </c>
      <c r="I27" s="251">
        <f t="shared" si="5"/>
        <v>0.46100000000000002</v>
      </c>
      <c r="J27" s="251">
        <f t="shared" si="5"/>
        <v>62.449999999999996</v>
      </c>
      <c r="K27" s="251">
        <f t="shared" si="5"/>
        <v>233</v>
      </c>
      <c r="L27" s="251">
        <f t="shared" si="5"/>
        <v>5.5920000000000005</v>
      </c>
      <c r="M27" s="251">
        <f t="shared" si="5"/>
        <v>127.172</v>
      </c>
      <c r="N27" s="251">
        <f t="shared" si="5"/>
        <v>420.00900000000001</v>
      </c>
      <c r="O27" s="251">
        <f t="shared" si="5"/>
        <v>170.047</v>
      </c>
      <c r="P27" s="251">
        <f t="shared" si="5"/>
        <v>12.099</v>
      </c>
    </row>
    <row r="28" spans="1:16" s="247" customFormat="1" x14ac:dyDescent="0.3">
      <c r="A28" s="290" t="s">
        <v>43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</row>
    <row r="29" spans="1:16" s="247" customFormat="1" ht="27.6" x14ac:dyDescent="0.3">
      <c r="A29" s="252"/>
      <c r="B29" s="244" t="s">
        <v>332</v>
      </c>
      <c r="C29" s="245">
        <v>20</v>
      </c>
      <c r="D29" s="246">
        <f>G29/12</f>
        <v>0.64524999999999999</v>
      </c>
      <c r="E29" s="246">
        <v>1.6459999999999999</v>
      </c>
      <c r="F29" s="246">
        <v>4.4420000000000002</v>
      </c>
      <c r="G29" s="246">
        <v>7.7430000000000003</v>
      </c>
      <c r="H29" s="246">
        <v>78.463999999999999</v>
      </c>
      <c r="I29" s="246">
        <v>3.5999999999999997E-2</v>
      </c>
      <c r="J29" s="246">
        <v>0.86599999999999999</v>
      </c>
      <c r="K29" s="246">
        <v>37.311999999999998</v>
      </c>
      <c r="L29" s="246">
        <v>2.1230000000000002</v>
      </c>
      <c r="M29" s="246">
        <v>24.288</v>
      </c>
      <c r="N29" s="246">
        <v>40.863999999999997</v>
      </c>
      <c r="O29" s="246">
        <v>27.504000000000001</v>
      </c>
      <c r="P29" s="246">
        <v>0.56200000000000006</v>
      </c>
    </row>
    <row r="30" spans="1:16" s="247" customFormat="1" x14ac:dyDescent="0.3">
      <c r="A30" s="245"/>
      <c r="B30" s="244" t="s">
        <v>71</v>
      </c>
      <c r="C30" s="245">
        <v>90</v>
      </c>
      <c r="D30" s="246">
        <f t="shared" ref="D30:D33" si="6">G30/12</f>
        <v>0.44249999999999995</v>
      </c>
      <c r="E30" s="246">
        <v>3.69</v>
      </c>
      <c r="F30" s="246">
        <v>1.35</v>
      </c>
      <c r="G30" s="246">
        <v>5.31</v>
      </c>
      <c r="H30" s="246">
        <v>51.3</v>
      </c>
      <c r="I30" s="246"/>
      <c r="J30" s="246">
        <v>0.54</v>
      </c>
      <c r="K30" s="246">
        <v>9</v>
      </c>
      <c r="L30" s="246"/>
      <c r="M30" s="246">
        <v>111.6</v>
      </c>
      <c r="N30" s="246">
        <v>85.5</v>
      </c>
      <c r="O30" s="246">
        <v>13.5</v>
      </c>
      <c r="P30" s="246">
        <v>0.09</v>
      </c>
    </row>
    <row r="31" spans="1:16" s="247" customFormat="1" x14ac:dyDescent="0.3">
      <c r="A31" s="245"/>
      <c r="B31" s="244" t="s">
        <v>50</v>
      </c>
      <c r="C31" s="245">
        <v>150</v>
      </c>
      <c r="D31" s="246">
        <f t="shared" si="6"/>
        <v>0.9375</v>
      </c>
      <c r="E31" s="246">
        <v>1.2</v>
      </c>
      <c r="F31" s="246">
        <v>0.3</v>
      </c>
      <c r="G31" s="246">
        <v>11.25</v>
      </c>
      <c r="H31" s="246">
        <v>57</v>
      </c>
      <c r="I31" s="246">
        <v>0.09</v>
      </c>
      <c r="J31" s="246">
        <v>57</v>
      </c>
      <c r="K31" s="246"/>
      <c r="L31" s="246">
        <v>0.3</v>
      </c>
      <c r="M31" s="246">
        <v>52.5</v>
      </c>
      <c r="N31" s="246">
        <v>25.5</v>
      </c>
      <c r="O31" s="246">
        <v>16.5</v>
      </c>
      <c r="P31" s="246">
        <v>0.15</v>
      </c>
    </row>
    <row r="32" spans="1:16" s="247" customFormat="1" x14ac:dyDescent="0.3">
      <c r="A32" s="291" t="s">
        <v>44</v>
      </c>
      <c r="B32" s="291"/>
      <c r="C32" s="250">
        <f>SUM(C29:C31)</f>
        <v>260</v>
      </c>
      <c r="D32" s="246">
        <f t="shared" si="6"/>
        <v>2.0252500000000002</v>
      </c>
      <c r="E32" s="251">
        <f>SUM(E29:E31)</f>
        <v>6.5360000000000005</v>
      </c>
      <c r="F32" s="251">
        <f t="shared" ref="F32:P32" si="7">SUM(F29:F31)</f>
        <v>6.0919999999999996</v>
      </c>
      <c r="G32" s="251">
        <f t="shared" si="7"/>
        <v>24.303000000000001</v>
      </c>
      <c r="H32" s="251">
        <f t="shared" si="7"/>
        <v>186.76400000000001</v>
      </c>
      <c r="I32" s="251">
        <f t="shared" si="7"/>
        <v>0.126</v>
      </c>
      <c r="J32" s="251">
        <f t="shared" si="7"/>
        <v>58.405999999999999</v>
      </c>
      <c r="K32" s="251">
        <f t="shared" si="7"/>
        <v>46.311999999999998</v>
      </c>
      <c r="L32" s="251">
        <f t="shared" si="7"/>
        <v>2.423</v>
      </c>
      <c r="M32" s="251">
        <f t="shared" si="7"/>
        <v>188.38800000000001</v>
      </c>
      <c r="N32" s="251">
        <f t="shared" si="7"/>
        <v>151.864</v>
      </c>
      <c r="O32" s="251">
        <f t="shared" si="7"/>
        <v>57.504000000000005</v>
      </c>
      <c r="P32" s="251">
        <f t="shared" si="7"/>
        <v>0.80200000000000005</v>
      </c>
    </row>
    <row r="33" spans="1:16" s="247" customFormat="1" x14ac:dyDescent="0.3">
      <c r="A33" s="292" t="s">
        <v>251</v>
      </c>
      <c r="B33" s="292"/>
      <c r="C33" s="254">
        <f>C14+C19+C27+C32</f>
        <v>2035</v>
      </c>
      <c r="D33" s="246">
        <f t="shared" si="6"/>
        <v>15.325166666666666</v>
      </c>
      <c r="E33" s="255">
        <f t="shared" ref="E33:P33" si="8">E14+E19+E27+E32</f>
        <v>64.358000000000004</v>
      </c>
      <c r="F33" s="255">
        <f t="shared" si="8"/>
        <v>51.024999999999999</v>
      </c>
      <c r="G33" s="255">
        <f t="shared" si="8"/>
        <v>183.90199999999999</v>
      </c>
      <c r="H33" s="255">
        <f t="shared" si="8"/>
        <v>1481.7750000000001</v>
      </c>
      <c r="I33" s="255">
        <f t="shared" si="8"/>
        <v>1.0699999999999998</v>
      </c>
      <c r="J33" s="255">
        <f t="shared" si="8"/>
        <v>190.78200000000001</v>
      </c>
      <c r="K33" s="255">
        <f t="shared" si="8"/>
        <v>400.14400000000001</v>
      </c>
      <c r="L33" s="255">
        <f t="shared" si="8"/>
        <v>12.078000000000001</v>
      </c>
      <c r="M33" s="255">
        <f t="shared" si="8"/>
        <v>944.05700000000013</v>
      </c>
      <c r="N33" s="255">
        <f t="shared" si="8"/>
        <v>1285.998</v>
      </c>
      <c r="O33" s="255">
        <f t="shared" si="8"/>
        <v>455.28800000000001</v>
      </c>
      <c r="P33" s="255">
        <f t="shared" si="8"/>
        <v>22.276</v>
      </c>
    </row>
    <row r="34" spans="1:16" s="247" customFormat="1" x14ac:dyDescent="0.3">
      <c r="A34" s="293" t="s">
        <v>30</v>
      </c>
      <c r="B34" s="293"/>
      <c r="C34" s="293"/>
      <c r="D34" s="293"/>
      <c r="E34" s="293"/>
      <c r="F34" s="293"/>
      <c r="G34" s="293"/>
      <c r="H34" s="293"/>
      <c r="I34" s="287"/>
      <c r="J34" s="287"/>
      <c r="K34" s="287"/>
      <c r="L34" s="287"/>
      <c r="M34" s="287"/>
      <c r="N34" s="287"/>
      <c r="O34" s="287"/>
      <c r="P34" s="287"/>
    </row>
    <row r="35" spans="1:16" s="247" customFormat="1" x14ac:dyDescent="0.3">
      <c r="A35" s="300" t="s">
        <v>33</v>
      </c>
      <c r="B35" s="300" t="s">
        <v>32</v>
      </c>
      <c r="C35" s="300" t="s">
        <v>0</v>
      </c>
      <c r="D35" s="299"/>
      <c r="E35" s="299" t="s">
        <v>1</v>
      </c>
      <c r="F35" s="299"/>
      <c r="G35" s="299"/>
      <c r="H35" s="299" t="s">
        <v>31</v>
      </c>
      <c r="I35" s="299" t="s">
        <v>9</v>
      </c>
      <c r="J35" s="299"/>
      <c r="K35" s="299"/>
      <c r="L35" s="299"/>
      <c r="M35" s="299" t="s">
        <v>10</v>
      </c>
      <c r="N35" s="299"/>
      <c r="O35" s="299"/>
      <c r="P35" s="299"/>
    </row>
    <row r="36" spans="1:16" s="247" customFormat="1" x14ac:dyDescent="0.3">
      <c r="A36" s="300"/>
      <c r="B36" s="300"/>
      <c r="C36" s="300"/>
      <c r="D36" s="299"/>
      <c r="E36" s="256" t="s">
        <v>2</v>
      </c>
      <c r="F36" s="256" t="s">
        <v>3</v>
      </c>
      <c r="G36" s="256" t="s">
        <v>4</v>
      </c>
      <c r="H36" s="299"/>
      <c r="I36" s="256" t="s">
        <v>11</v>
      </c>
      <c r="J36" s="256" t="s">
        <v>12</v>
      </c>
      <c r="K36" s="256" t="s">
        <v>13</v>
      </c>
      <c r="L36" s="256" t="s">
        <v>14</v>
      </c>
      <c r="M36" s="256" t="s">
        <v>15</v>
      </c>
      <c r="N36" s="256" t="s">
        <v>16</v>
      </c>
      <c r="O36" s="256" t="s">
        <v>17</v>
      </c>
      <c r="P36" s="256" t="s">
        <v>18</v>
      </c>
    </row>
    <row r="37" spans="1:16" s="247" customFormat="1" x14ac:dyDescent="0.3">
      <c r="A37" s="290" t="s">
        <v>21</v>
      </c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</row>
    <row r="38" spans="1:16" s="247" customFormat="1" x14ac:dyDescent="0.3">
      <c r="A38" s="248">
        <v>71</v>
      </c>
      <c r="B38" s="244" t="s">
        <v>334</v>
      </c>
      <c r="C38" s="245">
        <v>60</v>
      </c>
      <c r="D38" s="246">
        <f>G38/12</f>
        <v>9.4999999999999987E-2</v>
      </c>
      <c r="E38" s="246">
        <v>0.42</v>
      </c>
      <c r="F38" s="246">
        <v>0.06</v>
      </c>
      <c r="G38" s="246">
        <v>1.1399999999999999</v>
      </c>
      <c r="H38" s="246">
        <v>6.6</v>
      </c>
      <c r="I38" s="246">
        <v>1.7999999999999999E-2</v>
      </c>
      <c r="J38" s="246">
        <v>4.2</v>
      </c>
      <c r="K38" s="246"/>
      <c r="L38" s="246">
        <v>0.06</v>
      </c>
      <c r="M38" s="246">
        <v>10.199999999999999</v>
      </c>
      <c r="N38" s="246">
        <v>18</v>
      </c>
      <c r="O38" s="246">
        <v>8.4</v>
      </c>
      <c r="P38" s="246">
        <v>0.3</v>
      </c>
    </row>
    <row r="39" spans="1:16" s="247" customFormat="1" x14ac:dyDescent="0.3">
      <c r="A39" s="249">
        <v>259</v>
      </c>
      <c r="B39" s="244" t="s">
        <v>335</v>
      </c>
      <c r="C39" s="245">
        <v>175</v>
      </c>
      <c r="D39" s="246">
        <f t="shared" ref="D39:D43" si="9">G39/12</f>
        <v>1.5216666666666667</v>
      </c>
      <c r="E39" s="246">
        <v>18.228000000000002</v>
      </c>
      <c r="F39" s="246">
        <v>12.157999999999999</v>
      </c>
      <c r="G39" s="246">
        <v>18.260000000000002</v>
      </c>
      <c r="H39" s="246">
        <v>255.904</v>
      </c>
      <c r="I39" s="246">
        <v>0.18099999999999999</v>
      </c>
      <c r="J39" s="246">
        <v>23.7</v>
      </c>
      <c r="K39" s="246"/>
      <c r="L39" s="246">
        <v>2.2559999999999998</v>
      </c>
      <c r="M39" s="246">
        <v>25.085999999999999</v>
      </c>
      <c r="N39" s="246">
        <v>217.22900000000001</v>
      </c>
      <c r="O39" s="246">
        <v>45</v>
      </c>
      <c r="P39" s="246">
        <v>3.28</v>
      </c>
    </row>
    <row r="40" spans="1:16" s="247" customFormat="1" ht="27.6" x14ac:dyDescent="0.3">
      <c r="A40" s="252"/>
      <c r="B40" s="244" t="s">
        <v>336</v>
      </c>
      <c r="C40" s="245">
        <v>200</v>
      </c>
      <c r="D40" s="246">
        <f t="shared" si="9"/>
        <v>0.32708333333333334</v>
      </c>
      <c r="E40" s="246">
        <v>0.16</v>
      </c>
      <c r="F40" s="246">
        <v>0.16</v>
      </c>
      <c r="G40" s="246">
        <v>3.9249999999999998</v>
      </c>
      <c r="H40" s="246">
        <v>18.800999999999998</v>
      </c>
      <c r="I40" s="246">
        <v>1.2E-2</v>
      </c>
      <c r="J40" s="246">
        <v>4.01</v>
      </c>
      <c r="K40" s="246">
        <v>2</v>
      </c>
      <c r="L40" s="246">
        <v>0.08</v>
      </c>
      <c r="M40" s="246">
        <v>6.8949999999999996</v>
      </c>
      <c r="N40" s="246">
        <v>5.2240000000000002</v>
      </c>
      <c r="O40" s="246">
        <v>4.04</v>
      </c>
      <c r="P40" s="246">
        <v>0.96199999999999997</v>
      </c>
    </row>
    <row r="41" spans="1:16" s="247" customFormat="1" x14ac:dyDescent="0.3">
      <c r="A41" s="252"/>
      <c r="B41" s="244" t="s">
        <v>337</v>
      </c>
      <c r="C41" s="245">
        <v>200</v>
      </c>
      <c r="D41" s="246">
        <f t="shared" si="9"/>
        <v>0.66666666666666663</v>
      </c>
      <c r="E41" s="246">
        <v>5.8</v>
      </c>
      <c r="F41" s="246">
        <v>5</v>
      </c>
      <c r="G41" s="246">
        <v>8</v>
      </c>
      <c r="H41" s="246">
        <v>106</v>
      </c>
      <c r="I41" s="246">
        <v>0.08</v>
      </c>
      <c r="J41" s="246">
        <v>1.4</v>
      </c>
      <c r="K41" s="246">
        <v>40</v>
      </c>
      <c r="L41" s="246"/>
      <c r="M41" s="246">
        <v>240</v>
      </c>
      <c r="N41" s="246">
        <v>180</v>
      </c>
      <c r="O41" s="246">
        <v>28</v>
      </c>
      <c r="P41" s="246">
        <v>0.2</v>
      </c>
    </row>
    <row r="42" spans="1:16" s="247" customFormat="1" x14ac:dyDescent="0.3">
      <c r="A42" s="252"/>
      <c r="B42" s="244" t="s">
        <v>19</v>
      </c>
      <c r="C42" s="245">
        <v>40</v>
      </c>
      <c r="D42" s="246">
        <f t="shared" si="9"/>
        <v>1.1399999999999999</v>
      </c>
      <c r="E42" s="246">
        <v>2.64</v>
      </c>
      <c r="F42" s="246">
        <v>0.48</v>
      </c>
      <c r="G42" s="246">
        <v>13.68</v>
      </c>
      <c r="H42" s="246">
        <v>69.599999999999994</v>
      </c>
      <c r="I42" s="246">
        <v>0.08</v>
      </c>
      <c r="J42" s="246"/>
      <c r="K42" s="246">
        <v>2.4</v>
      </c>
      <c r="L42" s="246">
        <v>0.88</v>
      </c>
      <c r="M42" s="246">
        <v>14</v>
      </c>
      <c r="N42" s="246">
        <v>63.2</v>
      </c>
      <c r="O42" s="246">
        <v>18.8</v>
      </c>
      <c r="P42" s="246">
        <v>1.56</v>
      </c>
    </row>
    <row r="43" spans="1:16" s="247" customFormat="1" x14ac:dyDescent="0.3">
      <c r="A43" s="291" t="s">
        <v>248</v>
      </c>
      <c r="B43" s="291"/>
      <c r="C43" s="250">
        <f>SUM(C38:C42)</f>
        <v>675</v>
      </c>
      <c r="D43" s="246">
        <f t="shared" si="9"/>
        <v>3.7504166666666667</v>
      </c>
      <c r="E43" s="251">
        <f>SUM(E38:E42)</f>
        <v>27.248000000000005</v>
      </c>
      <c r="F43" s="251">
        <f t="shared" ref="F43:P43" si="10">SUM(F38:F42)</f>
        <v>17.858000000000001</v>
      </c>
      <c r="G43" s="251">
        <f t="shared" si="10"/>
        <v>45.005000000000003</v>
      </c>
      <c r="H43" s="251">
        <f t="shared" si="10"/>
        <v>456.90499999999997</v>
      </c>
      <c r="I43" s="251">
        <f t="shared" si="10"/>
        <v>0.371</v>
      </c>
      <c r="J43" s="251">
        <f t="shared" si="10"/>
        <v>33.309999999999995</v>
      </c>
      <c r="K43" s="251">
        <f t="shared" si="10"/>
        <v>44.4</v>
      </c>
      <c r="L43" s="251">
        <f t="shared" si="10"/>
        <v>3.2759999999999998</v>
      </c>
      <c r="M43" s="251">
        <f t="shared" si="10"/>
        <v>296.18099999999998</v>
      </c>
      <c r="N43" s="251">
        <f t="shared" si="10"/>
        <v>483.65299999999996</v>
      </c>
      <c r="O43" s="251">
        <f t="shared" si="10"/>
        <v>104.24</v>
      </c>
      <c r="P43" s="251">
        <f t="shared" si="10"/>
        <v>6.3019999999999996</v>
      </c>
    </row>
    <row r="44" spans="1:16" s="247" customFormat="1" x14ac:dyDescent="0.3">
      <c r="A44" s="290" t="s">
        <v>249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</row>
    <row r="45" spans="1:16" s="247" customFormat="1" ht="27.6" x14ac:dyDescent="0.3">
      <c r="A45" s="252"/>
      <c r="B45" s="244" t="s">
        <v>332</v>
      </c>
      <c r="C45" s="245">
        <v>20</v>
      </c>
      <c r="D45" s="246">
        <f>G45/12</f>
        <v>0.64524999999999999</v>
      </c>
      <c r="E45" s="246">
        <v>1.6459999999999999</v>
      </c>
      <c r="F45" s="246">
        <v>4.4420000000000002</v>
      </c>
      <c r="G45" s="246">
        <v>7.7430000000000003</v>
      </c>
      <c r="H45" s="246">
        <v>78.463999999999999</v>
      </c>
      <c r="I45" s="246">
        <v>3.5999999999999997E-2</v>
      </c>
      <c r="J45" s="246">
        <v>0.86599999999999999</v>
      </c>
      <c r="K45" s="246">
        <v>37.311999999999998</v>
      </c>
      <c r="L45" s="246">
        <v>2.1230000000000002</v>
      </c>
      <c r="M45" s="246">
        <v>24.288</v>
      </c>
      <c r="N45" s="246">
        <v>40.863999999999997</v>
      </c>
      <c r="O45" s="246">
        <v>27.504000000000001</v>
      </c>
      <c r="P45" s="246">
        <v>0.56200000000000006</v>
      </c>
    </row>
    <row r="46" spans="1:16" s="247" customFormat="1" x14ac:dyDescent="0.3">
      <c r="A46" s="245"/>
      <c r="B46" s="244" t="s">
        <v>71</v>
      </c>
      <c r="C46" s="245">
        <v>90</v>
      </c>
      <c r="D46" s="246">
        <f t="shared" ref="D46:D48" si="11">G46/12</f>
        <v>0.44249999999999995</v>
      </c>
      <c r="E46" s="246">
        <v>3.69</v>
      </c>
      <c r="F46" s="246">
        <v>1.35</v>
      </c>
      <c r="G46" s="246">
        <v>5.31</v>
      </c>
      <c r="H46" s="246">
        <v>51.3</v>
      </c>
      <c r="I46" s="246"/>
      <c r="J46" s="246">
        <v>0.54</v>
      </c>
      <c r="K46" s="246">
        <v>9</v>
      </c>
      <c r="L46" s="246"/>
      <c r="M46" s="246">
        <v>111.6</v>
      </c>
      <c r="N46" s="246">
        <v>85.5</v>
      </c>
      <c r="O46" s="246">
        <v>13.5</v>
      </c>
      <c r="P46" s="246">
        <v>0.09</v>
      </c>
    </row>
    <row r="47" spans="1:16" s="247" customFormat="1" x14ac:dyDescent="0.3">
      <c r="A47" s="245"/>
      <c r="B47" s="244" t="s">
        <v>53</v>
      </c>
      <c r="C47" s="245">
        <v>150</v>
      </c>
      <c r="D47" s="246">
        <f t="shared" si="11"/>
        <v>1.2249999999999999</v>
      </c>
      <c r="E47" s="246">
        <v>0.6</v>
      </c>
      <c r="F47" s="246">
        <v>0.6</v>
      </c>
      <c r="G47" s="246">
        <v>14.7</v>
      </c>
      <c r="H47" s="246">
        <v>70.5</v>
      </c>
      <c r="I47" s="246">
        <v>4.4999999999999998E-2</v>
      </c>
      <c r="J47" s="246">
        <v>15</v>
      </c>
      <c r="K47" s="246">
        <v>7.5</v>
      </c>
      <c r="L47" s="246">
        <v>0.3</v>
      </c>
      <c r="M47" s="246">
        <v>24</v>
      </c>
      <c r="N47" s="246">
        <v>16.5</v>
      </c>
      <c r="O47" s="246">
        <v>13.5</v>
      </c>
      <c r="P47" s="246">
        <v>3.3</v>
      </c>
    </row>
    <row r="48" spans="1:16" s="247" customFormat="1" x14ac:dyDescent="0.3">
      <c r="A48" s="291" t="s">
        <v>250</v>
      </c>
      <c r="B48" s="291"/>
      <c r="C48" s="250">
        <f>SUM(C45:C47)</f>
        <v>260</v>
      </c>
      <c r="D48" s="246">
        <f t="shared" si="11"/>
        <v>2.3127499999999999</v>
      </c>
      <c r="E48" s="251">
        <f>SUM(E45:E47)</f>
        <v>5.9359999999999999</v>
      </c>
      <c r="F48" s="251">
        <f t="shared" ref="F48:P48" si="12">SUM(F45:F47)</f>
        <v>6.3919999999999995</v>
      </c>
      <c r="G48" s="251">
        <f t="shared" si="12"/>
        <v>27.753</v>
      </c>
      <c r="H48" s="251">
        <f t="shared" si="12"/>
        <v>200.26400000000001</v>
      </c>
      <c r="I48" s="251">
        <f t="shared" si="12"/>
        <v>8.0999999999999989E-2</v>
      </c>
      <c r="J48" s="251">
        <f t="shared" si="12"/>
        <v>16.405999999999999</v>
      </c>
      <c r="K48" s="251">
        <f t="shared" si="12"/>
        <v>53.811999999999998</v>
      </c>
      <c r="L48" s="251">
        <f t="shared" si="12"/>
        <v>2.423</v>
      </c>
      <c r="M48" s="251">
        <f t="shared" si="12"/>
        <v>159.88800000000001</v>
      </c>
      <c r="N48" s="251">
        <f t="shared" si="12"/>
        <v>142.864</v>
      </c>
      <c r="O48" s="251">
        <f t="shared" si="12"/>
        <v>54.504000000000005</v>
      </c>
      <c r="P48" s="251">
        <f t="shared" si="12"/>
        <v>3.952</v>
      </c>
    </row>
    <row r="49" spans="1:16" s="247" customFormat="1" x14ac:dyDescent="0.3">
      <c r="A49" s="290" t="s">
        <v>8</v>
      </c>
      <c r="B49" s="290"/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</row>
    <row r="50" spans="1:16" s="247" customFormat="1" x14ac:dyDescent="0.3">
      <c r="A50" s="248">
        <v>71</v>
      </c>
      <c r="B50" s="244" t="s">
        <v>338</v>
      </c>
      <c r="C50" s="245">
        <v>60</v>
      </c>
      <c r="D50" s="246">
        <f>G50/12</f>
        <v>9.4999999999999987E-2</v>
      </c>
      <c r="E50" s="246">
        <v>0.42</v>
      </c>
      <c r="F50" s="246">
        <v>0.06</v>
      </c>
      <c r="G50" s="246">
        <v>1.1399999999999999</v>
      </c>
      <c r="H50" s="246">
        <v>6.6</v>
      </c>
      <c r="I50" s="246">
        <v>1.7999999999999999E-2</v>
      </c>
      <c r="J50" s="246">
        <v>4.2</v>
      </c>
      <c r="K50" s="246"/>
      <c r="L50" s="246">
        <v>0.06</v>
      </c>
      <c r="M50" s="246">
        <v>10.199999999999999</v>
      </c>
      <c r="N50" s="246">
        <v>18</v>
      </c>
      <c r="O50" s="246">
        <v>8.4</v>
      </c>
      <c r="P50" s="246">
        <v>0.3</v>
      </c>
    </row>
    <row r="51" spans="1:16" s="247" customFormat="1" x14ac:dyDescent="0.3">
      <c r="A51" s="249">
        <v>98</v>
      </c>
      <c r="B51" s="244" t="s">
        <v>339</v>
      </c>
      <c r="C51" s="245">
        <v>250</v>
      </c>
      <c r="D51" s="246">
        <f t="shared" ref="D51:D57" si="13">G51/12</f>
        <v>1.1404166666666666</v>
      </c>
      <c r="E51" s="246">
        <v>2.2400000000000002</v>
      </c>
      <c r="F51" s="246">
        <v>3.2669999999999999</v>
      </c>
      <c r="G51" s="246">
        <v>13.685</v>
      </c>
      <c r="H51" s="246">
        <v>93.722999999999999</v>
      </c>
      <c r="I51" s="246">
        <v>6.2E-2</v>
      </c>
      <c r="J51" s="246">
        <v>20</v>
      </c>
      <c r="K51" s="246">
        <v>200</v>
      </c>
      <c r="L51" s="246">
        <v>1.5449999999999999</v>
      </c>
      <c r="M51" s="246">
        <v>30.18</v>
      </c>
      <c r="N51" s="246">
        <v>68.209999999999994</v>
      </c>
      <c r="O51" s="246">
        <v>19.97</v>
      </c>
      <c r="P51" s="246">
        <v>0.76400000000000001</v>
      </c>
    </row>
    <row r="52" spans="1:16" s="247" customFormat="1" x14ac:dyDescent="0.3">
      <c r="A52" s="248">
        <v>227</v>
      </c>
      <c r="B52" s="244" t="s">
        <v>340</v>
      </c>
      <c r="C52" s="245">
        <v>90</v>
      </c>
      <c r="D52" s="246">
        <f t="shared" si="13"/>
        <v>6.1499999999999999E-2</v>
      </c>
      <c r="E52" s="246">
        <v>22.881</v>
      </c>
      <c r="F52" s="246">
        <v>7.2329999999999997</v>
      </c>
      <c r="G52" s="246">
        <v>0.73799999999999999</v>
      </c>
      <c r="H52" s="246">
        <v>159.09</v>
      </c>
      <c r="I52" s="246">
        <v>0.22700000000000001</v>
      </c>
      <c r="J52" s="246">
        <v>1.899</v>
      </c>
      <c r="K52" s="246">
        <v>33.299999999999997</v>
      </c>
      <c r="L52" s="246">
        <v>1.6830000000000001</v>
      </c>
      <c r="M52" s="246">
        <v>24.99</v>
      </c>
      <c r="N52" s="246">
        <v>227.22</v>
      </c>
      <c r="O52" s="246">
        <v>34.56</v>
      </c>
      <c r="P52" s="246">
        <v>0.73799999999999999</v>
      </c>
    </row>
    <row r="53" spans="1:16" s="247" customFormat="1" x14ac:dyDescent="0.3">
      <c r="A53" s="249" t="s">
        <v>382</v>
      </c>
      <c r="B53" s="244" t="s">
        <v>378</v>
      </c>
      <c r="C53" s="245">
        <v>150</v>
      </c>
      <c r="D53" s="246">
        <f t="shared" si="13"/>
        <v>0.97549999999999992</v>
      </c>
      <c r="E53" s="246">
        <v>3.8929999999999998</v>
      </c>
      <c r="F53" s="246">
        <v>6.32</v>
      </c>
      <c r="G53" s="246">
        <v>11.706</v>
      </c>
      <c r="H53" s="246">
        <v>121.916</v>
      </c>
      <c r="I53" s="246">
        <v>7.0000000000000007E-2</v>
      </c>
      <c r="J53" s="246">
        <v>81.75</v>
      </c>
      <c r="K53" s="246">
        <v>60</v>
      </c>
      <c r="L53" s="246">
        <v>2.9249999999999998</v>
      </c>
      <c r="M53" s="246">
        <v>86.55</v>
      </c>
      <c r="N53" s="246">
        <v>64.38</v>
      </c>
      <c r="O53" s="246">
        <v>33.840000000000003</v>
      </c>
      <c r="P53" s="246">
        <v>1.302</v>
      </c>
    </row>
    <row r="54" spans="1:16" s="247" customFormat="1" ht="27.6" x14ac:dyDescent="0.3">
      <c r="A54" s="249">
        <v>349</v>
      </c>
      <c r="B54" s="244" t="s">
        <v>363</v>
      </c>
      <c r="C54" s="245">
        <v>200</v>
      </c>
      <c r="D54" s="246">
        <f t="shared" si="13"/>
        <v>0.84541666666666659</v>
      </c>
      <c r="E54" s="246">
        <v>0.78</v>
      </c>
      <c r="F54" s="246">
        <v>0.06</v>
      </c>
      <c r="G54" s="246">
        <v>10.145</v>
      </c>
      <c r="H54" s="246">
        <v>45.4</v>
      </c>
      <c r="I54" s="246">
        <v>0.02</v>
      </c>
      <c r="J54" s="246">
        <v>0.8</v>
      </c>
      <c r="K54" s="246"/>
      <c r="L54" s="246">
        <v>1.1000000000000001</v>
      </c>
      <c r="M54" s="246">
        <v>32</v>
      </c>
      <c r="N54" s="246">
        <v>29.2</v>
      </c>
      <c r="O54" s="246">
        <v>21</v>
      </c>
      <c r="P54" s="246">
        <v>0.64</v>
      </c>
    </row>
    <row r="55" spans="1:16" s="247" customFormat="1" x14ac:dyDescent="0.3">
      <c r="A55" s="252"/>
      <c r="B55" s="244" t="s">
        <v>19</v>
      </c>
      <c r="C55" s="245">
        <v>50</v>
      </c>
      <c r="D55" s="246">
        <f t="shared" si="13"/>
        <v>1.425</v>
      </c>
      <c r="E55" s="246">
        <v>3.3</v>
      </c>
      <c r="F55" s="246">
        <v>0.6</v>
      </c>
      <c r="G55" s="246">
        <v>17.100000000000001</v>
      </c>
      <c r="H55" s="246">
        <v>87</v>
      </c>
      <c r="I55" s="246">
        <v>0.1</v>
      </c>
      <c r="J55" s="246"/>
      <c r="K55" s="246">
        <v>3</v>
      </c>
      <c r="L55" s="246">
        <v>1.1000000000000001</v>
      </c>
      <c r="M55" s="246">
        <v>17.5</v>
      </c>
      <c r="N55" s="246">
        <v>79</v>
      </c>
      <c r="O55" s="246">
        <v>23.5</v>
      </c>
      <c r="P55" s="246">
        <v>1.95</v>
      </c>
    </row>
    <row r="56" spans="1:16" s="247" customFormat="1" ht="12" hidden="1" customHeight="1" x14ac:dyDescent="0.3">
      <c r="A56" s="252"/>
      <c r="B56" s="244"/>
      <c r="C56" s="245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</row>
    <row r="57" spans="1:16" s="247" customFormat="1" x14ac:dyDescent="0.3">
      <c r="A57" s="291" t="s">
        <v>20</v>
      </c>
      <c r="B57" s="291"/>
      <c r="C57" s="250">
        <f>SUM(C50:C56)</f>
        <v>800</v>
      </c>
      <c r="D57" s="246">
        <f t="shared" si="13"/>
        <v>4.5428333333333333</v>
      </c>
      <c r="E57" s="251">
        <f>SUM(E50:E56)</f>
        <v>33.514000000000003</v>
      </c>
      <c r="F57" s="251">
        <f t="shared" ref="F57:P57" si="14">SUM(F50:F56)</f>
        <v>17.54</v>
      </c>
      <c r="G57" s="251">
        <f t="shared" si="14"/>
        <v>54.514000000000003</v>
      </c>
      <c r="H57" s="251">
        <f t="shared" si="14"/>
        <v>513.72900000000004</v>
      </c>
      <c r="I57" s="251">
        <f t="shared" si="14"/>
        <v>0.497</v>
      </c>
      <c r="J57" s="251">
        <f t="shared" si="14"/>
        <v>108.649</v>
      </c>
      <c r="K57" s="251">
        <f t="shared" si="14"/>
        <v>296.3</v>
      </c>
      <c r="L57" s="251">
        <f t="shared" si="14"/>
        <v>8.4130000000000003</v>
      </c>
      <c r="M57" s="251">
        <f t="shared" si="14"/>
        <v>201.42</v>
      </c>
      <c r="N57" s="251">
        <f t="shared" si="14"/>
        <v>486.01</v>
      </c>
      <c r="O57" s="251">
        <f t="shared" si="14"/>
        <v>141.27000000000001</v>
      </c>
      <c r="P57" s="251">
        <f t="shared" si="14"/>
        <v>5.694</v>
      </c>
    </row>
    <row r="58" spans="1:16" s="247" customFormat="1" x14ac:dyDescent="0.3">
      <c r="A58" s="290" t="s">
        <v>43</v>
      </c>
      <c r="B58" s="290"/>
      <c r="C58" s="290"/>
      <c r="D58" s="290"/>
      <c r="E58" s="290"/>
      <c r="F58" s="290"/>
      <c r="G58" s="290"/>
      <c r="H58" s="290"/>
      <c r="I58" s="290"/>
      <c r="J58" s="290"/>
      <c r="K58" s="290"/>
      <c r="L58" s="290"/>
      <c r="M58" s="290"/>
      <c r="N58" s="290"/>
      <c r="O58" s="290"/>
      <c r="P58" s="290"/>
    </row>
    <row r="59" spans="1:16" s="247" customFormat="1" ht="27.6" x14ac:dyDescent="0.3">
      <c r="A59" s="252"/>
      <c r="B59" s="244" t="s">
        <v>332</v>
      </c>
      <c r="C59" s="245">
        <v>20</v>
      </c>
      <c r="D59" s="246">
        <f>G59/12</f>
        <v>0.64524999999999999</v>
      </c>
      <c r="E59" s="246">
        <v>1.6459999999999999</v>
      </c>
      <c r="F59" s="246">
        <v>4.4420000000000002</v>
      </c>
      <c r="G59" s="246">
        <v>7.7430000000000003</v>
      </c>
      <c r="H59" s="246">
        <v>78.463999999999999</v>
      </c>
      <c r="I59" s="246">
        <v>3.5999999999999997E-2</v>
      </c>
      <c r="J59" s="246">
        <v>0.86599999999999999</v>
      </c>
      <c r="K59" s="246">
        <v>37.311999999999998</v>
      </c>
      <c r="L59" s="246">
        <v>2.1230000000000002</v>
      </c>
      <c r="M59" s="246">
        <v>24.288</v>
      </c>
      <c r="N59" s="246">
        <v>40.863999999999997</v>
      </c>
      <c r="O59" s="246">
        <v>27.504000000000001</v>
      </c>
      <c r="P59" s="246">
        <v>0.56200000000000006</v>
      </c>
    </row>
    <row r="60" spans="1:16" s="247" customFormat="1" x14ac:dyDescent="0.3">
      <c r="A60" s="245"/>
      <c r="B60" s="244" t="s">
        <v>71</v>
      </c>
      <c r="C60" s="245">
        <v>90</v>
      </c>
      <c r="D60" s="246">
        <f t="shared" ref="D60:D62" si="15">G60/12</f>
        <v>0.44249999999999995</v>
      </c>
      <c r="E60" s="246">
        <v>3.69</v>
      </c>
      <c r="F60" s="246">
        <v>1.35</v>
      </c>
      <c r="G60" s="246">
        <v>5.31</v>
      </c>
      <c r="H60" s="246">
        <v>51.3</v>
      </c>
      <c r="I60" s="246"/>
      <c r="J60" s="246">
        <v>0.54</v>
      </c>
      <c r="K60" s="246">
        <v>9</v>
      </c>
      <c r="L60" s="246"/>
      <c r="M60" s="246">
        <v>111.6</v>
      </c>
      <c r="N60" s="246">
        <v>85.5</v>
      </c>
      <c r="O60" s="246">
        <v>13.5</v>
      </c>
      <c r="P60" s="246">
        <v>0.09</v>
      </c>
    </row>
    <row r="61" spans="1:16" s="247" customFormat="1" x14ac:dyDescent="0.3">
      <c r="A61" s="245"/>
      <c r="B61" s="244" t="s">
        <v>53</v>
      </c>
      <c r="C61" s="245">
        <v>150</v>
      </c>
      <c r="D61" s="246">
        <f t="shared" si="15"/>
        <v>1.2249999999999999</v>
      </c>
      <c r="E61" s="246">
        <v>0.6</v>
      </c>
      <c r="F61" s="246">
        <v>0.6</v>
      </c>
      <c r="G61" s="246">
        <v>14.7</v>
      </c>
      <c r="H61" s="246">
        <v>70.5</v>
      </c>
      <c r="I61" s="246">
        <v>4.4999999999999998E-2</v>
      </c>
      <c r="J61" s="246">
        <v>15</v>
      </c>
      <c r="K61" s="246">
        <v>7.5</v>
      </c>
      <c r="L61" s="246">
        <v>0.3</v>
      </c>
      <c r="M61" s="246">
        <v>24</v>
      </c>
      <c r="N61" s="246">
        <v>16.5</v>
      </c>
      <c r="O61" s="246">
        <v>13.5</v>
      </c>
      <c r="P61" s="246">
        <v>3.3</v>
      </c>
    </row>
    <row r="62" spans="1:16" s="247" customFormat="1" x14ac:dyDescent="0.3">
      <c r="A62" s="291" t="s">
        <v>44</v>
      </c>
      <c r="B62" s="291"/>
      <c r="C62" s="250">
        <f>SUM(C59:C61)</f>
        <v>260</v>
      </c>
      <c r="D62" s="246">
        <f t="shared" si="15"/>
        <v>2.3127499999999999</v>
      </c>
      <c r="E62" s="251">
        <f>SUM(E59:E61)</f>
        <v>5.9359999999999999</v>
      </c>
      <c r="F62" s="251">
        <f t="shared" ref="F62:P62" si="16">SUM(F59:F61)</f>
        <v>6.3919999999999995</v>
      </c>
      <c r="G62" s="251">
        <f t="shared" si="16"/>
        <v>27.753</v>
      </c>
      <c r="H62" s="251">
        <f t="shared" si="16"/>
        <v>200.26400000000001</v>
      </c>
      <c r="I62" s="251">
        <f t="shared" si="16"/>
        <v>8.0999999999999989E-2</v>
      </c>
      <c r="J62" s="251">
        <f t="shared" si="16"/>
        <v>16.405999999999999</v>
      </c>
      <c r="K62" s="251">
        <f t="shared" si="16"/>
        <v>53.811999999999998</v>
      </c>
      <c r="L62" s="251">
        <f t="shared" si="16"/>
        <v>2.423</v>
      </c>
      <c r="M62" s="251">
        <f t="shared" si="16"/>
        <v>159.88800000000001</v>
      </c>
      <c r="N62" s="251">
        <f t="shared" si="16"/>
        <v>142.864</v>
      </c>
      <c r="O62" s="251">
        <f t="shared" si="16"/>
        <v>54.504000000000005</v>
      </c>
      <c r="P62" s="251">
        <f t="shared" si="16"/>
        <v>3.952</v>
      </c>
    </row>
    <row r="63" spans="1:16" s="247" customFormat="1" x14ac:dyDescent="0.3">
      <c r="A63" s="292" t="s">
        <v>252</v>
      </c>
      <c r="B63" s="292"/>
      <c r="C63" s="254">
        <f>C62+C57+C48+C43</f>
        <v>1995</v>
      </c>
      <c r="D63" s="255">
        <f t="shared" ref="D63:P63" si="17">D62+D57+D48+D43</f>
        <v>12.918749999999999</v>
      </c>
      <c r="E63" s="255">
        <f t="shared" si="17"/>
        <v>72.634000000000015</v>
      </c>
      <c r="F63" s="255">
        <f t="shared" si="17"/>
        <v>48.182000000000002</v>
      </c>
      <c r="G63" s="255">
        <f t="shared" si="17"/>
        <v>155.02500000000001</v>
      </c>
      <c r="H63" s="255">
        <f t="shared" si="17"/>
        <v>1371.162</v>
      </c>
      <c r="I63" s="255">
        <f t="shared" si="17"/>
        <v>1.0299999999999998</v>
      </c>
      <c r="J63" s="255">
        <f t="shared" si="17"/>
        <v>174.77100000000002</v>
      </c>
      <c r="K63" s="255">
        <f t="shared" si="17"/>
        <v>448.32400000000001</v>
      </c>
      <c r="L63" s="255">
        <f t="shared" si="17"/>
        <v>16.535</v>
      </c>
      <c r="M63" s="255">
        <f t="shared" si="17"/>
        <v>817.37699999999995</v>
      </c>
      <c r="N63" s="255">
        <f t="shared" si="17"/>
        <v>1255.3910000000001</v>
      </c>
      <c r="O63" s="255">
        <f t="shared" si="17"/>
        <v>354.51800000000003</v>
      </c>
      <c r="P63" s="255">
        <f t="shared" si="17"/>
        <v>19.899999999999999</v>
      </c>
    </row>
    <row r="64" spans="1:16" s="247" customFormat="1" x14ac:dyDescent="0.3">
      <c r="A64" s="293" t="s">
        <v>29</v>
      </c>
      <c r="B64" s="293"/>
      <c r="C64" s="293"/>
      <c r="D64" s="293"/>
      <c r="E64" s="293"/>
      <c r="F64" s="293"/>
      <c r="G64" s="293"/>
      <c r="H64" s="293"/>
      <c r="I64" s="287"/>
      <c r="J64" s="287"/>
      <c r="K64" s="287"/>
      <c r="L64" s="287"/>
      <c r="M64" s="287"/>
      <c r="N64" s="287"/>
      <c r="O64" s="287"/>
      <c r="P64" s="287"/>
    </row>
    <row r="65" spans="1:16" s="247" customFormat="1" x14ac:dyDescent="0.3">
      <c r="A65" s="300" t="s">
        <v>33</v>
      </c>
      <c r="B65" s="300" t="s">
        <v>32</v>
      </c>
      <c r="C65" s="300" t="s">
        <v>0</v>
      </c>
      <c r="D65" s="299"/>
      <c r="E65" s="299" t="s">
        <v>1</v>
      </c>
      <c r="F65" s="299"/>
      <c r="G65" s="299"/>
      <c r="H65" s="299" t="s">
        <v>31</v>
      </c>
      <c r="I65" s="299" t="s">
        <v>9</v>
      </c>
      <c r="J65" s="299"/>
      <c r="K65" s="299"/>
      <c r="L65" s="299"/>
      <c r="M65" s="299" t="s">
        <v>10</v>
      </c>
      <c r="N65" s="299"/>
      <c r="O65" s="299"/>
      <c r="P65" s="299"/>
    </row>
    <row r="66" spans="1:16" s="247" customFormat="1" x14ac:dyDescent="0.3">
      <c r="A66" s="300"/>
      <c r="B66" s="300"/>
      <c r="C66" s="300"/>
      <c r="D66" s="299"/>
      <c r="E66" s="256" t="s">
        <v>2</v>
      </c>
      <c r="F66" s="256" t="s">
        <v>3</v>
      </c>
      <c r="G66" s="256" t="s">
        <v>4</v>
      </c>
      <c r="H66" s="299"/>
      <c r="I66" s="256" t="s">
        <v>11</v>
      </c>
      <c r="J66" s="256" t="s">
        <v>12</v>
      </c>
      <c r="K66" s="256" t="s">
        <v>13</v>
      </c>
      <c r="L66" s="256" t="s">
        <v>14</v>
      </c>
      <c r="M66" s="256" t="s">
        <v>15</v>
      </c>
      <c r="N66" s="256" t="s">
        <v>16</v>
      </c>
      <c r="O66" s="256" t="s">
        <v>17</v>
      </c>
      <c r="P66" s="256" t="s">
        <v>18</v>
      </c>
    </row>
    <row r="67" spans="1:16" s="247" customFormat="1" x14ac:dyDescent="0.3">
      <c r="A67" s="290" t="s">
        <v>21</v>
      </c>
      <c r="B67" s="290"/>
      <c r="C67" s="290"/>
      <c r="D67" s="290"/>
      <c r="E67" s="290"/>
      <c r="F67" s="290"/>
      <c r="G67" s="290"/>
      <c r="H67" s="290"/>
      <c r="I67" s="290"/>
      <c r="J67" s="290"/>
      <c r="K67" s="290"/>
      <c r="L67" s="290"/>
      <c r="M67" s="290"/>
      <c r="N67" s="290"/>
      <c r="O67" s="290"/>
      <c r="P67" s="290"/>
    </row>
    <row r="68" spans="1:16" s="247" customFormat="1" x14ac:dyDescent="0.3">
      <c r="A68" s="249">
        <v>24</v>
      </c>
      <c r="B68" s="244" t="s">
        <v>341</v>
      </c>
      <c r="C68" s="245">
        <v>80</v>
      </c>
      <c r="D68" s="246">
        <f>G68/12</f>
        <v>0.22933333333333331</v>
      </c>
      <c r="E68" s="246">
        <v>0.751</v>
      </c>
      <c r="F68" s="246">
        <v>5.1189999999999998</v>
      </c>
      <c r="G68" s="246">
        <v>2.7519999999999998</v>
      </c>
      <c r="H68" s="246">
        <v>61.085000000000001</v>
      </c>
      <c r="I68" s="246">
        <v>3.5999999999999997E-2</v>
      </c>
      <c r="J68" s="246">
        <v>12.61</v>
      </c>
      <c r="K68" s="246"/>
      <c r="L68" s="246">
        <v>2.5190000000000001</v>
      </c>
      <c r="M68" s="246">
        <v>13.01</v>
      </c>
      <c r="N68" s="246">
        <v>23.86</v>
      </c>
      <c r="O68" s="246">
        <v>12.98</v>
      </c>
      <c r="P68" s="246">
        <v>0.56299999999999994</v>
      </c>
    </row>
    <row r="69" spans="1:16" s="247" customFormat="1" ht="27.6" x14ac:dyDescent="0.3">
      <c r="A69" s="253">
        <v>294</v>
      </c>
      <c r="B69" s="244" t="s">
        <v>342</v>
      </c>
      <c r="C69" s="245">
        <v>80</v>
      </c>
      <c r="D69" s="246">
        <f t="shared" ref="D69:D74" si="18">G69/12</f>
        <v>0.96150000000000002</v>
      </c>
      <c r="E69" s="246">
        <v>13.077</v>
      </c>
      <c r="F69" s="246">
        <v>11.805</v>
      </c>
      <c r="G69" s="246">
        <v>11.538</v>
      </c>
      <c r="H69" s="246">
        <v>205.142</v>
      </c>
      <c r="I69" s="246">
        <v>0.104</v>
      </c>
      <c r="J69" s="246">
        <v>1.18</v>
      </c>
      <c r="K69" s="246">
        <v>42.14</v>
      </c>
      <c r="L69" s="246">
        <v>1.5549999999999999</v>
      </c>
      <c r="M69" s="246">
        <v>19.204000000000001</v>
      </c>
      <c r="N69" s="246">
        <v>129.56</v>
      </c>
      <c r="O69" s="246">
        <v>22.666</v>
      </c>
      <c r="P69" s="246">
        <v>1.843</v>
      </c>
    </row>
    <row r="70" spans="1:16" s="247" customFormat="1" x14ac:dyDescent="0.3">
      <c r="A70" s="248">
        <v>330</v>
      </c>
      <c r="B70" s="244" t="s">
        <v>343</v>
      </c>
      <c r="C70" s="245">
        <v>30</v>
      </c>
      <c r="D70" s="246">
        <f t="shared" si="18"/>
        <v>0.14249999999999999</v>
      </c>
      <c r="E70" s="246">
        <v>0.432</v>
      </c>
      <c r="F70" s="246">
        <v>0.82599999999999996</v>
      </c>
      <c r="G70" s="246">
        <v>1.71</v>
      </c>
      <c r="H70" s="246">
        <v>16.2</v>
      </c>
      <c r="I70" s="246">
        <v>1.7999999999999999E-2</v>
      </c>
      <c r="J70" s="246">
        <v>0.04</v>
      </c>
      <c r="K70" s="246">
        <v>5.2</v>
      </c>
      <c r="L70" s="246">
        <v>5.3999999999999999E-2</v>
      </c>
      <c r="M70" s="246">
        <v>7.56</v>
      </c>
      <c r="N70" s="246">
        <v>6.68</v>
      </c>
      <c r="O70" s="246">
        <v>1.1200000000000001</v>
      </c>
      <c r="P70" s="246">
        <v>3.2000000000000001E-2</v>
      </c>
    </row>
    <row r="71" spans="1:16" s="247" customFormat="1" ht="27.6" x14ac:dyDescent="0.3">
      <c r="A71" s="252"/>
      <c r="B71" s="244" t="s">
        <v>344</v>
      </c>
      <c r="C71" s="245">
        <v>150</v>
      </c>
      <c r="D71" s="246">
        <f t="shared" si="18"/>
        <v>1.7494166666666666</v>
      </c>
      <c r="E71" s="246">
        <v>3.24</v>
      </c>
      <c r="F71" s="246">
        <v>4.0410000000000004</v>
      </c>
      <c r="G71" s="246">
        <v>20.992999999999999</v>
      </c>
      <c r="H71" s="246">
        <v>133.20500000000001</v>
      </c>
      <c r="I71" s="246">
        <v>8.6999999999999994E-2</v>
      </c>
      <c r="J71" s="246"/>
      <c r="K71" s="246">
        <v>20</v>
      </c>
      <c r="L71" s="246">
        <v>0.05</v>
      </c>
      <c r="M71" s="246">
        <v>27.885999999999999</v>
      </c>
      <c r="N71" s="246">
        <v>111.48099999999999</v>
      </c>
      <c r="O71" s="246">
        <v>16.065000000000001</v>
      </c>
      <c r="P71" s="246">
        <v>0.59499999999999997</v>
      </c>
    </row>
    <row r="72" spans="1:16" s="247" customFormat="1" ht="27.6" x14ac:dyDescent="0.3">
      <c r="A72" s="253">
        <v>379</v>
      </c>
      <c r="B72" s="244" t="s">
        <v>375</v>
      </c>
      <c r="C72" s="245">
        <v>200</v>
      </c>
      <c r="D72" s="246">
        <f t="shared" si="18"/>
        <v>0.44208333333333333</v>
      </c>
      <c r="E72" s="246">
        <v>3.9</v>
      </c>
      <c r="F72" s="246">
        <v>3</v>
      </c>
      <c r="G72" s="246">
        <v>5.3049999999999997</v>
      </c>
      <c r="H72" s="246">
        <v>60</v>
      </c>
      <c r="I72" s="246">
        <v>2.3E-2</v>
      </c>
      <c r="J72" s="246">
        <v>0.78400000000000003</v>
      </c>
      <c r="K72" s="246">
        <v>10</v>
      </c>
      <c r="L72" s="246"/>
      <c r="M72" s="246">
        <v>124.76600000000001</v>
      </c>
      <c r="N72" s="246">
        <v>90</v>
      </c>
      <c r="O72" s="246">
        <v>14</v>
      </c>
      <c r="P72" s="246">
        <v>0.104</v>
      </c>
    </row>
    <row r="73" spans="1:16" s="247" customFormat="1" x14ac:dyDescent="0.3">
      <c r="A73" s="252"/>
      <c r="B73" s="244" t="s">
        <v>19</v>
      </c>
      <c r="C73" s="245">
        <v>40</v>
      </c>
      <c r="D73" s="246">
        <f t="shared" si="18"/>
        <v>1.1399999999999999</v>
      </c>
      <c r="E73" s="246">
        <v>2.64</v>
      </c>
      <c r="F73" s="246">
        <v>0.48</v>
      </c>
      <c r="G73" s="246">
        <v>13.68</v>
      </c>
      <c r="H73" s="246">
        <v>69.599999999999994</v>
      </c>
      <c r="I73" s="246">
        <v>0.08</v>
      </c>
      <c r="J73" s="246"/>
      <c r="K73" s="246">
        <v>2.4</v>
      </c>
      <c r="L73" s="246">
        <v>0.88</v>
      </c>
      <c r="M73" s="246">
        <v>14</v>
      </c>
      <c r="N73" s="246">
        <v>63.2</v>
      </c>
      <c r="O73" s="246">
        <v>18.8</v>
      </c>
      <c r="P73" s="246">
        <v>1.56</v>
      </c>
    </row>
    <row r="74" spans="1:16" s="247" customFormat="1" x14ac:dyDescent="0.3">
      <c r="A74" s="291" t="s">
        <v>248</v>
      </c>
      <c r="B74" s="291"/>
      <c r="C74" s="250">
        <f>SUM(C68:C73)</f>
        <v>580</v>
      </c>
      <c r="D74" s="246">
        <f t="shared" si="18"/>
        <v>4.6648333333333332</v>
      </c>
      <c r="E74" s="251">
        <f>SUM(E68:E73)</f>
        <v>24.04</v>
      </c>
      <c r="F74" s="251">
        <f t="shared" ref="F74:P74" si="19">SUM(F68:F73)</f>
        <v>25.271000000000001</v>
      </c>
      <c r="G74" s="251">
        <f t="shared" si="19"/>
        <v>55.977999999999994</v>
      </c>
      <c r="H74" s="251">
        <f t="shared" si="19"/>
        <v>545.23199999999997</v>
      </c>
      <c r="I74" s="251">
        <f t="shared" si="19"/>
        <v>0.34799999999999998</v>
      </c>
      <c r="J74" s="251">
        <f t="shared" si="19"/>
        <v>14.613999999999999</v>
      </c>
      <c r="K74" s="251">
        <f t="shared" si="19"/>
        <v>79.740000000000009</v>
      </c>
      <c r="L74" s="251">
        <f t="shared" si="19"/>
        <v>5.0579999999999998</v>
      </c>
      <c r="M74" s="251">
        <f t="shared" si="19"/>
        <v>206.42599999999999</v>
      </c>
      <c r="N74" s="251">
        <f t="shared" si="19"/>
        <v>424.78100000000001</v>
      </c>
      <c r="O74" s="251">
        <f t="shared" si="19"/>
        <v>85.631</v>
      </c>
      <c r="P74" s="251">
        <f t="shared" si="19"/>
        <v>4.6969999999999992</v>
      </c>
    </row>
    <row r="75" spans="1:16" s="247" customFormat="1" x14ac:dyDescent="0.3">
      <c r="A75" s="290" t="s">
        <v>249</v>
      </c>
      <c r="B75" s="290"/>
      <c r="C75" s="290"/>
      <c r="D75" s="290"/>
      <c r="E75" s="290"/>
      <c r="F75" s="290"/>
      <c r="G75" s="290"/>
      <c r="H75" s="290"/>
      <c r="I75" s="290"/>
      <c r="J75" s="290"/>
      <c r="K75" s="290"/>
      <c r="L75" s="290"/>
      <c r="M75" s="290"/>
      <c r="N75" s="290"/>
      <c r="O75" s="290"/>
      <c r="P75" s="290"/>
    </row>
    <row r="76" spans="1:16" s="247" customFormat="1" ht="27.6" x14ac:dyDescent="0.3">
      <c r="A76" s="252"/>
      <c r="B76" s="244" t="s">
        <v>332</v>
      </c>
      <c r="C76" s="245">
        <v>20</v>
      </c>
      <c r="D76" s="246">
        <f>G76/12</f>
        <v>0.64524999999999999</v>
      </c>
      <c r="E76" s="246">
        <v>1.6459999999999999</v>
      </c>
      <c r="F76" s="246">
        <v>4.4420000000000002</v>
      </c>
      <c r="G76" s="246">
        <v>7.7430000000000003</v>
      </c>
      <c r="H76" s="246">
        <v>78.463999999999999</v>
      </c>
      <c r="I76" s="246">
        <v>3.5999999999999997E-2</v>
      </c>
      <c r="J76" s="246">
        <v>0.86599999999999999</v>
      </c>
      <c r="K76" s="246">
        <v>37.311999999999998</v>
      </c>
      <c r="L76" s="246">
        <v>2.1230000000000002</v>
      </c>
      <c r="M76" s="246">
        <v>24.288</v>
      </c>
      <c r="N76" s="246">
        <v>40.863999999999997</v>
      </c>
      <c r="O76" s="246">
        <v>27.504000000000001</v>
      </c>
      <c r="P76" s="246">
        <v>0.56200000000000006</v>
      </c>
    </row>
    <row r="77" spans="1:16" s="247" customFormat="1" x14ac:dyDescent="0.3">
      <c r="A77" s="245">
        <v>386</v>
      </c>
      <c r="B77" s="244" t="s">
        <v>71</v>
      </c>
      <c r="C77" s="245">
        <v>90</v>
      </c>
      <c r="D77" s="246">
        <f t="shared" ref="D77:D79" si="20">G77/12</f>
        <v>0.44249999999999995</v>
      </c>
      <c r="E77" s="246">
        <v>3.69</v>
      </c>
      <c r="F77" s="246">
        <v>1.35</v>
      </c>
      <c r="G77" s="246">
        <v>5.31</v>
      </c>
      <c r="H77" s="246">
        <v>51.3</v>
      </c>
      <c r="I77" s="246"/>
      <c r="J77" s="246">
        <v>0.54</v>
      </c>
      <c r="K77" s="246">
        <v>9</v>
      </c>
      <c r="L77" s="246"/>
      <c r="M77" s="246">
        <v>111.6</v>
      </c>
      <c r="N77" s="246">
        <v>85.5</v>
      </c>
      <c r="O77" s="246">
        <v>13.5</v>
      </c>
      <c r="P77" s="246">
        <v>0.09</v>
      </c>
    </row>
    <row r="78" spans="1:16" s="247" customFormat="1" x14ac:dyDescent="0.3">
      <c r="A78" s="245">
        <v>0</v>
      </c>
      <c r="B78" s="244" t="s">
        <v>66</v>
      </c>
      <c r="C78" s="245">
        <v>150</v>
      </c>
      <c r="D78" s="246">
        <f t="shared" si="20"/>
        <v>0.9375</v>
      </c>
      <c r="E78" s="246">
        <v>1.2</v>
      </c>
      <c r="F78" s="246">
        <v>0.3</v>
      </c>
      <c r="G78" s="246">
        <v>11.25</v>
      </c>
      <c r="H78" s="246">
        <v>57</v>
      </c>
      <c r="I78" s="246">
        <v>0.09</v>
      </c>
      <c r="J78" s="246">
        <v>57</v>
      </c>
      <c r="K78" s="246"/>
      <c r="L78" s="246">
        <v>0.3</v>
      </c>
      <c r="M78" s="246">
        <v>52.5</v>
      </c>
      <c r="N78" s="246">
        <v>25.5</v>
      </c>
      <c r="O78" s="246">
        <v>16.5</v>
      </c>
      <c r="P78" s="246">
        <v>0.15</v>
      </c>
    </row>
    <row r="79" spans="1:16" s="247" customFormat="1" x14ac:dyDescent="0.3">
      <c r="A79" s="291" t="s">
        <v>250</v>
      </c>
      <c r="B79" s="291"/>
      <c r="C79" s="250">
        <f>SUM(C76:C78)</f>
        <v>260</v>
      </c>
      <c r="D79" s="246">
        <f t="shared" si="20"/>
        <v>2.0252500000000002</v>
      </c>
      <c r="E79" s="251">
        <f>SUM(E76:E78)</f>
        <v>6.5360000000000005</v>
      </c>
      <c r="F79" s="251">
        <f t="shared" ref="F79:P79" si="21">SUM(F76:F78)</f>
        <v>6.0919999999999996</v>
      </c>
      <c r="G79" s="251">
        <f t="shared" si="21"/>
        <v>24.303000000000001</v>
      </c>
      <c r="H79" s="251">
        <f t="shared" si="21"/>
        <v>186.76400000000001</v>
      </c>
      <c r="I79" s="251">
        <f t="shared" si="21"/>
        <v>0.126</v>
      </c>
      <c r="J79" s="251">
        <f t="shared" si="21"/>
        <v>58.405999999999999</v>
      </c>
      <c r="K79" s="251">
        <f t="shared" si="21"/>
        <v>46.311999999999998</v>
      </c>
      <c r="L79" s="251">
        <f t="shared" si="21"/>
        <v>2.423</v>
      </c>
      <c r="M79" s="251">
        <f t="shared" si="21"/>
        <v>188.38800000000001</v>
      </c>
      <c r="N79" s="251">
        <f t="shared" si="21"/>
        <v>151.864</v>
      </c>
      <c r="O79" s="251">
        <f t="shared" si="21"/>
        <v>57.504000000000005</v>
      </c>
      <c r="P79" s="251">
        <f t="shared" si="21"/>
        <v>0.80200000000000005</v>
      </c>
    </row>
    <row r="80" spans="1:16" s="247" customFormat="1" x14ac:dyDescent="0.3">
      <c r="A80" s="290" t="s">
        <v>8</v>
      </c>
      <c r="B80" s="290"/>
      <c r="C80" s="290"/>
      <c r="D80" s="29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</row>
    <row r="81" spans="1:16" s="247" customFormat="1" ht="27.6" x14ac:dyDescent="0.3">
      <c r="A81" s="248">
        <v>104</v>
      </c>
      <c r="B81" s="244" t="s">
        <v>303</v>
      </c>
      <c r="C81" s="245">
        <v>270</v>
      </c>
      <c r="D81" s="246">
        <f>G81/12</f>
        <v>1.5462499999999999</v>
      </c>
      <c r="E81" s="246">
        <v>6.8860000000000001</v>
      </c>
      <c r="F81" s="246">
        <v>7.2629999999999999</v>
      </c>
      <c r="G81" s="246">
        <v>18.555</v>
      </c>
      <c r="H81" s="246">
        <v>167.66900000000001</v>
      </c>
      <c r="I81" s="246">
        <v>0.151</v>
      </c>
      <c r="J81" s="246">
        <v>23.05</v>
      </c>
      <c r="K81" s="246">
        <v>204</v>
      </c>
      <c r="L81" s="246">
        <v>1.615</v>
      </c>
      <c r="M81" s="246">
        <v>19.952000000000002</v>
      </c>
      <c r="N81" s="246">
        <v>118.496</v>
      </c>
      <c r="O81" s="246">
        <v>35.188000000000002</v>
      </c>
      <c r="P81" s="246">
        <v>1.7909999999999999</v>
      </c>
    </row>
    <row r="82" spans="1:16" s="247" customFormat="1" ht="27.6" x14ac:dyDescent="0.3">
      <c r="A82" s="253">
        <v>223</v>
      </c>
      <c r="B82" s="244" t="s">
        <v>345</v>
      </c>
      <c r="C82" s="245">
        <v>185</v>
      </c>
      <c r="D82" s="246">
        <f t="shared" ref="D82:D87" si="22">G82/12</f>
        <v>1.4991666666666665</v>
      </c>
      <c r="E82" s="246">
        <v>40.137999999999998</v>
      </c>
      <c r="F82" s="246">
        <v>14.927</v>
      </c>
      <c r="G82" s="246">
        <v>17.989999999999998</v>
      </c>
      <c r="H82" s="246">
        <v>374.52499999999998</v>
      </c>
      <c r="I82" s="246">
        <v>9.7000000000000003E-2</v>
      </c>
      <c r="J82" s="246">
        <v>0.91</v>
      </c>
      <c r="K82" s="246">
        <v>102.62</v>
      </c>
      <c r="L82" s="246">
        <v>0.44800000000000001</v>
      </c>
      <c r="M82" s="246">
        <v>307.77600000000001</v>
      </c>
      <c r="N82" s="246">
        <v>415.99400000000003</v>
      </c>
      <c r="O82" s="246">
        <v>45.966999999999999</v>
      </c>
      <c r="P82" s="246">
        <v>1.234</v>
      </c>
    </row>
    <row r="83" spans="1:16" s="247" customFormat="1" x14ac:dyDescent="0.3">
      <c r="A83" s="253">
        <v>326</v>
      </c>
      <c r="B83" s="244" t="s">
        <v>240</v>
      </c>
      <c r="C83" s="245">
        <v>35</v>
      </c>
      <c r="D83" s="246">
        <f t="shared" si="22"/>
        <v>0.17008333333333334</v>
      </c>
      <c r="E83" s="246">
        <v>0.20799999999999999</v>
      </c>
      <c r="F83" s="246">
        <v>1.2E-2</v>
      </c>
      <c r="G83" s="246">
        <v>2.0409999999999999</v>
      </c>
      <c r="H83" s="246">
        <v>9.2799999999999994</v>
      </c>
      <c r="I83" s="246">
        <v>4.0000000000000001E-3</v>
      </c>
      <c r="J83" s="246">
        <v>0.16</v>
      </c>
      <c r="K83" s="246">
        <v>23.32</v>
      </c>
      <c r="L83" s="246">
        <v>0.22</v>
      </c>
      <c r="M83" s="246">
        <v>6.4</v>
      </c>
      <c r="N83" s="246">
        <v>5.84</v>
      </c>
      <c r="O83" s="246">
        <v>4.2</v>
      </c>
      <c r="P83" s="246">
        <v>0.128</v>
      </c>
    </row>
    <row r="84" spans="1:16" s="247" customFormat="1" ht="27.6" x14ac:dyDescent="0.3">
      <c r="A84" s="257" t="s">
        <v>313</v>
      </c>
      <c r="B84" s="244" t="s">
        <v>346</v>
      </c>
      <c r="C84" s="245">
        <v>200</v>
      </c>
      <c r="D84" s="246">
        <f t="shared" si="22"/>
        <v>0.19208333333333336</v>
      </c>
      <c r="E84" s="246">
        <v>0.2</v>
      </c>
      <c r="F84" s="246">
        <v>0.04</v>
      </c>
      <c r="G84" s="246">
        <v>2.3050000000000002</v>
      </c>
      <c r="H84" s="246">
        <v>7.6</v>
      </c>
      <c r="I84" s="246">
        <v>6.0000000000000001E-3</v>
      </c>
      <c r="J84" s="246">
        <v>40</v>
      </c>
      <c r="K84" s="246"/>
      <c r="L84" s="246">
        <v>0.14399999999999999</v>
      </c>
      <c r="M84" s="246">
        <v>7.2</v>
      </c>
      <c r="N84" s="246">
        <v>6.6</v>
      </c>
      <c r="O84" s="246">
        <v>6.2</v>
      </c>
      <c r="P84" s="246">
        <v>0.26</v>
      </c>
    </row>
    <row r="85" spans="1:16" s="247" customFormat="1" x14ac:dyDescent="0.3">
      <c r="A85" s="252"/>
      <c r="B85" s="244" t="s">
        <v>19</v>
      </c>
      <c r="C85" s="245">
        <v>50</v>
      </c>
      <c r="D85" s="246">
        <f t="shared" si="22"/>
        <v>1.425</v>
      </c>
      <c r="E85" s="246">
        <v>3.3</v>
      </c>
      <c r="F85" s="246">
        <v>0.6</v>
      </c>
      <c r="G85" s="246">
        <v>17.100000000000001</v>
      </c>
      <c r="H85" s="246">
        <v>87</v>
      </c>
      <c r="I85" s="246">
        <v>0.1</v>
      </c>
      <c r="J85" s="246"/>
      <c r="K85" s="246">
        <v>3</v>
      </c>
      <c r="L85" s="246">
        <v>1.1000000000000001</v>
      </c>
      <c r="M85" s="246">
        <v>17.5</v>
      </c>
      <c r="N85" s="246">
        <v>79</v>
      </c>
      <c r="O85" s="246">
        <v>23.5</v>
      </c>
      <c r="P85" s="246">
        <v>1.95</v>
      </c>
    </row>
    <row r="86" spans="1:16" s="247" customFormat="1" hidden="1" x14ac:dyDescent="0.3">
      <c r="A86" s="252"/>
      <c r="B86" s="244"/>
      <c r="C86" s="245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</row>
    <row r="87" spans="1:16" s="247" customFormat="1" x14ac:dyDescent="0.3">
      <c r="A87" s="291" t="s">
        <v>20</v>
      </c>
      <c r="B87" s="291"/>
      <c r="C87" s="250">
        <f>SUM(C81:C86)</f>
        <v>740</v>
      </c>
      <c r="D87" s="246">
        <f t="shared" si="22"/>
        <v>4.832583333333333</v>
      </c>
      <c r="E87" s="251">
        <f>SUM(E81:E86)</f>
        <v>50.731999999999999</v>
      </c>
      <c r="F87" s="251">
        <f t="shared" ref="F87:P87" si="23">SUM(F81:F86)</f>
        <v>22.841999999999999</v>
      </c>
      <c r="G87" s="251">
        <f t="shared" si="23"/>
        <v>57.991</v>
      </c>
      <c r="H87" s="251">
        <f t="shared" si="23"/>
        <v>646.07399999999996</v>
      </c>
      <c r="I87" s="251">
        <f t="shared" si="23"/>
        <v>0.35799999999999998</v>
      </c>
      <c r="J87" s="251">
        <f t="shared" si="23"/>
        <v>64.12</v>
      </c>
      <c r="K87" s="251">
        <f t="shared" si="23"/>
        <v>332.94</v>
      </c>
      <c r="L87" s="251">
        <f t="shared" si="23"/>
        <v>3.5270000000000006</v>
      </c>
      <c r="M87" s="251">
        <f t="shared" si="23"/>
        <v>358.82799999999997</v>
      </c>
      <c r="N87" s="251">
        <f t="shared" si="23"/>
        <v>625.93000000000006</v>
      </c>
      <c r="O87" s="251">
        <f t="shared" si="23"/>
        <v>115.05500000000001</v>
      </c>
      <c r="P87" s="251">
        <f t="shared" si="23"/>
        <v>5.3630000000000004</v>
      </c>
    </row>
    <row r="88" spans="1:16" s="247" customFormat="1" x14ac:dyDescent="0.3">
      <c r="A88" s="290" t="s">
        <v>43</v>
      </c>
      <c r="B88" s="290"/>
      <c r="C88" s="290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  <c r="O88" s="290"/>
      <c r="P88" s="290"/>
    </row>
    <row r="89" spans="1:16" s="247" customFormat="1" ht="27.6" x14ac:dyDescent="0.3">
      <c r="A89" s="252"/>
      <c r="B89" s="244" t="s">
        <v>332</v>
      </c>
      <c r="C89" s="245">
        <v>20</v>
      </c>
      <c r="D89" s="246">
        <f>G89/12</f>
        <v>0.64524999999999999</v>
      </c>
      <c r="E89" s="246">
        <v>1.6459999999999999</v>
      </c>
      <c r="F89" s="246">
        <v>4.4420000000000002</v>
      </c>
      <c r="G89" s="246">
        <v>7.7430000000000003</v>
      </c>
      <c r="H89" s="246">
        <v>78.463999999999999</v>
      </c>
      <c r="I89" s="246">
        <v>3.5999999999999997E-2</v>
      </c>
      <c r="J89" s="246">
        <v>0.86599999999999999</v>
      </c>
      <c r="K89" s="246">
        <v>37.311999999999998</v>
      </c>
      <c r="L89" s="246">
        <v>2.1230000000000002</v>
      </c>
      <c r="M89" s="246">
        <v>24.288</v>
      </c>
      <c r="N89" s="246">
        <v>40.863999999999997</v>
      </c>
      <c r="O89" s="246">
        <v>27.504000000000001</v>
      </c>
      <c r="P89" s="246">
        <v>0.56200000000000006</v>
      </c>
    </row>
    <row r="90" spans="1:16" s="247" customFormat="1" x14ac:dyDescent="0.3">
      <c r="A90" s="245">
        <v>386</v>
      </c>
      <c r="B90" s="244" t="s">
        <v>71</v>
      </c>
      <c r="C90" s="245">
        <v>90</v>
      </c>
      <c r="D90" s="246">
        <f t="shared" ref="D90:D92" si="24">G90/12</f>
        <v>0.44249999999999995</v>
      </c>
      <c r="E90" s="246">
        <v>3.69</v>
      </c>
      <c r="F90" s="246">
        <v>1.35</v>
      </c>
      <c r="G90" s="246">
        <v>5.31</v>
      </c>
      <c r="H90" s="246">
        <v>51.3</v>
      </c>
      <c r="I90" s="246"/>
      <c r="J90" s="246">
        <v>0.54</v>
      </c>
      <c r="K90" s="246">
        <v>9</v>
      </c>
      <c r="L90" s="246"/>
      <c r="M90" s="246">
        <v>111.6</v>
      </c>
      <c r="N90" s="246">
        <v>85.5</v>
      </c>
      <c r="O90" s="246">
        <v>13.5</v>
      </c>
      <c r="P90" s="246">
        <v>0.09</v>
      </c>
    </row>
    <row r="91" spans="1:16" s="247" customFormat="1" x14ac:dyDescent="0.3">
      <c r="A91" s="245">
        <v>0</v>
      </c>
      <c r="B91" s="244" t="s">
        <v>50</v>
      </c>
      <c r="C91" s="245">
        <v>150</v>
      </c>
      <c r="D91" s="246">
        <f t="shared" si="24"/>
        <v>0.9375</v>
      </c>
      <c r="E91" s="246">
        <v>1.2</v>
      </c>
      <c r="F91" s="246">
        <v>0.3</v>
      </c>
      <c r="G91" s="246">
        <v>11.25</v>
      </c>
      <c r="H91" s="246">
        <v>57</v>
      </c>
      <c r="I91" s="246">
        <v>0.09</v>
      </c>
      <c r="J91" s="246">
        <v>57</v>
      </c>
      <c r="K91" s="246"/>
      <c r="L91" s="246">
        <v>0.3</v>
      </c>
      <c r="M91" s="246">
        <v>52.5</v>
      </c>
      <c r="N91" s="246">
        <v>25.5</v>
      </c>
      <c r="O91" s="246">
        <v>16.5</v>
      </c>
      <c r="P91" s="246">
        <v>0.15</v>
      </c>
    </row>
    <row r="92" spans="1:16" s="247" customFormat="1" x14ac:dyDescent="0.3">
      <c r="A92" s="291" t="s">
        <v>44</v>
      </c>
      <c r="B92" s="291"/>
      <c r="C92" s="250">
        <f>SUM(C89:C91)</f>
        <v>260</v>
      </c>
      <c r="D92" s="246">
        <f t="shared" si="24"/>
        <v>2.0252500000000002</v>
      </c>
      <c r="E92" s="251">
        <f>SUM(E89:E91)</f>
        <v>6.5360000000000005</v>
      </c>
      <c r="F92" s="251">
        <f t="shared" ref="F92:P92" si="25">SUM(F89:F91)</f>
        <v>6.0919999999999996</v>
      </c>
      <c r="G92" s="251">
        <f t="shared" si="25"/>
        <v>24.303000000000001</v>
      </c>
      <c r="H92" s="251">
        <f t="shared" si="25"/>
        <v>186.76400000000001</v>
      </c>
      <c r="I92" s="251">
        <f t="shared" si="25"/>
        <v>0.126</v>
      </c>
      <c r="J92" s="251">
        <f t="shared" si="25"/>
        <v>58.405999999999999</v>
      </c>
      <c r="K92" s="251">
        <f t="shared" si="25"/>
        <v>46.311999999999998</v>
      </c>
      <c r="L92" s="251">
        <f t="shared" si="25"/>
        <v>2.423</v>
      </c>
      <c r="M92" s="251">
        <f t="shared" si="25"/>
        <v>188.38800000000001</v>
      </c>
      <c r="N92" s="251">
        <f t="shared" si="25"/>
        <v>151.864</v>
      </c>
      <c r="O92" s="251">
        <f t="shared" si="25"/>
        <v>57.504000000000005</v>
      </c>
      <c r="P92" s="251">
        <f t="shared" si="25"/>
        <v>0.80200000000000005</v>
      </c>
    </row>
    <row r="93" spans="1:16" s="247" customFormat="1" x14ac:dyDescent="0.3">
      <c r="A93" s="292" t="s">
        <v>253</v>
      </c>
      <c r="B93" s="292"/>
      <c r="C93" s="254">
        <f>C92+C87+C79+C74</f>
        <v>1840</v>
      </c>
      <c r="D93" s="255">
        <f t="shared" ref="D93:P93" si="26">D92+D87+D79+D74</f>
        <v>13.547916666666666</v>
      </c>
      <c r="E93" s="255">
        <f t="shared" si="26"/>
        <v>87.843999999999994</v>
      </c>
      <c r="F93" s="255">
        <f t="shared" si="26"/>
        <v>60.296999999999997</v>
      </c>
      <c r="G93" s="255">
        <f t="shared" si="26"/>
        <v>162.57499999999999</v>
      </c>
      <c r="H93" s="255">
        <f t="shared" si="26"/>
        <v>1564.8339999999998</v>
      </c>
      <c r="I93" s="255">
        <f t="shared" si="26"/>
        <v>0.95799999999999996</v>
      </c>
      <c r="J93" s="255">
        <f t="shared" si="26"/>
        <v>195.54600000000002</v>
      </c>
      <c r="K93" s="255">
        <f t="shared" si="26"/>
        <v>505.30400000000003</v>
      </c>
      <c r="L93" s="255">
        <f t="shared" si="26"/>
        <v>13.431000000000001</v>
      </c>
      <c r="M93" s="255">
        <f t="shared" si="26"/>
        <v>942.03</v>
      </c>
      <c r="N93" s="255">
        <f t="shared" si="26"/>
        <v>1354.4390000000001</v>
      </c>
      <c r="O93" s="255">
        <f t="shared" si="26"/>
        <v>315.69400000000007</v>
      </c>
      <c r="P93" s="255">
        <f t="shared" si="26"/>
        <v>11.664</v>
      </c>
    </row>
    <row r="94" spans="1:16" s="247" customFormat="1" x14ac:dyDescent="0.3">
      <c r="A94" s="293" t="s">
        <v>28</v>
      </c>
      <c r="B94" s="293"/>
      <c r="C94" s="293"/>
      <c r="D94" s="293"/>
      <c r="E94" s="293"/>
      <c r="F94" s="293"/>
      <c r="G94" s="293"/>
      <c r="H94" s="293"/>
      <c r="I94" s="287"/>
      <c r="J94" s="287"/>
      <c r="K94" s="287"/>
      <c r="L94" s="287"/>
      <c r="M94" s="287"/>
      <c r="N94" s="287"/>
      <c r="O94" s="287"/>
      <c r="P94" s="287"/>
    </row>
    <row r="95" spans="1:16" s="247" customFormat="1" x14ac:dyDescent="0.3">
      <c r="A95" s="300" t="s">
        <v>33</v>
      </c>
      <c r="B95" s="300" t="s">
        <v>32</v>
      </c>
      <c r="C95" s="300" t="s">
        <v>0</v>
      </c>
      <c r="D95" s="299"/>
      <c r="E95" s="299" t="s">
        <v>1</v>
      </c>
      <c r="F95" s="299"/>
      <c r="G95" s="299"/>
      <c r="H95" s="299" t="s">
        <v>31</v>
      </c>
      <c r="I95" s="299" t="s">
        <v>9</v>
      </c>
      <c r="J95" s="299"/>
      <c r="K95" s="299"/>
      <c r="L95" s="299"/>
      <c r="M95" s="299" t="s">
        <v>10</v>
      </c>
      <c r="N95" s="299"/>
      <c r="O95" s="299"/>
      <c r="P95" s="299"/>
    </row>
    <row r="96" spans="1:16" s="247" customFormat="1" x14ac:dyDescent="0.3">
      <c r="A96" s="300"/>
      <c r="B96" s="300"/>
      <c r="C96" s="300"/>
      <c r="D96" s="299"/>
      <c r="E96" s="256" t="s">
        <v>2</v>
      </c>
      <c r="F96" s="256" t="s">
        <v>3</v>
      </c>
      <c r="G96" s="256" t="s">
        <v>4</v>
      </c>
      <c r="H96" s="299"/>
      <c r="I96" s="256" t="s">
        <v>11</v>
      </c>
      <c r="J96" s="256" t="s">
        <v>12</v>
      </c>
      <c r="K96" s="256" t="s">
        <v>13</v>
      </c>
      <c r="L96" s="256" t="s">
        <v>14</v>
      </c>
      <c r="M96" s="256" t="s">
        <v>15</v>
      </c>
      <c r="N96" s="256" t="s">
        <v>16</v>
      </c>
      <c r="O96" s="256" t="s">
        <v>17</v>
      </c>
      <c r="P96" s="256" t="s">
        <v>18</v>
      </c>
    </row>
    <row r="97" spans="1:16" s="247" customFormat="1" x14ac:dyDescent="0.3">
      <c r="A97" s="290" t="s">
        <v>21</v>
      </c>
      <c r="B97" s="290"/>
      <c r="C97" s="290"/>
      <c r="D97" s="290"/>
      <c r="E97" s="290"/>
      <c r="F97" s="290"/>
      <c r="G97" s="290"/>
      <c r="H97" s="290"/>
      <c r="I97" s="290"/>
      <c r="J97" s="290"/>
      <c r="K97" s="290"/>
      <c r="L97" s="290"/>
      <c r="M97" s="290"/>
      <c r="N97" s="290"/>
      <c r="O97" s="290"/>
      <c r="P97" s="290"/>
    </row>
    <row r="98" spans="1:16" s="247" customFormat="1" ht="27.6" x14ac:dyDescent="0.3">
      <c r="A98" s="253">
        <v>46</v>
      </c>
      <c r="B98" s="244" t="s">
        <v>241</v>
      </c>
      <c r="C98" s="245">
        <v>80</v>
      </c>
      <c r="D98" s="246">
        <f>G98/12</f>
        <v>0.42558333333333337</v>
      </c>
      <c r="E98" s="246">
        <v>1.0049999999999999</v>
      </c>
      <c r="F98" s="246">
        <v>2.63</v>
      </c>
      <c r="G98" s="246">
        <v>5.1070000000000002</v>
      </c>
      <c r="H98" s="246">
        <v>49.28</v>
      </c>
      <c r="I98" s="246">
        <v>2.5999999999999999E-2</v>
      </c>
      <c r="J98" s="246">
        <v>19.3</v>
      </c>
      <c r="K98" s="246">
        <v>241</v>
      </c>
      <c r="L98" s="246">
        <v>1.895</v>
      </c>
      <c r="M98" s="246">
        <v>26.76</v>
      </c>
      <c r="N98" s="246">
        <v>23.36</v>
      </c>
      <c r="O98" s="246">
        <v>12.98</v>
      </c>
      <c r="P98" s="246">
        <v>0.78700000000000003</v>
      </c>
    </row>
    <row r="99" spans="1:16" s="247" customFormat="1" ht="27.6" x14ac:dyDescent="0.3">
      <c r="A99" s="258">
        <v>233</v>
      </c>
      <c r="B99" s="244" t="s">
        <v>347</v>
      </c>
      <c r="C99" s="245">
        <v>110</v>
      </c>
      <c r="D99" s="246">
        <f t="shared" ref="D99:D103" si="27">G99/12</f>
        <v>0.59</v>
      </c>
      <c r="E99" s="246">
        <v>16.058</v>
      </c>
      <c r="F99" s="246">
        <v>10.37</v>
      </c>
      <c r="G99" s="246">
        <v>7.08</v>
      </c>
      <c r="H99" s="246">
        <v>186.84</v>
      </c>
      <c r="I99" s="246">
        <v>0.104</v>
      </c>
      <c r="J99" s="246">
        <v>2.0139999999999998</v>
      </c>
      <c r="K99" s="246">
        <v>65.117999999999995</v>
      </c>
      <c r="L99" s="246">
        <v>0.40300000000000002</v>
      </c>
      <c r="M99" s="246">
        <v>125.53</v>
      </c>
      <c r="N99" s="246">
        <v>261.57400000000001</v>
      </c>
      <c r="O99" s="246">
        <v>52.99</v>
      </c>
      <c r="P99" s="246">
        <v>0.91300000000000003</v>
      </c>
    </row>
    <row r="100" spans="1:16" s="247" customFormat="1" x14ac:dyDescent="0.3">
      <c r="A100" s="249">
        <v>125</v>
      </c>
      <c r="B100" s="244" t="s">
        <v>297</v>
      </c>
      <c r="C100" s="245">
        <v>150</v>
      </c>
      <c r="D100" s="246">
        <f t="shared" si="27"/>
        <v>2.0010833333333333</v>
      </c>
      <c r="E100" s="246">
        <v>2.972</v>
      </c>
      <c r="F100" s="246">
        <v>3.488</v>
      </c>
      <c r="G100" s="246">
        <v>24.013000000000002</v>
      </c>
      <c r="H100" s="246">
        <v>139.626</v>
      </c>
      <c r="I100" s="246">
        <v>0.17699999999999999</v>
      </c>
      <c r="J100" s="246">
        <v>29.4</v>
      </c>
      <c r="K100" s="246">
        <v>16</v>
      </c>
      <c r="L100" s="246">
        <v>0.187</v>
      </c>
      <c r="M100" s="246">
        <v>23.02</v>
      </c>
      <c r="N100" s="246">
        <v>87.96</v>
      </c>
      <c r="O100" s="246">
        <v>34.25</v>
      </c>
      <c r="P100" s="246">
        <v>1.389</v>
      </c>
    </row>
    <row r="101" spans="1:16" s="247" customFormat="1" ht="27.6" x14ac:dyDescent="0.3">
      <c r="A101" s="249">
        <v>377</v>
      </c>
      <c r="B101" s="244" t="s">
        <v>304</v>
      </c>
      <c r="C101" s="245">
        <v>207</v>
      </c>
      <c r="D101" s="246">
        <f t="shared" si="27"/>
        <v>1.8166666666666668E-2</v>
      </c>
      <c r="E101" s="246">
        <v>6.3E-2</v>
      </c>
      <c r="F101" s="246">
        <v>7.0000000000000001E-3</v>
      </c>
      <c r="G101" s="246">
        <v>0.218</v>
      </c>
      <c r="H101" s="246">
        <v>2.3919999999999999</v>
      </c>
      <c r="I101" s="246">
        <v>4.0000000000000001E-3</v>
      </c>
      <c r="J101" s="246">
        <v>2.9</v>
      </c>
      <c r="K101" s="246"/>
      <c r="L101" s="246">
        <v>1.4E-2</v>
      </c>
      <c r="M101" s="246">
        <v>7.75</v>
      </c>
      <c r="N101" s="246">
        <v>9.7799999999999994</v>
      </c>
      <c r="O101" s="246">
        <v>5.24</v>
      </c>
      <c r="P101" s="246">
        <v>0.86199999999999999</v>
      </c>
    </row>
    <row r="102" spans="1:16" s="247" customFormat="1" x14ac:dyDescent="0.3">
      <c r="A102" s="252"/>
      <c r="B102" s="244" t="s">
        <v>19</v>
      </c>
      <c r="C102" s="245">
        <v>50</v>
      </c>
      <c r="D102" s="246">
        <f t="shared" si="27"/>
        <v>1.425</v>
      </c>
      <c r="E102" s="246">
        <v>3.3</v>
      </c>
      <c r="F102" s="246">
        <v>0.6</v>
      </c>
      <c r="G102" s="246">
        <v>17.100000000000001</v>
      </c>
      <c r="H102" s="246">
        <v>87</v>
      </c>
      <c r="I102" s="246">
        <v>0.1</v>
      </c>
      <c r="J102" s="246"/>
      <c r="K102" s="246">
        <v>3</v>
      </c>
      <c r="L102" s="246">
        <v>1.1000000000000001</v>
      </c>
      <c r="M102" s="246">
        <v>17.5</v>
      </c>
      <c r="N102" s="246">
        <v>79</v>
      </c>
      <c r="O102" s="246">
        <v>23.5</v>
      </c>
      <c r="P102" s="246">
        <v>1.95</v>
      </c>
    </row>
    <row r="103" spans="1:16" s="247" customFormat="1" x14ac:dyDescent="0.3">
      <c r="A103" s="291" t="s">
        <v>248</v>
      </c>
      <c r="B103" s="291"/>
      <c r="C103" s="250">
        <f>SUM(C98:C102)</f>
        <v>597</v>
      </c>
      <c r="D103" s="246">
        <f t="shared" si="27"/>
        <v>4.459833333333334</v>
      </c>
      <c r="E103" s="251">
        <f>SUM(E98:E102)</f>
        <v>23.398</v>
      </c>
      <c r="F103" s="251">
        <f t="shared" ref="F103:P103" si="28">SUM(F98:F102)</f>
        <v>17.095000000000002</v>
      </c>
      <c r="G103" s="251">
        <f t="shared" si="28"/>
        <v>53.518000000000008</v>
      </c>
      <c r="H103" s="251">
        <f t="shared" si="28"/>
        <v>465.13799999999998</v>
      </c>
      <c r="I103" s="251">
        <f t="shared" si="28"/>
        <v>0.41100000000000003</v>
      </c>
      <c r="J103" s="251">
        <f t="shared" si="28"/>
        <v>53.613999999999997</v>
      </c>
      <c r="K103" s="251">
        <f t="shared" si="28"/>
        <v>325.11799999999999</v>
      </c>
      <c r="L103" s="251">
        <f t="shared" si="28"/>
        <v>3.5989999999999998</v>
      </c>
      <c r="M103" s="251">
        <f t="shared" si="28"/>
        <v>200.56</v>
      </c>
      <c r="N103" s="251">
        <f t="shared" si="28"/>
        <v>461.67399999999998</v>
      </c>
      <c r="O103" s="251">
        <f t="shared" si="28"/>
        <v>128.95999999999998</v>
      </c>
      <c r="P103" s="251">
        <f t="shared" si="28"/>
        <v>5.9010000000000007</v>
      </c>
    </row>
    <row r="104" spans="1:16" s="247" customFormat="1" x14ac:dyDescent="0.3">
      <c r="A104" s="290" t="s">
        <v>249</v>
      </c>
      <c r="B104" s="290"/>
      <c r="C104" s="290"/>
      <c r="D104" s="290"/>
      <c r="E104" s="290"/>
      <c r="F104" s="290"/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</row>
    <row r="105" spans="1:16" s="247" customFormat="1" ht="27.6" x14ac:dyDescent="0.3">
      <c r="A105" s="252"/>
      <c r="B105" s="244" t="s">
        <v>332</v>
      </c>
      <c r="C105" s="245">
        <v>20</v>
      </c>
      <c r="D105" s="246">
        <f>G105/12</f>
        <v>0.64524999999999999</v>
      </c>
      <c r="E105" s="246">
        <v>1.6459999999999999</v>
      </c>
      <c r="F105" s="246">
        <v>4.4420000000000002</v>
      </c>
      <c r="G105" s="246">
        <v>7.7430000000000003</v>
      </c>
      <c r="H105" s="246">
        <v>78.463999999999999</v>
      </c>
      <c r="I105" s="246">
        <v>3.5999999999999997E-2</v>
      </c>
      <c r="J105" s="246">
        <v>0.86599999999999999</v>
      </c>
      <c r="K105" s="246">
        <v>37.311999999999998</v>
      </c>
      <c r="L105" s="246">
        <v>2.1230000000000002</v>
      </c>
      <c r="M105" s="246">
        <v>24.288</v>
      </c>
      <c r="N105" s="246">
        <v>40.863999999999997</v>
      </c>
      <c r="O105" s="246">
        <v>27.504000000000001</v>
      </c>
      <c r="P105" s="246">
        <v>0.56200000000000006</v>
      </c>
    </row>
    <row r="106" spans="1:16" s="247" customFormat="1" x14ac:dyDescent="0.3">
      <c r="A106" s="245">
        <v>386</v>
      </c>
      <c r="B106" s="244" t="s">
        <v>71</v>
      </c>
      <c r="C106" s="245">
        <v>90</v>
      </c>
      <c r="D106" s="246">
        <f t="shared" ref="D106:D108" si="29">G106/12</f>
        <v>0.44249999999999995</v>
      </c>
      <c r="E106" s="246">
        <v>3.69</v>
      </c>
      <c r="F106" s="246">
        <v>1.35</v>
      </c>
      <c r="G106" s="246">
        <v>5.31</v>
      </c>
      <c r="H106" s="246">
        <v>51.3</v>
      </c>
      <c r="I106" s="246"/>
      <c r="J106" s="246">
        <v>0.54</v>
      </c>
      <c r="K106" s="246">
        <v>9</v>
      </c>
      <c r="L106" s="246"/>
      <c r="M106" s="246">
        <v>111.6</v>
      </c>
      <c r="N106" s="246">
        <v>85.5</v>
      </c>
      <c r="O106" s="246">
        <v>13.5</v>
      </c>
      <c r="P106" s="246">
        <v>0.09</v>
      </c>
    </row>
    <row r="107" spans="1:16" s="247" customFormat="1" x14ac:dyDescent="0.3">
      <c r="A107" s="245">
        <v>0</v>
      </c>
      <c r="B107" s="244" t="s">
        <v>51</v>
      </c>
      <c r="C107" s="245">
        <v>150</v>
      </c>
      <c r="D107" s="246">
        <f t="shared" si="29"/>
        <v>1.2249999999999999</v>
      </c>
      <c r="E107" s="246">
        <v>0.6</v>
      </c>
      <c r="F107" s="246">
        <v>0.6</v>
      </c>
      <c r="G107" s="246">
        <v>14.7</v>
      </c>
      <c r="H107" s="246">
        <v>70.5</v>
      </c>
      <c r="I107" s="246">
        <v>4.4999999999999998E-2</v>
      </c>
      <c r="J107" s="246">
        <v>15</v>
      </c>
      <c r="K107" s="246">
        <v>7.5</v>
      </c>
      <c r="L107" s="246">
        <v>0.3</v>
      </c>
      <c r="M107" s="246">
        <v>24</v>
      </c>
      <c r="N107" s="246">
        <v>16.5</v>
      </c>
      <c r="O107" s="246">
        <v>13.5</v>
      </c>
      <c r="P107" s="246">
        <v>3.3</v>
      </c>
    </row>
    <row r="108" spans="1:16" s="247" customFormat="1" x14ac:dyDescent="0.3">
      <c r="A108" s="291" t="s">
        <v>250</v>
      </c>
      <c r="B108" s="291"/>
      <c r="C108" s="250">
        <f>SUM(C105:C107)</f>
        <v>260</v>
      </c>
      <c r="D108" s="246">
        <f t="shared" si="29"/>
        <v>2.3127499999999999</v>
      </c>
      <c r="E108" s="251">
        <f>SUM(E105:E107)</f>
        <v>5.9359999999999999</v>
      </c>
      <c r="F108" s="251">
        <f t="shared" ref="F108:P108" si="30">SUM(F105:F107)</f>
        <v>6.3919999999999995</v>
      </c>
      <c r="G108" s="251">
        <f t="shared" si="30"/>
        <v>27.753</v>
      </c>
      <c r="H108" s="251">
        <f t="shared" si="30"/>
        <v>200.26400000000001</v>
      </c>
      <c r="I108" s="251">
        <f t="shared" si="30"/>
        <v>8.0999999999999989E-2</v>
      </c>
      <c r="J108" s="251">
        <f t="shared" si="30"/>
        <v>16.405999999999999</v>
      </c>
      <c r="K108" s="251">
        <f t="shared" si="30"/>
        <v>53.811999999999998</v>
      </c>
      <c r="L108" s="251">
        <f t="shared" si="30"/>
        <v>2.423</v>
      </c>
      <c r="M108" s="251">
        <f t="shared" si="30"/>
        <v>159.88800000000001</v>
      </c>
      <c r="N108" s="251">
        <f t="shared" si="30"/>
        <v>142.864</v>
      </c>
      <c r="O108" s="251">
        <f t="shared" si="30"/>
        <v>54.504000000000005</v>
      </c>
      <c r="P108" s="251">
        <f t="shared" si="30"/>
        <v>3.952</v>
      </c>
    </row>
    <row r="109" spans="1:16" s="247" customFormat="1" x14ac:dyDescent="0.3">
      <c r="A109" s="290" t="s">
        <v>8</v>
      </c>
      <c r="B109" s="290"/>
      <c r="C109" s="290"/>
      <c r="D109" s="290"/>
      <c r="E109" s="290"/>
      <c r="F109" s="290"/>
      <c r="G109" s="290"/>
      <c r="H109" s="290"/>
      <c r="I109" s="290"/>
      <c r="J109" s="290"/>
      <c r="K109" s="290"/>
      <c r="L109" s="290"/>
      <c r="M109" s="290"/>
      <c r="N109" s="290"/>
      <c r="O109" s="290"/>
      <c r="P109" s="290"/>
    </row>
    <row r="110" spans="1:16" s="247" customFormat="1" ht="27.6" x14ac:dyDescent="0.3">
      <c r="A110" s="249">
        <v>96</v>
      </c>
      <c r="B110" s="244" t="s">
        <v>348</v>
      </c>
      <c r="C110" s="245">
        <v>250</v>
      </c>
      <c r="D110" s="246">
        <f>G110/12</f>
        <v>1.4075833333333332</v>
      </c>
      <c r="E110" s="246">
        <v>2.2690000000000001</v>
      </c>
      <c r="F110" s="246">
        <v>4.3840000000000003</v>
      </c>
      <c r="G110" s="246">
        <v>16.890999999999998</v>
      </c>
      <c r="H110" s="246">
        <v>116.70399999999999</v>
      </c>
      <c r="I110" s="246">
        <v>0.107</v>
      </c>
      <c r="J110" s="246">
        <v>16.649999999999999</v>
      </c>
      <c r="K110" s="246">
        <v>200.65</v>
      </c>
      <c r="L110" s="246">
        <v>1.9530000000000001</v>
      </c>
      <c r="M110" s="246">
        <v>20.32</v>
      </c>
      <c r="N110" s="246">
        <v>72</v>
      </c>
      <c r="O110" s="246">
        <v>25.79</v>
      </c>
      <c r="P110" s="246">
        <v>0.98199999999999998</v>
      </c>
    </row>
    <row r="111" spans="1:16" s="247" customFormat="1" x14ac:dyDescent="0.3">
      <c r="A111" s="259" t="s">
        <v>314</v>
      </c>
      <c r="B111" s="244" t="s">
        <v>349</v>
      </c>
      <c r="C111" s="245">
        <v>90</v>
      </c>
      <c r="D111" s="246">
        <f t="shared" ref="D111:D116" si="31">G111/12</f>
        <v>0</v>
      </c>
      <c r="E111" s="246">
        <v>24.78</v>
      </c>
      <c r="F111" s="246">
        <v>9.3919999999999995</v>
      </c>
      <c r="G111" s="246"/>
      <c r="H111" s="246">
        <v>184.82400000000001</v>
      </c>
      <c r="I111" s="246">
        <v>0.106</v>
      </c>
      <c r="J111" s="246">
        <v>2.36</v>
      </c>
      <c r="K111" s="246">
        <v>47.2</v>
      </c>
      <c r="L111" s="246">
        <v>1.8919999999999999</v>
      </c>
      <c r="M111" s="246">
        <v>20.2</v>
      </c>
      <c r="N111" s="246">
        <v>189.62</v>
      </c>
      <c r="O111" s="246">
        <v>22.64</v>
      </c>
      <c r="P111" s="246">
        <v>1.5629999999999999</v>
      </c>
    </row>
    <row r="112" spans="1:16" s="247" customFormat="1" ht="27.6" x14ac:dyDescent="0.3">
      <c r="A112" s="249">
        <v>143</v>
      </c>
      <c r="B112" s="244" t="s">
        <v>350</v>
      </c>
      <c r="C112" s="245">
        <v>150</v>
      </c>
      <c r="D112" s="246">
        <f t="shared" si="31"/>
        <v>1.2970833333333334</v>
      </c>
      <c r="E112" s="246">
        <v>2.7160000000000002</v>
      </c>
      <c r="F112" s="246">
        <v>3.26</v>
      </c>
      <c r="G112" s="246">
        <v>15.565</v>
      </c>
      <c r="H112" s="246">
        <v>103.592</v>
      </c>
      <c r="I112" s="246">
        <v>0.105</v>
      </c>
      <c r="J112" s="246">
        <v>28.14</v>
      </c>
      <c r="K112" s="246">
        <v>485.2</v>
      </c>
      <c r="L112" s="246">
        <v>1.115</v>
      </c>
      <c r="M112" s="246">
        <v>40.792000000000002</v>
      </c>
      <c r="N112" s="246">
        <v>70.430000000000007</v>
      </c>
      <c r="O112" s="246">
        <v>30.603000000000002</v>
      </c>
      <c r="P112" s="246">
        <v>1.024</v>
      </c>
    </row>
    <row r="113" spans="1:16" s="247" customFormat="1" ht="27.6" x14ac:dyDescent="0.3">
      <c r="A113" s="249">
        <v>349</v>
      </c>
      <c r="B113" s="244" t="s">
        <v>363</v>
      </c>
      <c r="C113" s="245">
        <v>200</v>
      </c>
      <c r="D113" s="246">
        <f t="shared" si="31"/>
        <v>0.84541666666666659</v>
      </c>
      <c r="E113" s="246">
        <v>0.78</v>
      </c>
      <c r="F113" s="246">
        <v>0.06</v>
      </c>
      <c r="G113" s="246">
        <v>10.145</v>
      </c>
      <c r="H113" s="246">
        <v>45.4</v>
      </c>
      <c r="I113" s="246">
        <v>0.02</v>
      </c>
      <c r="J113" s="246">
        <v>0.8</v>
      </c>
      <c r="K113" s="246"/>
      <c r="L113" s="246">
        <v>1.1000000000000001</v>
      </c>
      <c r="M113" s="246">
        <v>32</v>
      </c>
      <c r="N113" s="246">
        <v>29.2</v>
      </c>
      <c r="O113" s="246">
        <v>21</v>
      </c>
      <c r="P113" s="246">
        <v>0.64</v>
      </c>
    </row>
    <row r="114" spans="1:16" s="247" customFormat="1" x14ac:dyDescent="0.3">
      <c r="A114" s="252"/>
      <c r="B114" s="244" t="s">
        <v>19</v>
      </c>
      <c r="C114" s="245">
        <v>50</v>
      </c>
      <c r="D114" s="246">
        <f t="shared" si="31"/>
        <v>1.425</v>
      </c>
      <c r="E114" s="246">
        <v>3.3</v>
      </c>
      <c r="F114" s="246">
        <v>0.6</v>
      </c>
      <c r="G114" s="246">
        <v>17.100000000000001</v>
      </c>
      <c r="H114" s="246">
        <v>87</v>
      </c>
      <c r="I114" s="246">
        <v>0.1</v>
      </c>
      <c r="J114" s="246"/>
      <c r="K114" s="246">
        <v>3</v>
      </c>
      <c r="L114" s="246">
        <v>1.1000000000000001</v>
      </c>
      <c r="M114" s="246">
        <v>17.5</v>
      </c>
      <c r="N114" s="246">
        <v>79</v>
      </c>
      <c r="O114" s="246">
        <v>23.5</v>
      </c>
      <c r="P114" s="246">
        <v>1.95</v>
      </c>
    </row>
    <row r="115" spans="1:16" s="247" customFormat="1" hidden="1" x14ac:dyDescent="0.3">
      <c r="A115" s="252"/>
      <c r="B115" s="244"/>
      <c r="C115" s="245"/>
      <c r="D115" s="246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</row>
    <row r="116" spans="1:16" s="247" customFormat="1" x14ac:dyDescent="0.3">
      <c r="A116" s="291" t="s">
        <v>20</v>
      </c>
      <c r="B116" s="291"/>
      <c r="C116" s="250">
        <f>SUM(C110:C115)</f>
        <v>740</v>
      </c>
      <c r="D116" s="246">
        <f t="shared" si="31"/>
        <v>4.9750833333333331</v>
      </c>
      <c r="E116" s="251">
        <f>SUM(E110:E115)</f>
        <v>33.844999999999999</v>
      </c>
      <c r="F116" s="251">
        <f t="shared" ref="F116:P116" si="32">SUM(F110:F115)</f>
        <v>17.696000000000002</v>
      </c>
      <c r="G116" s="251">
        <f t="shared" si="32"/>
        <v>59.701000000000001</v>
      </c>
      <c r="H116" s="251">
        <f t="shared" si="32"/>
        <v>537.52</v>
      </c>
      <c r="I116" s="251">
        <f t="shared" si="32"/>
        <v>0.43800000000000006</v>
      </c>
      <c r="J116" s="251">
        <f t="shared" si="32"/>
        <v>47.949999999999996</v>
      </c>
      <c r="K116" s="251">
        <f t="shared" si="32"/>
        <v>736.05</v>
      </c>
      <c r="L116" s="251">
        <f t="shared" si="32"/>
        <v>7.16</v>
      </c>
      <c r="M116" s="251">
        <f t="shared" si="32"/>
        <v>130.81200000000001</v>
      </c>
      <c r="N116" s="251">
        <f t="shared" si="32"/>
        <v>440.25</v>
      </c>
      <c r="O116" s="251">
        <f t="shared" si="32"/>
        <v>123.533</v>
      </c>
      <c r="P116" s="251">
        <f t="shared" si="32"/>
        <v>6.1589999999999998</v>
      </c>
    </row>
    <row r="117" spans="1:16" s="247" customFormat="1" x14ac:dyDescent="0.3">
      <c r="A117" s="290" t="s">
        <v>43</v>
      </c>
      <c r="B117" s="290"/>
      <c r="C117" s="290"/>
      <c r="D117" s="290"/>
      <c r="E117" s="290"/>
      <c r="F117" s="290"/>
      <c r="G117" s="290"/>
      <c r="H117" s="290"/>
      <c r="I117" s="290"/>
      <c r="J117" s="290"/>
      <c r="K117" s="290"/>
      <c r="L117" s="290"/>
      <c r="M117" s="290"/>
      <c r="N117" s="290"/>
      <c r="O117" s="290"/>
      <c r="P117" s="290"/>
    </row>
    <row r="118" spans="1:16" s="247" customFormat="1" ht="27.6" x14ac:dyDescent="0.3">
      <c r="A118" s="252"/>
      <c r="B118" s="244" t="s">
        <v>332</v>
      </c>
      <c r="C118" s="245">
        <v>20</v>
      </c>
      <c r="D118" s="246">
        <f>G118/12</f>
        <v>0.64524999999999999</v>
      </c>
      <c r="E118" s="246">
        <v>1.6459999999999999</v>
      </c>
      <c r="F118" s="246">
        <v>4.4420000000000002</v>
      </c>
      <c r="G118" s="246">
        <v>7.7430000000000003</v>
      </c>
      <c r="H118" s="246">
        <v>78.463999999999999</v>
      </c>
      <c r="I118" s="246">
        <v>3.5999999999999997E-2</v>
      </c>
      <c r="J118" s="246">
        <v>0.86599999999999999</v>
      </c>
      <c r="K118" s="246">
        <v>37.311999999999998</v>
      </c>
      <c r="L118" s="246">
        <v>2.1230000000000002</v>
      </c>
      <c r="M118" s="246">
        <v>24.288</v>
      </c>
      <c r="N118" s="246">
        <v>40.863999999999997</v>
      </c>
      <c r="O118" s="246">
        <v>27.504000000000001</v>
      </c>
      <c r="P118" s="246">
        <v>0.56200000000000006</v>
      </c>
    </row>
    <row r="119" spans="1:16" s="247" customFormat="1" x14ac:dyDescent="0.3">
      <c r="A119" s="245">
        <v>386</v>
      </c>
      <c r="B119" s="244" t="s">
        <v>71</v>
      </c>
      <c r="C119" s="245">
        <v>90</v>
      </c>
      <c r="D119" s="246">
        <f t="shared" ref="D119:D121" si="33">G119/12</f>
        <v>0.44249999999999995</v>
      </c>
      <c r="E119" s="246">
        <v>3.69</v>
      </c>
      <c r="F119" s="246">
        <v>1.35</v>
      </c>
      <c r="G119" s="246">
        <v>5.31</v>
      </c>
      <c r="H119" s="246">
        <v>51.3</v>
      </c>
      <c r="I119" s="246"/>
      <c r="J119" s="246">
        <v>0.54</v>
      </c>
      <c r="K119" s="246">
        <v>9</v>
      </c>
      <c r="L119" s="246"/>
      <c r="M119" s="246">
        <v>111.6</v>
      </c>
      <c r="N119" s="246">
        <v>85.5</v>
      </c>
      <c r="O119" s="246">
        <v>13.5</v>
      </c>
      <c r="P119" s="246">
        <v>0.09</v>
      </c>
    </row>
    <row r="120" spans="1:16" s="247" customFormat="1" x14ac:dyDescent="0.3">
      <c r="A120" s="245">
        <v>0</v>
      </c>
      <c r="B120" s="244" t="s">
        <v>51</v>
      </c>
      <c r="C120" s="245">
        <v>150</v>
      </c>
      <c r="D120" s="246">
        <f t="shared" si="33"/>
        <v>1.2249999999999999</v>
      </c>
      <c r="E120" s="246">
        <v>0.6</v>
      </c>
      <c r="F120" s="246">
        <v>0.6</v>
      </c>
      <c r="G120" s="246">
        <v>14.7</v>
      </c>
      <c r="H120" s="246">
        <v>70.5</v>
      </c>
      <c r="I120" s="246">
        <v>4.4999999999999998E-2</v>
      </c>
      <c r="J120" s="246">
        <v>15</v>
      </c>
      <c r="K120" s="246">
        <v>7.5</v>
      </c>
      <c r="L120" s="246">
        <v>0.3</v>
      </c>
      <c r="M120" s="246">
        <v>24</v>
      </c>
      <c r="N120" s="246">
        <v>16.5</v>
      </c>
      <c r="O120" s="246">
        <v>13.5</v>
      </c>
      <c r="P120" s="246">
        <v>3.3</v>
      </c>
    </row>
    <row r="121" spans="1:16" s="247" customFormat="1" x14ac:dyDescent="0.3">
      <c r="A121" s="291" t="s">
        <v>44</v>
      </c>
      <c r="B121" s="291"/>
      <c r="C121" s="250">
        <f>SUM(C118:C120)</f>
        <v>260</v>
      </c>
      <c r="D121" s="246">
        <f t="shared" si="33"/>
        <v>2.3127499999999999</v>
      </c>
      <c r="E121" s="251">
        <f>SUM(E118:E120)</f>
        <v>5.9359999999999999</v>
      </c>
      <c r="F121" s="251">
        <f t="shared" ref="F121:P121" si="34">SUM(F118:F120)</f>
        <v>6.3919999999999995</v>
      </c>
      <c r="G121" s="251">
        <f t="shared" si="34"/>
        <v>27.753</v>
      </c>
      <c r="H121" s="251">
        <f t="shared" si="34"/>
        <v>200.26400000000001</v>
      </c>
      <c r="I121" s="251">
        <f t="shared" si="34"/>
        <v>8.0999999999999989E-2</v>
      </c>
      <c r="J121" s="251">
        <f t="shared" si="34"/>
        <v>16.405999999999999</v>
      </c>
      <c r="K121" s="251">
        <f t="shared" si="34"/>
        <v>53.811999999999998</v>
      </c>
      <c r="L121" s="251">
        <f t="shared" si="34"/>
        <v>2.423</v>
      </c>
      <c r="M121" s="251">
        <f t="shared" si="34"/>
        <v>159.88800000000001</v>
      </c>
      <c r="N121" s="251">
        <f t="shared" si="34"/>
        <v>142.864</v>
      </c>
      <c r="O121" s="251">
        <f t="shared" si="34"/>
        <v>54.504000000000005</v>
      </c>
      <c r="P121" s="251">
        <f t="shared" si="34"/>
        <v>3.952</v>
      </c>
    </row>
    <row r="122" spans="1:16" s="247" customFormat="1" x14ac:dyDescent="0.3">
      <c r="A122" s="292" t="s">
        <v>254</v>
      </c>
      <c r="B122" s="292"/>
      <c r="C122" s="254">
        <f>C121+C116+C108+C103</f>
        <v>1857</v>
      </c>
      <c r="D122" s="255">
        <f t="shared" ref="D122:P122" si="35">D121+D116+D108+D103</f>
        <v>14.060416666666667</v>
      </c>
      <c r="E122" s="255">
        <f t="shared" si="35"/>
        <v>69.114999999999995</v>
      </c>
      <c r="F122" s="255">
        <f t="shared" si="35"/>
        <v>47.575000000000003</v>
      </c>
      <c r="G122" s="255">
        <f t="shared" si="35"/>
        <v>168.72500000000002</v>
      </c>
      <c r="H122" s="255">
        <f t="shared" si="35"/>
        <v>1403.1859999999999</v>
      </c>
      <c r="I122" s="255">
        <f t="shared" si="35"/>
        <v>1.0110000000000001</v>
      </c>
      <c r="J122" s="255">
        <f t="shared" si="35"/>
        <v>134.376</v>
      </c>
      <c r="K122" s="255">
        <f t="shared" si="35"/>
        <v>1168.7919999999999</v>
      </c>
      <c r="L122" s="255">
        <f t="shared" si="35"/>
        <v>15.605</v>
      </c>
      <c r="M122" s="255">
        <f t="shared" si="35"/>
        <v>651.14800000000014</v>
      </c>
      <c r="N122" s="255">
        <f t="shared" si="35"/>
        <v>1187.652</v>
      </c>
      <c r="O122" s="255">
        <f t="shared" si="35"/>
        <v>361.50099999999998</v>
      </c>
      <c r="P122" s="255">
        <f t="shared" si="35"/>
        <v>19.964000000000002</v>
      </c>
    </row>
    <row r="123" spans="1:16" s="247" customFormat="1" x14ac:dyDescent="0.3">
      <c r="A123" s="293" t="s">
        <v>27</v>
      </c>
      <c r="B123" s="293"/>
      <c r="C123" s="293"/>
      <c r="D123" s="293"/>
      <c r="E123" s="293"/>
      <c r="F123" s="293"/>
      <c r="G123" s="293"/>
      <c r="H123" s="293"/>
      <c r="I123" s="287"/>
      <c r="J123" s="287"/>
      <c r="K123" s="287"/>
      <c r="L123" s="287"/>
      <c r="M123" s="287"/>
      <c r="N123" s="287"/>
      <c r="O123" s="287"/>
      <c r="P123" s="287"/>
    </row>
    <row r="124" spans="1:16" s="247" customFormat="1" x14ac:dyDescent="0.3">
      <c r="A124" s="300" t="s">
        <v>33</v>
      </c>
      <c r="B124" s="300" t="s">
        <v>32</v>
      </c>
      <c r="C124" s="300" t="s">
        <v>0</v>
      </c>
      <c r="D124" s="299"/>
      <c r="E124" s="299" t="s">
        <v>1</v>
      </c>
      <c r="F124" s="299"/>
      <c r="G124" s="299"/>
      <c r="H124" s="299" t="s">
        <v>31</v>
      </c>
      <c r="I124" s="299" t="s">
        <v>9</v>
      </c>
      <c r="J124" s="299"/>
      <c r="K124" s="299"/>
      <c r="L124" s="299"/>
      <c r="M124" s="299" t="s">
        <v>10</v>
      </c>
      <c r="N124" s="299"/>
      <c r="O124" s="299"/>
      <c r="P124" s="299"/>
    </row>
    <row r="125" spans="1:16" s="247" customFormat="1" x14ac:dyDescent="0.3">
      <c r="A125" s="300"/>
      <c r="B125" s="300"/>
      <c r="C125" s="300"/>
      <c r="D125" s="299"/>
      <c r="E125" s="256" t="s">
        <v>2</v>
      </c>
      <c r="F125" s="256" t="s">
        <v>3</v>
      </c>
      <c r="G125" s="256" t="s">
        <v>4</v>
      </c>
      <c r="H125" s="299"/>
      <c r="I125" s="256" t="s">
        <v>11</v>
      </c>
      <c r="J125" s="256" t="s">
        <v>12</v>
      </c>
      <c r="K125" s="256" t="s">
        <v>13</v>
      </c>
      <c r="L125" s="256" t="s">
        <v>14</v>
      </c>
      <c r="M125" s="256" t="s">
        <v>15</v>
      </c>
      <c r="N125" s="256" t="s">
        <v>16</v>
      </c>
      <c r="O125" s="256" t="s">
        <v>17</v>
      </c>
      <c r="P125" s="256" t="s">
        <v>18</v>
      </c>
    </row>
    <row r="126" spans="1:16" s="247" customFormat="1" x14ac:dyDescent="0.3">
      <c r="A126" s="290" t="s">
        <v>21</v>
      </c>
      <c r="B126" s="290"/>
      <c r="C126" s="290"/>
      <c r="D126" s="290"/>
      <c r="E126" s="290"/>
      <c r="F126" s="290"/>
      <c r="G126" s="290"/>
      <c r="H126" s="290"/>
      <c r="I126" s="290"/>
      <c r="J126" s="290"/>
      <c r="K126" s="290"/>
      <c r="L126" s="290"/>
      <c r="M126" s="290"/>
      <c r="N126" s="290"/>
      <c r="O126" s="290"/>
      <c r="P126" s="290"/>
    </row>
    <row r="127" spans="1:16" s="247" customFormat="1" x14ac:dyDescent="0.3">
      <c r="A127" s="248">
        <v>71</v>
      </c>
      <c r="B127" s="244" t="s">
        <v>351</v>
      </c>
      <c r="C127" s="245">
        <v>70</v>
      </c>
      <c r="D127" s="246">
        <f>G127/12</f>
        <v>0.22166666666666668</v>
      </c>
      <c r="E127" s="246">
        <v>0.77</v>
      </c>
      <c r="F127" s="246">
        <v>0.14000000000000001</v>
      </c>
      <c r="G127" s="246">
        <v>2.66</v>
      </c>
      <c r="H127" s="246">
        <v>16.8</v>
      </c>
      <c r="I127" s="246">
        <v>4.2000000000000003E-2</v>
      </c>
      <c r="J127" s="246">
        <v>17.5</v>
      </c>
      <c r="K127" s="246"/>
      <c r="L127" s="246">
        <v>0.49</v>
      </c>
      <c r="M127" s="246">
        <v>9.8000000000000007</v>
      </c>
      <c r="N127" s="246">
        <v>18.2</v>
      </c>
      <c r="O127" s="246">
        <v>14</v>
      </c>
      <c r="P127" s="246">
        <v>0.63</v>
      </c>
    </row>
    <row r="128" spans="1:16" s="247" customFormat="1" ht="27.6" x14ac:dyDescent="0.3">
      <c r="A128" s="249">
        <v>213</v>
      </c>
      <c r="B128" s="244" t="s">
        <v>244</v>
      </c>
      <c r="C128" s="245">
        <v>150</v>
      </c>
      <c r="D128" s="246">
        <f t="shared" ref="D128:D132" si="36">G128/12</f>
        <v>1.1134999999999999</v>
      </c>
      <c r="E128" s="246">
        <v>16.138000000000002</v>
      </c>
      <c r="F128" s="246">
        <v>8.01</v>
      </c>
      <c r="G128" s="246">
        <v>13.362</v>
      </c>
      <c r="H128" s="246">
        <v>186.78</v>
      </c>
      <c r="I128" s="246">
        <v>8.5999999999999993E-2</v>
      </c>
      <c r="J128" s="246">
        <v>13.404</v>
      </c>
      <c r="K128" s="246">
        <v>19.399999999999999</v>
      </c>
      <c r="L128" s="246">
        <v>1.8660000000000001</v>
      </c>
      <c r="M128" s="246">
        <v>58.170999999999999</v>
      </c>
      <c r="N128" s="246">
        <v>95.125</v>
      </c>
      <c r="O128" s="246">
        <v>28.257000000000001</v>
      </c>
      <c r="P128" s="246">
        <v>0.82499999999999996</v>
      </c>
    </row>
    <row r="129" spans="1:16" s="247" customFormat="1" ht="27.6" x14ac:dyDescent="0.3">
      <c r="A129" s="252"/>
      <c r="B129" s="244" t="s">
        <v>336</v>
      </c>
      <c r="C129" s="245">
        <v>200</v>
      </c>
      <c r="D129" s="246">
        <f t="shared" si="36"/>
        <v>0.32708333333333334</v>
      </c>
      <c r="E129" s="246">
        <v>0.16</v>
      </c>
      <c r="F129" s="246">
        <v>0.16</v>
      </c>
      <c r="G129" s="246">
        <v>3.9249999999999998</v>
      </c>
      <c r="H129" s="246">
        <v>18.800999999999998</v>
      </c>
      <c r="I129" s="246">
        <v>1.2E-2</v>
      </c>
      <c r="J129" s="246">
        <v>4.01</v>
      </c>
      <c r="K129" s="246">
        <v>2</v>
      </c>
      <c r="L129" s="246">
        <v>0.08</v>
      </c>
      <c r="M129" s="246">
        <v>6.8949999999999996</v>
      </c>
      <c r="N129" s="246">
        <v>5.2240000000000002</v>
      </c>
      <c r="O129" s="246">
        <v>4.04</v>
      </c>
      <c r="P129" s="246">
        <v>0.96199999999999997</v>
      </c>
    </row>
    <row r="130" spans="1:16" s="247" customFormat="1" x14ac:dyDescent="0.3">
      <c r="A130" s="245">
        <v>0</v>
      </c>
      <c r="B130" s="244" t="s">
        <v>66</v>
      </c>
      <c r="C130" s="245">
        <v>120</v>
      </c>
      <c r="D130" s="246">
        <f t="shared" si="36"/>
        <v>0.75</v>
      </c>
      <c r="E130" s="246">
        <v>0.96</v>
      </c>
      <c r="F130" s="246">
        <v>0.24</v>
      </c>
      <c r="G130" s="246">
        <v>9</v>
      </c>
      <c r="H130" s="246">
        <v>45.6</v>
      </c>
      <c r="I130" s="246">
        <v>7.1999999999999995E-2</v>
      </c>
      <c r="J130" s="246">
        <v>45.6</v>
      </c>
      <c r="K130" s="246"/>
      <c r="L130" s="246">
        <v>0.24</v>
      </c>
      <c r="M130" s="246">
        <v>42</v>
      </c>
      <c r="N130" s="246">
        <v>20.399999999999999</v>
      </c>
      <c r="O130" s="246">
        <v>13.2</v>
      </c>
      <c r="P130" s="246">
        <v>0.12</v>
      </c>
    </row>
    <row r="131" spans="1:16" s="247" customFormat="1" x14ac:dyDescent="0.3">
      <c r="A131" s="252"/>
      <c r="B131" s="244" t="s">
        <v>19</v>
      </c>
      <c r="C131" s="245">
        <v>40</v>
      </c>
      <c r="D131" s="246">
        <f t="shared" si="36"/>
        <v>1.1399999999999999</v>
      </c>
      <c r="E131" s="246">
        <v>2.64</v>
      </c>
      <c r="F131" s="246">
        <v>0.48</v>
      </c>
      <c r="G131" s="246">
        <v>13.68</v>
      </c>
      <c r="H131" s="246">
        <v>69.599999999999994</v>
      </c>
      <c r="I131" s="246">
        <v>0.08</v>
      </c>
      <c r="J131" s="246"/>
      <c r="K131" s="246">
        <v>2.4</v>
      </c>
      <c r="L131" s="246">
        <v>0.88</v>
      </c>
      <c r="M131" s="246">
        <v>14</v>
      </c>
      <c r="N131" s="246">
        <v>63.2</v>
      </c>
      <c r="O131" s="246">
        <v>18.8</v>
      </c>
      <c r="P131" s="246">
        <v>1.56</v>
      </c>
    </row>
    <row r="132" spans="1:16" s="247" customFormat="1" x14ac:dyDescent="0.3">
      <c r="A132" s="291" t="s">
        <v>248</v>
      </c>
      <c r="B132" s="291"/>
      <c r="C132" s="250">
        <f>SUM(C127:C131)</f>
        <v>580</v>
      </c>
      <c r="D132" s="246">
        <f t="shared" si="36"/>
        <v>3.5522499999999995</v>
      </c>
      <c r="E132" s="251">
        <f>SUM(E127:E131)</f>
        <v>20.668000000000003</v>
      </c>
      <c r="F132" s="251">
        <f t="shared" ref="F132:P132" si="37">SUM(F127:F131)</f>
        <v>9.0300000000000011</v>
      </c>
      <c r="G132" s="251">
        <f t="shared" si="37"/>
        <v>42.626999999999995</v>
      </c>
      <c r="H132" s="251">
        <f t="shared" si="37"/>
        <v>337.58100000000002</v>
      </c>
      <c r="I132" s="251">
        <f t="shared" si="37"/>
        <v>0.29200000000000004</v>
      </c>
      <c r="J132" s="251">
        <f t="shared" si="37"/>
        <v>80.51400000000001</v>
      </c>
      <c r="K132" s="251">
        <f t="shared" si="37"/>
        <v>23.799999999999997</v>
      </c>
      <c r="L132" s="251">
        <f t="shared" si="37"/>
        <v>3.556</v>
      </c>
      <c r="M132" s="251">
        <f t="shared" si="37"/>
        <v>130.86599999999999</v>
      </c>
      <c r="N132" s="251">
        <f t="shared" si="37"/>
        <v>202.149</v>
      </c>
      <c r="O132" s="251">
        <f t="shared" si="37"/>
        <v>78.296999999999997</v>
      </c>
      <c r="P132" s="251">
        <f t="shared" si="37"/>
        <v>4.0969999999999995</v>
      </c>
    </row>
    <row r="133" spans="1:16" s="247" customFormat="1" x14ac:dyDescent="0.3">
      <c r="A133" s="290" t="s">
        <v>249</v>
      </c>
      <c r="B133" s="290"/>
      <c r="C133" s="290"/>
      <c r="D133" s="290"/>
      <c r="E133" s="290"/>
      <c r="F133" s="290"/>
      <c r="G133" s="290"/>
      <c r="H133" s="290"/>
      <c r="I133" s="290"/>
      <c r="J133" s="290"/>
      <c r="K133" s="290"/>
      <c r="L133" s="290"/>
      <c r="M133" s="290"/>
      <c r="N133" s="290"/>
      <c r="O133" s="290"/>
      <c r="P133" s="290"/>
    </row>
    <row r="134" spans="1:16" s="247" customFormat="1" ht="27.6" x14ac:dyDescent="0.3">
      <c r="A134" s="252"/>
      <c r="B134" s="244" t="s">
        <v>332</v>
      </c>
      <c r="C134" s="245">
        <v>20</v>
      </c>
      <c r="D134" s="246">
        <f>G134/12</f>
        <v>0.64524999999999999</v>
      </c>
      <c r="E134" s="246">
        <v>1.6459999999999999</v>
      </c>
      <c r="F134" s="246">
        <v>4.4420000000000002</v>
      </c>
      <c r="G134" s="246">
        <v>7.7430000000000003</v>
      </c>
      <c r="H134" s="246">
        <v>78.463999999999999</v>
      </c>
      <c r="I134" s="246">
        <v>3.5999999999999997E-2</v>
      </c>
      <c r="J134" s="246">
        <v>0.86599999999999999</v>
      </c>
      <c r="K134" s="246">
        <v>37.311999999999998</v>
      </c>
      <c r="L134" s="246">
        <v>2.1230000000000002</v>
      </c>
      <c r="M134" s="246">
        <v>24.288</v>
      </c>
      <c r="N134" s="246">
        <v>40.863999999999997</v>
      </c>
      <c r="O134" s="246">
        <v>27.504000000000001</v>
      </c>
      <c r="P134" s="246">
        <v>0.56200000000000006</v>
      </c>
    </row>
    <row r="135" spans="1:16" s="247" customFormat="1" x14ac:dyDescent="0.3">
      <c r="A135" s="245">
        <v>386</v>
      </c>
      <c r="B135" s="244" t="s">
        <v>71</v>
      </c>
      <c r="C135" s="245">
        <v>90</v>
      </c>
      <c r="D135" s="246">
        <f t="shared" ref="D135:D137" si="38">G135/12</f>
        <v>0.44249999999999995</v>
      </c>
      <c r="E135" s="246">
        <v>3.69</v>
      </c>
      <c r="F135" s="246">
        <v>1.35</v>
      </c>
      <c r="G135" s="246">
        <v>5.31</v>
      </c>
      <c r="H135" s="246">
        <v>51.3</v>
      </c>
      <c r="I135" s="246"/>
      <c r="J135" s="246">
        <v>0.54</v>
      </c>
      <c r="K135" s="246">
        <v>9</v>
      </c>
      <c r="L135" s="246"/>
      <c r="M135" s="246">
        <v>111.6</v>
      </c>
      <c r="N135" s="246">
        <v>85.5</v>
      </c>
      <c r="O135" s="246">
        <v>13.5</v>
      </c>
      <c r="P135" s="246">
        <v>0.09</v>
      </c>
    </row>
    <row r="136" spans="1:16" s="247" customFormat="1" x14ac:dyDescent="0.3">
      <c r="A136" s="245">
        <v>0</v>
      </c>
      <c r="B136" s="244" t="s">
        <v>66</v>
      </c>
      <c r="C136" s="245">
        <v>150</v>
      </c>
      <c r="D136" s="246">
        <f t="shared" si="38"/>
        <v>0.9375</v>
      </c>
      <c r="E136" s="246">
        <v>1.2</v>
      </c>
      <c r="F136" s="246">
        <v>0.3</v>
      </c>
      <c r="G136" s="246">
        <v>11.25</v>
      </c>
      <c r="H136" s="246">
        <v>57</v>
      </c>
      <c r="I136" s="246">
        <v>0.09</v>
      </c>
      <c r="J136" s="246">
        <v>57</v>
      </c>
      <c r="K136" s="246"/>
      <c r="L136" s="246">
        <v>0.3</v>
      </c>
      <c r="M136" s="246">
        <v>52.5</v>
      </c>
      <c r="N136" s="246">
        <v>25.5</v>
      </c>
      <c r="O136" s="246">
        <v>16.5</v>
      </c>
      <c r="P136" s="246">
        <v>0.15</v>
      </c>
    </row>
    <row r="137" spans="1:16" s="247" customFormat="1" x14ac:dyDescent="0.3">
      <c r="A137" s="291" t="s">
        <v>250</v>
      </c>
      <c r="B137" s="291"/>
      <c r="C137" s="250">
        <f>SUM(C134:C136)</f>
        <v>260</v>
      </c>
      <c r="D137" s="246">
        <f t="shared" si="38"/>
        <v>2.0252500000000002</v>
      </c>
      <c r="E137" s="251">
        <f>SUM(E134:E136)</f>
        <v>6.5360000000000005</v>
      </c>
      <c r="F137" s="251">
        <f t="shared" ref="F137:P137" si="39">SUM(F134:F136)</f>
        <v>6.0919999999999996</v>
      </c>
      <c r="G137" s="251">
        <f t="shared" si="39"/>
        <v>24.303000000000001</v>
      </c>
      <c r="H137" s="251">
        <f t="shared" si="39"/>
        <v>186.76400000000001</v>
      </c>
      <c r="I137" s="251">
        <f t="shared" si="39"/>
        <v>0.126</v>
      </c>
      <c r="J137" s="251">
        <f t="shared" si="39"/>
        <v>58.405999999999999</v>
      </c>
      <c r="K137" s="251">
        <f t="shared" si="39"/>
        <v>46.311999999999998</v>
      </c>
      <c r="L137" s="251">
        <f t="shared" si="39"/>
        <v>2.423</v>
      </c>
      <c r="M137" s="251">
        <f t="shared" si="39"/>
        <v>188.38800000000001</v>
      </c>
      <c r="N137" s="251">
        <f t="shared" si="39"/>
        <v>151.864</v>
      </c>
      <c r="O137" s="251">
        <f t="shared" si="39"/>
        <v>57.504000000000005</v>
      </c>
      <c r="P137" s="251">
        <f t="shared" si="39"/>
        <v>0.80200000000000005</v>
      </c>
    </row>
    <row r="138" spans="1:16" s="247" customFormat="1" x14ac:dyDescent="0.3">
      <c r="A138" s="290" t="s">
        <v>8</v>
      </c>
      <c r="B138" s="290"/>
      <c r="C138" s="290"/>
      <c r="D138" s="290"/>
      <c r="E138" s="290"/>
      <c r="F138" s="290"/>
      <c r="G138" s="290"/>
      <c r="H138" s="290"/>
      <c r="I138" s="290"/>
      <c r="J138" s="290"/>
      <c r="K138" s="290"/>
      <c r="L138" s="290"/>
      <c r="M138" s="290"/>
      <c r="N138" s="290"/>
      <c r="O138" s="290"/>
      <c r="P138" s="290"/>
    </row>
    <row r="139" spans="1:16" s="247" customFormat="1" x14ac:dyDescent="0.3">
      <c r="A139" s="249">
        <v>24</v>
      </c>
      <c r="B139" s="244" t="s">
        <v>341</v>
      </c>
      <c r="C139" s="245">
        <v>60</v>
      </c>
      <c r="D139" s="246">
        <f>G139/12</f>
        <v>0.17291666666666669</v>
      </c>
      <c r="E139" s="246">
        <v>0.56399999999999995</v>
      </c>
      <c r="F139" s="246">
        <v>4.0890000000000004</v>
      </c>
      <c r="G139" s="246">
        <v>2.0750000000000002</v>
      </c>
      <c r="H139" s="246">
        <v>48.103999999999999</v>
      </c>
      <c r="I139" s="246">
        <v>2.7E-2</v>
      </c>
      <c r="J139" s="246">
        <v>9.42</v>
      </c>
      <c r="K139" s="246"/>
      <c r="L139" s="246">
        <v>1.998</v>
      </c>
      <c r="M139" s="246">
        <v>9.8000000000000007</v>
      </c>
      <c r="N139" s="246">
        <v>17.98</v>
      </c>
      <c r="O139" s="246">
        <v>9.7200000000000006</v>
      </c>
      <c r="P139" s="246">
        <v>0.42199999999999999</v>
      </c>
    </row>
    <row r="140" spans="1:16" s="247" customFormat="1" x14ac:dyDescent="0.3">
      <c r="A140" s="248">
        <v>84</v>
      </c>
      <c r="B140" s="244" t="s">
        <v>352</v>
      </c>
      <c r="C140" s="245">
        <v>250</v>
      </c>
      <c r="D140" s="246">
        <f t="shared" ref="D140:D145" si="40">G140/12</f>
        <v>1.3851666666666667</v>
      </c>
      <c r="E140" s="246">
        <v>3.919</v>
      </c>
      <c r="F140" s="246">
        <v>5.37</v>
      </c>
      <c r="G140" s="246">
        <v>16.622</v>
      </c>
      <c r="H140" s="246">
        <v>132.04499999999999</v>
      </c>
      <c r="I140" s="246">
        <v>0.111</v>
      </c>
      <c r="J140" s="246">
        <v>14.2</v>
      </c>
      <c r="K140" s="246">
        <v>200</v>
      </c>
      <c r="L140" s="246">
        <v>2.468</v>
      </c>
      <c r="M140" s="246">
        <v>41.5</v>
      </c>
      <c r="N140" s="246">
        <v>97.54</v>
      </c>
      <c r="O140" s="246">
        <v>34.35</v>
      </c>
      <c r="P140" s="246">
        <v>1.7270000000000001</v>
      </c>
    </row>
    <row r="141" spans="1:16" s="247" customFormat="1" ht="27.6" x14ac:dyDescent="0.3">
      <c r="A141" s="252"/>
      <c r="B141" s="244" t="s">
        <v>376</v>
      </c>
      <c r="C141" s="245">
        <v>200</v>
      </c>
      <c r="D141" s="246">
        <f t="shared" si="40"/>
        <v>1.9501666666666668</v>
      </c>
      <c r="E141" s="246">
        <v>13.763999999999999</v>
      </c>
      <c r="F141" s="246">
        <v>6.0049999999999999</v>
      </c>
      <c r="G141" s="246">
        <v>23.402000000000001</v>
      </c>
      <c r="H141" s="246">
        <v>203.785</v>
      </c>
      <c r="I141" s="246">
        <v>0.224</v>
      </c>
      <c r="J141" s="246">
        <v>29.15</v>
      </c>
      <c r="K141" s="246">
        <v>486.5</v>
      </c>
      <c r="L141" s="246">
        <v>3.1070000000000002</v>
      </c>
      <c r="M141" s="246">
        <v>38.21</v>
      </c>
      <c r="N141" s="246">
        <v>225.04</v>
      </c>
      <c r="O141" s="246">
        <v>60.04</v>
      </c>
      <c r="P141" s="246">
        <v>1.7769999999999999</v>
      </c>
    </row>
    <row r="142" spans="1:16" s="247" customFormat="1" x14ac:dyDescent="0.3">
      <c r="A142" s="249">
        <v>378</v>
      </c>
      <c r="B142" s="244" t="s">
        <v>353</v>
      </c>
      <c r="C142" s="245">
        <v>200</v>
      </c>
      <c r="D142" s="246">
        <f t="shared" si="40"/>
        <v>0.20066666666666666</v>
      </c>
      <c r="E142" s="246">
        <v>1.45</v>
      </c>
      <c r="F142" s="246">
        <v>1.25</v>
      </c>
      <c r="G142" s="246">
        <v>2.4079999999999999</v>
      </c>
      <c r="H142" s="246">
        <v>27.012</v>
      </c>
      <c r="I142" s="246">
        <v>1.0999999999999999E-2</v>
      </c>
      <c r="J142" s="246">
        <v>0.4</v>
      </c>
      <c r="K142" s="246">
        <v>5</v>
      </c>
      <c r="L142" s="246"/>
      <c r="M142" s="246">
        <v>64.95</v>
      </c>
      <c r="N142" s="246">
        <v>53.24</v>
      </c>
      <c r="O142" s="246">
        <v>11.4</v>
      </c>
      <c r="P142" s="246">
        <v>0.87</v>
      </c>
    </row>
    <row r="143" spans="1:16" s="247" customFormat="1" x14ac:dyDescent="0.3">
      <c r="A143" s="252"/>
      <c r="B143" s="244" t="s">
        <v>19</v>
      </c>
      <c r="C143" s="245">
        <v>50</v>
      </c>
      <c r="D143" s="246">
        <f t="shared" si="40"/>
        <v>1.425</v>
      </c>
      <c r="E143" s="246">
        <v>3.3</v>
      </c>
      <c r="F143" s="246">
        <v>0.6</v>
      </c>
      <c r="G143" s="246">
        <v>17.100000000000001</v>
      </c>
      <c r="H143" s="246">
        <v>87</v>
      </c>
      <c r="I143" s="246">
        <v>0.1</v>
      </c>
      <c r="J143" s="246"/>
      <c r="K143" s="246">
        <v>3</v>
      </c>
      <c r="L143" s="246">
        <v>1.1000000000000001</v>
      </c>
      <c r="M143" s="246">
        <v>17.5</v>
      </c>
      <c r="N143" s="246">
        <v>79</v>
      </c>
      <c r="O143" s="246">
        <v>23.5</v>
      </c>
      <c r="P143" s="246">
        <v>1.95</v>
      </c>
    </row>
    <row r="144" spans="1:16" s="247" customFormat="1" x14ac:dyDescent="0.3">
      <c r="A144" s="252"/>
      <c r="B144" s="244" t="s">
        <v>51</v>
      </c>
      <c r="C144" s="245">
        <v>200</v>
      </c>
      <c r="D144" s="246">
        <f t="shared" si="40"/>
        <v>1.6333333333333335</v>
      </c>
      <c r="E144" s="246">
        <v>0.8</v>
      </c>
      <c r="F144" s="246">
        <v>0.8</v>
      </c>
      <c r="G144" s="246">
        <v>19.600000000000001</v>
      </c>
      <c r="H144" s="246">
        <v>94</v>
      </c>
      <c r="I144" s="246">
        <v>0.06</v>
      </c>
      <c r="J144" s="246">
        <v>20</v>
      </c>
      <c r="K144" s="246">
        <v>10</v>
      </c>
      <c r="L144" s="246">
        <v>0.4</v>
      </c>
      <c r="M144" s="246">
        <v>32</v>
      </c>
      <c r="N144" s="246">
        <v>22</v>
      </c>
      <c r="O144" s="246">
        <v>18</v>
      </c>
      <c r="P144" s="246">
        <v>4.4000000000000004</v>
      </c>
    </row>
    <row r="145" spans="1:16" s="247" customFormat="1" x14ac:dyDescent="0.3">
      <c r="A145" s="291" t="s">
        <v>20</v>
      </c>
      <c r="B145" s="291"/>
      <c r="C145" s="250">
        <f>SUM(C139:C144)</f>
        <v>960</v>
      </c>
      <c r="D145" s="246">
        <f t="shared" si="40"/>
        <v>6.7672500000000007</v>
      </c>
      <c r="E145" s="251">
        <f>SUM(E139:E144)</f>
        <v>23.797000000000001</v>
      </c>
      <c r="F145" s="251">
        <f t="shared" ref="F145:P145" si="41">SUM(F139:F144)</f>
        <v>18.114000000000001</v>
      </c>
      <c r="G145" s="251">
        <f t="shared" si="41"/>
        <v>81.207000000000008</v>
      </c>
      <c r="H145" s="251">
        <f t="shared" si="41"/>
        <v>591.94599999999991</v>
      </c>
      <c r="I145" s="251">
        <f t="shared" si="41"/>
        <v>0.53299999999999992</v>
      </c>
      <c r="J145" s="251">
        <f t="shared" si="41"/>
        <v>73.169999999999987</v>
      </c>
      <c r="K145" s="251">
        <f t="shared" si="41"/>
        <v>704.5</v>
      </c>
      <c r="L145" s="251">
        <f t="shared" si="41"/>
        <v>9.0730000000000004</v>
      </c>
      <c r="M145" s="251">
        <f t="shared" si="41"/>
        <v>203.95999999999998</v>
      </c>
      <c r="N145" s="251">
        <f t="shared" si="41"/>
        <v>494.8</v>
      </c>
      <c r="O145" s="251">
        <f t="shared" si="41"/>
        <v>157.01</v>
      </c>
      <c r="P145" s="251">
        <f t="shared" si="41"/>
        <v>11.146000000000001</v>
      </c>
    </row>
    <row r="146" spans="1:16" s="247" customFormat="1" x14ac:dyDescent="0.3">
      <c r="A146" s="290" t="s">
        <v>43</v>
      </c>
      <c r="B146" s="290"/>
      <c r="C146" s="290"/>
      <c r="D146" s="290"/>
      <c r="E146" s="290"/>
      <c r="F146" s="290"/>
      <c r="G146" s="290"/>
      <c r="H146" s="290"/>
      <c r="I146" s="290"/>
      <c r="J146" s="290"/>
      <c r="K146" s="290"/>
      <c r="L146" s="290"/>
      <c r="M146" s="290"/>
      <c r="N146" s="290"/>
      <c r="O146" s="290"/>
      <c r="P146" s="290"/>
    </row>
    <row r="147" spans="1:16" s="247" customFormat="1" ht="27.6" x14ac:dyDescent="0.3">
      <c r="A147" s="252"/>
      <c r="B147" s="244" t="s">
        <v>332</v>
      </c>
      <c r="C147" s="245">
        <v>20</v>
      </c>
      <c r="D147" s="246">
        <f>G147/12</f>
        <v>0.64524999999999999</v>
      </c>
      <c r="E147" s="246">
        <v>1.6459999999999999</v>
      </c>
      <c r="F147" s="246">
        <v>4.4420000000000002</v>
      </c>
      <c r="G147" s="246">
        <v>7.7430000000000003</v>
      </c>
      <c r="H147" s="246">
        <v>78.463999999999999</v>
      </c>
      <c r="I147" s="246">
        <v>3.5999999999999997E-2</v>
      </c>
      <c r="J147" s="246">
        <v>0.86599999999999999</v>
      </c>
      <c r="K147" s="246">
        <v>37.311999999999998</v>
      </c>
      <c r="L147" s="246">
        <v>2.1230000000000002</v>
      </c>
      <c r="M147" s="246">
        <v>24.288</v>
      </c>
      <c r="N147" s="246">
        <v>40.863999999999997</v>
      </c>
      <c r="O147" s="246">
        <v>27.504000000000001</v>
      </c>
      <c r="P147" s="246">
        <v>0.56200000000000006</v>
      </c>
    </row>
    <row r="148" spans="1:16" s="247" customFormat="1" x14ac:dyDescent="0.3">
      <c r="A148" s="245">
        <v>386</v>
      </c>
      <c r="B148" s="244" t="s">
        <v>71</v>
      </c>
      <c r="C148" s="245">
        <v>90</v>
      </c>
      <c r="D148" s="246">
        <f t="shared" ref="D148:D150" si="42">G148/12</f>
        <v>0.44249999999999995</v>
      </c>
      <c r="E148" s="246">
        <v>3.69</v>
      </c>
      <c r="F148" s="246">
        <v>1.35</v>
      </c>
      <c r="G148" s="246">
        <v>5.31</v>
      </c>
      <c r="H148" s="246">
        <v>51.3</v>
      </c>
      <c r="I148" s="246"/>
      <c r="J148" s="246">
        <v>0.54</v>
      </c>
      <c r="K148" s="246">
        <v>9</v>
      </c>
      <c r="L148" s="246"/>
      <c r="M148" s="246">
        <v>111.6</v>
      </c>
      <c r="N148" s="246">
        <v>85.5</v>
      </c>
      <c r="O148" s="246">
        <v>13.5</v>
      </c>
      <c r="P148" s="246">
        <v>0.09</v>
      </c>
    </row>
    <row r="149" spans="1:16" s="247" customFormat="1" x14ac:dyDescent="0.3">
      <c r="A149" s="245">
        <v>0</v>
      </c>
      <c r="B149" s="244" t="s">
        <v>66</v>
      </c>
      <c r="C149" s="245">
        <v>150</v>
      </c>
      <c r="D149" s="246">
        <f t="shared" si="42"/>
        <v>0.9375</v>
      </c>
      <c r="E149" s="246">
        <v>1.2</v>
      </c>
      <c r="F149" s="246">
        <v>0.3</v>
      </c>
      <c r="G149" s="246">
        <v>11.25</v>
      </c>
      <c r="H149" s="246">
        <v>57</v>
      </c>
      <c r="I149" s="246">
        <v>0.09</v>
      </c>
      <c r="J149" s="246">
        <v>57</v>
      </c>
      <c r="K149" s="246"/>
      <c r="L149" s="246">
        <v>0.3</v>
      </c>
      <c r="M149" s="246">
        <v>52.5</v>
      </c>
      <c r="N149" s="246">
        <v>25.5</v>
      </c>
      <c r="O149" s="246">
        <v>16.5</v>
      </c>
      <c r="P149" s="246">
        <v>0.15</v>
      </c>
    </row>
    <row r="150" spans="1:16" s="247" customFormat="1" x14ac:dyDescent="0.3">
      <c r="A150" s="291" t="s">
        <v>44</v>
      </c>
      <c r="B150" s="291"/>
      <c r="C150" s="250">
        <f>SUM(C147:C149)</f>
        <v>260</v>
      </c>
      <c r="D150" s="246">
        <f t="shared" si="42"/>
        <v>2.0252500000000002</v>
      </c>
      <c r="E150" s="251">
        <f>SUM(E147:E149)</f>
        <v>6.5360000000000005</v>
      </c>
      <c r="F150" s="251">
        <f t="shared" ref="F150:P150" si="43">SUM(F147:F149)</f>
        <v>6.0919999999999996</v>
      </c>
      <c r="G150" s="251">
        <f t="shared" si="43"/>
        <v>24.303000000000001</v>
      </c>
      <c r="H150" s="251">
        <f t="shared" si="43"/>
        <v>186.76400000000001</v>
      </c>
      <c r="I150" s="251">
        <f t="shared" si="43"/>
        <v>0.126</v>
      </c>
      <c r="J150" s="251">
        <f t="shared" si="43"/>
        <v>58.405999999999999</v>
      </c>
      <c r="K150" s="251">
        <f t="shared" si="43"/>
        <v>46.311999999999998</v>
      </c>
      <c r="L150" s="251">
        <f t="shared" si="43"/>
        <v>2.423</v>
      </c>
      <c r="M150" s="251">
        <f t="shared" si="43"/>
        <v>188.38800000000001</v>
      </c>
      <c r="N150" s="251">
        <f t="shared" si="43"/>
        <v>151.864</v>
      </c>
      <c r="O150" s="251">
        <f t="shared" si="43"/>
        <v>57.504000000000005</v>
      </c>
      <c r="P150" s="251">
        <f t="shared" si="43"/>
        <v>0.80200000000000005</v>
      </c>
    </row>
    <row r="151" spans="1:16" s="247" customFormat="1" x14ac:dyDescent="0.3">
      <c r="A151" s="292" t="s">
        <v>255</v>
      </c>
      <c r="B151" s="292"/>
      <c r="C151" s="254">
        <f>C150+C145+C137+C132</f>
        <v>2060</v>
      </c>
      <c r="D151" s="255">
        <f t="shared" ref="D151:P151" si="44">D150+D145+D137+D132</f>
        <v>14.37</v>
      </c>
      <c r="E151" s="255">
        <f t="shared" si="44"/>
        <v>57.537000000000006</v>
      </c>
      <c r="F151" s="255">
        <f t="shared" si="44"/>
        <v>39.328000000000003</v>
      </c>
      <c r="G151" s="255">
        <f t="shared" si="44"/>
        <v>172.44</v>
      </c>
      <c r="H151" s="255">
        <f t="shared" si="44"/>
        <v>1303.0549999999998</v>
      </c>
      <c r="I151" s="255">
        <f t="shared" si="44"/>
        <v>1.077</v>
      </c>
      <c r="J151" s="255">
        <f t="shared" si="44"/>
        <v>270.49599999999998</v>
      </c>
      <c r="K151" s="255">
        <f t="shared" si="44"/>
        <v>820.92399999999998</v>
      </c>
      <c r="L151" s="255">
        <f t="shared" si="44"/>
        <v>17.475000000000001</v>
      </c>
      <c r="M151" s="255">
        <f t="shared" si="44"/>
        <v>711.60199999999998</v>
      </c>
      <c r="N151" s="255">
        <f t="shared" si="44"/>
        <v>1000.677</v>
      </c>
      <c r="O151" s="255">
        <f t="shared" si="44"/>
        <v>350.31500000000005</v>
      </c>
      <c r="P151" s="255">
        <f t="shared" si="44"/>
        <v>16.847000000000001</v>
      </c>
    </row>
    <row r="152" spans="1:16" s="247" customFormat="1" x14ac:dyDescent="0.3">
      <c r="A152" s="293" t="s">
        <v>26</v>
      </c>
      <c r="B152" s="293"/>
      <c r="C152" s="293"/>
      <c r="D152" s="293"/>
      <c r="E152" s="293"/>
      <c r="F152" s="293"/>
      <c r="G152" s="293"/>
      <c r="H152" s="293"/>
      <c r="I152" s="287"/>
      <c r="J152" s="287"/>
      <c r="K152" s="287"/>
      <c r="L152" s="287"/>
      <c r="M152" s="287"/>
      <c r="N152" s="287"/>
      <c r="O152" s="287"/>
      <c r="P152" s="287"/>
    </row>
    <row r="153" spans="1:16" s="247" customFormat="1" x14ac:dyDescent="0.3">
      <c r="A153" s="300" t="s">
        <v>33</v>
      </c>
      <c r="B153" s="300" t="s">
        <v>32</v>
      </c>
      <c r="C153" s="300" t="s">
        <v>0</v>
      </c>
      <c r="D153" s="299"/>
      <c r="E153" s="299" t="s">
        <v>1</v>
      </c>
      <c r="F153" s="299"/>
      <c r="G153" s="299"/>
      <c r="H153" s="299" t="s">
        <v>31</v>
      </c>
      <c r="I153" s="299" t="s">
        <v>9</v>
      </c>
      <c r="J153" s="299"/>
      <c r="K153" s="299"/>
      <c r="L153" s="299"/>
      <c r="M153" s="299" t="s">
        <v>10</v>
      </c>
      <c r="N153" s="299"/>
      <c r="O153" s="299"/>
      <c r="P153" s="299"/>
    </row>
    <row r="154" spans="1:16" s="247" customFormat="1" x14ac:dyDescent="0.3">
      <c r="A154" s="300"/>
      <c r="B154" s="300"/>
      <c r="C154" s="300"/>
      <c r="D154" s="299"/>
      <c r="E154" s="256" t="s">
        <v>2</v>
      </c>
      <c r="F154" s="256" t="s">
        <v>3</v>
      </c>
      <c r="G154" s="256" t="s">
        <v>4</v>
      </c>
      <c r="H154" s="299"/>
      <c r="I154" s="256" t="s">
        <v>11</v>
      </c>
      <c r="J154" s="256" t="s">
        <v>12</v>
      </c>
      <c r="K154" s="256" t="s">
        <v>13</v>
      </c>
      <c r="L154" s="256" t="s">
        <v>14</v>
      </c>
      <c r="M154" s="256" t="s">
        <v>15</v>
      </c>
      <c r="N154" s="256" t="s">
        <v>16</v>
      </c>
      <c r="O154" s="256" t="s">
        <v>17</v>
      </c>
      <c r="P154" s="256" t="s">
        <v>18</v>
      </c>
    </row>
    <row r="155" spans="1:16" s="247" customFormat="1" x14ac:dyDescent="0.3">
      <c r="A155" s="290" t="s">
        <v>21</v>
      </c>
      <c r="B155" s="290"/>
      <c r="C155" s="290"/>
      <c r="D155" s="290"/>
      <c r="E155" s="290"/>
      <c r="F155" s="290"/>
      <c r="G155" s="290"/>
      <c r="H155" s="290"/>
      <c r="I155" s="290"/>
      <c r="J155" s="290"/>
      <c r="K155" s="290"/>
      <c r="L155" s="290"/>
      <c r="M155" s="290"/>
      <c r="N155" s="290"/>
      <c r="O155" s="290"/>
      <c r="P155" s="290"/>
    </row>
    <row r="156" spans="1:16" s="247" customFormat="1" x14ac:dyDescent="0.3">
      <c r="A156" s="248">
        <v>71</v>
      </c>
      <c r="B156" s="244" t="s">
        <v>338</v>
      </c>
      <c r="C156" s="245">
        <v>60</v>
      </c>
      <c r="D156" s="246">
        <f>G156/12</f>
        <v>9.4999999999999987E-2</v>
      </c>
      <c r="E156" s="246">
        <v>0.42</v>
      </c>
      <c r="F156" s="246">
        <v>0.06</v>
      </c>
      <c r="G156" s="246">
        <v>1.1399999999999999</v>
      </c>
      <c r="H156" s="246">
        <v>6.6</v>
      </c>
      <c r="I156" s="246">
        <v>1.7999999999999999E-2</v>
      </c>
      <c r="J156" s="246">
        <v>4.2</v>
      </c>
      <c r="K156" s="246"/>
      <c r="L156" s="246">
        <v>0.06</v>
      </c>
      <c r="M156" s="246">
        <v>10.199999999999999</v>
      </c>
      <c r="N156" s="246">
        <v>18</v>
      </c>
      <c r="O156" s="246">
        <v>8.4</v>
      </c>
      <c r="P156" s="246">
        <v>0.3</v>
      </c>
    </row>
    <row r="157" spans="1:16" s="247" customFormat="1" ht="27.6" x14ac:dyDescent="0.3">
      <c r="A157" s="248">
        <v>269</v>
      </c>
      <c r="B157" s="244" t="s">
        <v>354</v>
      </c>
      <c r="C157" s="245">
        <v>90</v>
      </c>
      <c r="D157" s="246">
        <f t="shared" ref="D157:D162" si="45">G157/12</f>
        <v>0.90525</v>
      </c>
      <c r="E157" s="246">
        <v>15.077999999999999</v>
      </c>
      <c r="F157" s="246">
        <v>9.5939999999999994</v>
      </c>
      <c r="G157" s="246">
        <v>10.863</v>
      </c>
      <c r="H157" s="246">
        <v>190.244</v>
      </c>
      <c r="I157" s="246">
        <v>0.193</v>
      </c>
      <c r="J157" s="246"/>
      <c r="K157" s="246">
        <v>0.84</v>
      </c>
      <c r="L157" s="246">
        <v>0.76700000000000002</v>
      </c>
      <c r="M157" s="246">
        <v>13.73</v>
      </c>
      <c r="N157" s="246">
        <v>163.36000000000001</v>
      </c>
      <c r="O157" s="246">
        <v>27.09</v>
      </c>
      <c r="P157" s="246">
        <v>2.6110000000000002</v>
      </c>
    </row>
    <row r="158" spans="1:16" s="247" customFormat="1" ht="27.6" x14ac:dyDescent="0.3">
      <c r="A158" s="249">
        <v>143</v>
      </c>
      <c r="B158" s="244" t="s">
        <v>355</v>
      </c>
      <c r="C158" s="245">
        <v>160</v>
      </c>
      <c r="D158" s="246">
        <f t="shared" si="45"/>
        <v>1.3739999999999999</v>
      </c>
      <c r="E158" s="246">
        <v>2.8849999999999998</v>
      </c>
      <c r="F158" s="246">
        <v>3.38</v>
      </c>
      <c r="G158" s="246">
        <v>16.488</v>
      </c>
      <c r="H158" s="246">
        <v>109.122</v>
      </c>
      <c r="I158" s="246">
        <v>0.112</v>
      </c>
      <c r="J158" s="246">
        <v>29.945</v>
      </c>
      <c r="K158" s="246">
        <v>525.85</v>
      </c>
      <c r="L158" s="246">
        <v>1.1319999999999999</v>
      </c>
      <c r="M158" s="246">
        <v>43.783999999999999</v>
      </c>
      <c r="N158" s="246">
        <v>75.129000000000005</v>
      </c>
      <c r="O158" s="246">
        <v>32.713999999999999</v>
      </c>
      <c r="P158" s="246">
        <v>1.0880000000000001</v>
      </c>
    </row>
    <row r="159" spans="1:16" s="247" customFormat="1" x14ac:dyDescent="0.3">
      <c r="A159" s="253">
        <v>376</v>
      </c>
      <c r="B159" s="244" t="s">
        <v>356</v>
      </c>
      <c r="C159" s="245">
        <v>200</v>
      </c>
      <c r="D159" s="246">
        <f t="shared" si="45"/>
        <v>6.6666666666666664E-4</v>
      </c>
      <c r="E159" s="246"/>
      <c r="F159" s="246"/>
      <c r="G159" s="246">
        <v>8.0000000000000002E-3</v>
      </c>
      <c r="H159" s="246">
        <v>1.2E-2</v>
      </c>
      <c r="I159" s="246">
        <v>1E-3</v>
      </c>
      <c r="J159" s="246">
        <v>0.1</v>
      </c>
      <c r="K159" s="246"/>
      <c r="L159" s="246"/>
      <c r="M159" s="246">
        <v>4.95</v>
      </c>
      <c r="N159" s="246">
        <v>8.24</v>
      </c>
      <c r="O159" s="246">
        <v>4.4000000000000004</v>
      </c>
      <c r="P159" s="246">
        <v>0.82</v>
      </c>
    </row>
    <row r="160" spans="1:16" s="247" customFormat="1" x14ac:dyDescent="0.3">
      <c r="A160" s="252"/>
      <c r="B160" s="244" t="s">
        <v>19</v>
      </c>
      <c r="C160" s="245">
        <v>40</v>
      </c>
      <c r="D160" s="246">
        <f t="shared" si="45"/>
        <v>1.1399999999999999</v>
      </c>
      <c r="E160" s="246">
        <v>2.64</v>
      </c>
      <c r="F160" s="246">
        <v>0.48</v>
      </c>
      <c r="G160" s="246">
        <v>13.68</v>
      </c>
      <c r="H160" s="246">
        <v>69.599999999999994</v>
      </c>
      <c r="I160" s="246">
        <v>0.08</v>
      </c>
      <c r="J160" s="246"/>
      <c r="K160" s="246">
        <v>2.4</v>
      </c>
      <c r="L160" s="246">
        <v>0.88</v>
      </c>
      <c r="M160" s="246">
        <v>14</v>
      </c>
      <c r="N160" s="246">
        <v>63.2</v>
      </c>
      <c r="O160" s="246">
        <v>18.8</v>
      </c>
      <c r="P160" s="246">
        <v>1.56</v>
      </c>
    </row>
    <row r="161" spans="1:16" s="247" customFormat="1" x14ac:dyDescent="0.3">
      <c r="A161" s="252"/>
      <c r="B161" s="244" t="s">
        <v>51</v>
      </c>
      <c r="C161" s="245">
        <v>200</v>
      </c>
      <c r="D161" s="246">
        <f t="shared" si="45"/>
        <v>1.6333333333333335</v>
      </c>
      <c r="E161" s="246">
        <v>0.8</v>
      </c>
      <c r="F161" s="246">
        <v>0.8</v>
      </c>
      <c r="G161" s="246">
        <v>19.600000000000001</v>
      </c>
      <c r="H161" s="246">
        <v>94</v>
      </c>
      <c r="I161" s="246">
        <v>0.06</v>
      </c>
      <c r="J161" s="246">
        <v>20</v>
      </c>
      <c r="K161" s="246">
        <v>10</v>
      </c>
      <c r="L161" s="246">
        <v>0.4</v>
      </c>
      <c r="M161" s="246">
        <v>32</v>
      </c>
      <c r="N161" s="246">
        <v>22</v>
      </c>
      <c r="O161" s="246">
        <v>18</v>
      </c>
      <c r="P161" s="246">
        <v>4.4000000000000004</v>
      </c>
    </row>
    <row r="162" spans="1:16" s="247" customFormat="1" x14ac:dyDescent="0.3">
      <c r="A162" s="291" t="s">
        <v>248</v>
      </c>
      <c r="B162" s="291"/>
      <c r="C162" s="250">
        <f>SUM(C156:C161)</f>
        <v>750</v>
      </c>
      <c r="D162" s="246">
        <f t="shared" si="45"/>
        <v>5.14825</v>
      </c>
      <c r="E162" s="251">
        <f>SUM(E156:E161)</f>
        <v>21.823</v>
      </c>
      <c r="F162" s="251">
        <f t="shared" ref="F162:P162" si="46">SUM(F156:F161)</f>
        <v>14.314</v>
      </c>
      <c r="G162" s="251">
        <f t="shared" si="46"/>
        <v>61.779000000000003</v>
      </c>
      <c r="H162" s="251">
        <f t="shared" si="46"/>
        <v>469.57799999999997</v>
      </c>
      <c r="I162" s="251">
        <f t="shared" si="46"/>
        <v>0.46400000000000002</v>
      </c>
      <c r="J162" s="251">
        <f t="shared" si="46"/>
        <v>54.245000000000005</v>
      </c>
      <c r="K162" s="251">
        <f t="shared" si="46"/>
        <v>539.09</v>
      </c>
      <c r="L162" s="251">
        <f t="shared" si="46"/>
        <v>3.2389999999999999</v>
      </c>
      <c r="M162" s="251">
        <f t="shared" si="46"/>
        <v>118.664</v>
      </c>
      <c r="N162" s="251">
        <f t="shared" si="46"/>
        <v>349.92900000000003</v>
      </c>
      <c r="O162" s="251">
        <f t="shared" si="46"/>
        <v>109.40400000000001</v>
      </c>
      <c r="P162" s="251">
        <f t="shared" si="46"/>
        <v>10.779</v>
      </c>
    </row>
    <row r="163" spans="1:16" s="247" customFormat="1" x14ac:dyDescent="0.3">
      <c r="A163" s="290" t="s">
        <v>249</v>
      </c>
      <c r="B163" s="290"/>
      <c r="C163" s="290"/>
      <c r="D163" s="290"/>
      <c r="E163" s="290"/>
      <c r="F163" s="290"/>
      <c r="G163" s="290"/>
      <c r="H163" s="290"/>
      <c r="I163" s="290"/>
      <c r="J163" s="290"/>
      <c r="K163" s="290"/>
      <c r="L163" s="290"/>
      <c r="M163" s="290"/>
      <c r="N163" s="290"/>
      <c r="O163" s="290"/>
      <c r="P163" s="290"/>
    </row>
    <row r="164" spans="1:16" s="247" customFormat="1" ht="27.6" x14ac:dyDescent="0.3">
      <c r="A164" s="252"/>
      <c r="B164" s="244" t="s">
        <v>332</v>
      </c>
      <c r="C164" s="245">
        <v>20</v>
      </c>
      <c r="D164" s="246">
        <f>G164/12</f>
        <v>0.64524999999999999</v>
      </c>
      <c r="E164" s="246">
        <v>1.6459999999999999</v>
      </c>
      <c r="F164" s="246">
        <v>4.4420000000000002</v>
      </c>
      <c r="G164" s="246">
        <v>7.7430000000000003</v>
      </c>
      <c r="H164" s="246">
        <v>78.463999999999999</v>
      </c>
      <c r="I164" s="246">
        <v>3.5999999999999997E-2</v>
      </c>
      <c r="J164" s="246">
        <v>0.86599999999999999</v>
      </c>
      <c r="K164" s="246">
        <v>37.311999999999998</v>
      </c>
      <c r="L164" s="246">
        <v>2.1230000000000002</v>
      </c>
      <c r="M164" s="246">
        <v>24.288</v>
      </c>
      <c r="N164" s="246">
        <v>40.863999999999997</v>
      </c>
      <c r="O164" s="246">
        <v>27.504000000000001</v>
      </c>
      <c r="P164" s="246">
        <v>0.56200000000000006</v>
      </c>
    </row>
    <row r="165" spans="1:16" s="247" customFormat="1" x14ac:dyDescent="0.3">
      <c r="A165" s="245">
        <v>386</v>
      </c>
      <c r="B165" s="244" t="s">
        <v>71</v>
      </c>
      <c r="C165" s="245">
        <v>90</v>
      </c>
      <c r="D165" s="246">
        <f t="shared" ref="D165:D167" si="47">G165/12</f>
        <v>0.44249999999999995</v>
      </c>
      <c r="E165" s="246">
        <v>3.69</v>
      </c>
      <c r="F165" s="246">
        <v>1.35</v>
      </c>
      <c r="G165" s="246">
        <v>5.31</v>
      </c>
      <c r="H165" s="246">
        <v>51.3</v>
      </c>
      <c r="I165" s="246"/>
      <c r="J165" s="246">
        <v>0.54</v>
      </c>
      <c r="K165" s="246">
        <v>9</v>
      </c>
      <c r="L165" s="246"/>
      <c r="M165" s="246">
        <v>111.6</v>
      </c>
      <c r="N165" s="246">
        <v>85.5</v>
      </c>
      <c r="O165" s="246">
        <v>13.5</v>
      </c>
      <c r="P165" s="246">
        <v>0.09</v>
      </c>
    </row>
    <row r="166" spans="1:16" s="247" customFormat="1" x14ac:dyDescent="0.3">
      <c r="A166" s="245">
        <v>0</v>
      </c>
      <c r="B166" s="244" t="s">
        <v>50</v>
      </c>
      <c r="C166" s="245">
        <v>150</v>
      </c>
      <c r="D166" s="246">
        <f t="shared" si="47"/>
        <v>0.9375</v>
      </c>
      <c r="E166" s="246">
        <v>1.2</v>
      </c>
      <c r="F166" s="246">
        <v>0.3</v>
      </c>
      <c r="G166" s="246">
        <v>11.25</v>
      </c>
      <c r="H166" s="246">
        <v>57</v>
      </c>
      <c r="I166" s="246">
        <v>0.09</v>
      </c>
      <c r="J166" s="246">
        <v>57</v>
      </c>
      <c r="K166" s="246"/>
      <c r="L166" s="246">
        <v>0.3</v>
      </c>
      <c r="M166" s="246">
        <v>52.5</v>
      </c>
      <c r="N166" s="246">
        <v>25.5</v>
      </c>
      <c r="O166" s="246">
        <v>16.5</v>
      </c>
      <c r="P166" s="246">
        <v>0.15</v>
      </c>
    </row>
    <row r="167" spans="1:16" s="247" customFormat="1" x14ac:dyDescent="0.3">
      <c r="A167" s="291" t="s">
        <v>250</v>
      </c>
      <c r="B167" s="291"/>
      <c r="C167" s="250">
        <f>SUM(C164:C166)</f>
        <v>260</v>
      </c>
      <c r="D167" s="246">
        <f t="shared" si="47"/>
        <v>2.0252500000000002</v>
      </c>
      <c r="E167" s="251">
        <f>SUM(E164:E166)</f>
        <v>6.5360000000000005</v>
      </c>
      <c r="F167" s="251">
        <f t="shared" ref="F167:P167" si="48">SUM(F164:F166)</f>
        <v>6.0919999999999996</v>
      </c>
      <c r="G167" s="251">
        <f t="shared" si="48"/>
        <v>24.303000000000001</v>
      </c>
      <c r="H167" s="251">
        <f t="shared" si="48"/>
        <v>186.76400000000001</v>
      </c>
      <c r="I167" s="251">
        <f t="shared" si="48"/>
        <v>0.126</v>
      </c>
      <c r="J167" s="251">
        <f t="shared" si="48"/>
        <v>58.405999999999999</v>
      </c>
      <c r="K167" s="251">
        <f t="shared" si="48"/>
        <v>46.311999999999998</v>
      </c>
      <c r="L167" s="251">
        <f t="shared" si="48"/>
        <v>2.423</v>
      </c>
      <c r="M167" s="251">
        <f t="shared" si="48"/>
        <v>188.38800000000001</v>
      </c>
      <c r="N167" s="251">
        <f t="shared" si="48"/>
        <v>151.864</v>
      </c>
      <c r="O167" s="251">
        <f t="shared" si="48"/>
        <v>57.504000000000005</v>
      </c>
      <c r="P167" s="251">
        <f t="shared" si="48"/>
        <v>0.80200000000000005</v>
      </c>
    </row>
    <row r="168" spans="1:16" s="247" customFormat="1" x14ac:dyDescent="0.3">
      <c r="A168" s="290" t="s">
        <v>8</v>
      </c>
      <c r="B168" s="290"/>
      <c r="C168" s="290"/>
      <c r="D168" s="290"/>
      <c r="E168" s="290"/>
      <c r="F168" s="290"/>
      <c r="G168" s="290"/>
      <c r="H168" s="290"/>
      <c r="I168" s="290"/>
      <c r="J168" s="290"/>
      <c r="K168" s="290"/>
      <c r="L168" s="290"/>
      <c r="M168" s="290"/>
      <c r="N168" s="290"/>
      <c r="O168" s="290"/>
      <c r="P168" s="290"/>
    </row>
    <row r="169" spans="1:16" s="247" customFormat="1" x14ac:dyDescent="0.3">
      <c r="A169" s="249">
        <v>99</v>
      </c>
      <c r="B169" s="244" t="s">
        <v>168</v>
      </c>
      <c r="C169" s="245">
        <v>250</v>
      </c>
      <c r="D169" s="246">
        <f>G169/12</f>
        <v>0.92666666666666664</v>
      </c>
      <c r="E169" s="246">
        <v>1.8779999999999999</v>
      </c>
      <c r="F169" s="246">
        <v>3.2629999999999999</v>
      </c>
      <c r="G169" s="246">
        <v>11.12</v>
      </c>
      <c r="H169" s="246">
        <v>81.873000000000005</v>
      </c>
      <c r="I169" s="246">
        <v>8.5999999999999993E-2</v>
      </c>
      <c r="J169" s="246">
        <v>21.3</v>
      </c>
      <c r="K169" s="246">
        <v>204</v>
      </c>
      <c r="L169" s="246">
        <v>1.466</v>
      </c>
      <c r="M169" s="246">
        <v>25.68</v>
      </c>
      <c r="N169" s="246">
        <v>52.27</v>
      </c>
      <c r="O169" s="246">
        <v>21.8</v>
      </c>
      <c r="P169" s="246">
        <v>0.80500000000000005</v>
      </c>
    </row>
    <row r="170" spans="1:16" s="247" customFormat="1" ht="27.6" x14ac:dyDescent="0.3">
      <c r="A170" s="249">
        <v>213</v>
      </c>
      <c r="B170" s="244" t="s">
        <v>244</v>
      </c>
      <c r="C170" s="245">
        <v>150</v>
      </c>
      <c r="D170" s="246">
        <f t="shared" ref="D170" si="49">G170/12</f>
        <v>1.1134999999999999</v>
      </c>
      <c r="E170" s="246">
        <v>16.138000000000002</v>
      </c>
      <c r="F170" s="246">
        <v>8.01</v>
      </c>
      <c r="G170" s="246">
        <v>13.362</v>
      </c>
      <c r="H170" s="246">
        <v>186.78</v>
      </c>
      <c r="I170" s="246">
        <v>8.5999999999999993E-2</v>
      </c>
      <c r="J170" s="246">
        <v>13.404</v>
      </c>
      <c r="K170" s="246">
        <v>19.399999999999999</v>
      </c>
      <c r="L170" s="246">
        <v>1.8660000000000001</v>
      </c>
      <c r="M170" s="246">
        <v>58.170999999999999</v>
      </c>
      <c r="N170" s="246">
        <v>95.125</v>
      </c>
      <c r="O170" s="246">
        <v>28.257000000000001</v>
      </c>
      <c r="P170" s="246">
        <v>0.82499999999999996</v>
      </c>
    </row>
    <row r="171" spans="1:16" s="247" customFormat="1" x14ac:dyDescent="0.3">
      <c r="A171" s="252" t="s">
        <v>323</v>
      </c>
      <c r="B171" s="244" t="s">
        <v>322</v>
      </c>
      <c r="C171" s="245">
        <v>80</v>
      </c>
      <c r="D171" s="246">
        <f t="shared" ref="D171:D175" si="50">G171/12</f>
        <v>0.31383333333333335</v>
      </c>
      <c r="E171" s="246">
        <v>4.71</v>
      </c>
      <c r="F171" s="246">
        <v>5.0919999999999996</v>
      </c>
      <c r="G171" s="246">
        <v>3.766</v>
      </c>
      <c r="H171" s="246">
        <v>79.721999999999994</v>
      </c>
      <c r="I171" s="246">
        <v>6.8000000000000005E-2</v>
      </c>
      <c r="J171" s="246">
        <v>5.2</v>
      </c>
      <c r="K171" s="246">
        <v>85</v>
      </c>
      <c r="L171" s="246">
        <v>1.1399999999999999</v>
      </c>
      <c r="M171" s="246">
        <v>27.492000000000001</v>
      </c>
      <c r="N171" s="246">
        <v>82.02</v>
      </c>
      <c r="O171" s="246">
        <v>13.288</v>
      </c>
      <c r="P171" s="246">
        <v>1.038</v>
      </c>
    </row>
    <row r="172" spans="1:16" s="247" customFormat="1" ht="27.6" x14ac:dyDescent="0.3">
      <c r="A172" s="253">
        <v>342</v>
      </c>
      <c r="B172" s="244" t="s">
        <v>357</v>
      </c>
      <c r="C172" s="245">
        <v>200</v>
      </c>
      <c r="D172" s="246">
        <f t="shared" si="50"/>
        <v>0.32708333333333334</v>
      </c>
      <c r="E172" s="246">
        <v>0.16</v>
      </c>
      <c r="F172" s="246">
        <v>0.16</v>
      </c>
      <c r="G172" s="246">
        <v>3.9249999999999998</v>
      </c>
      <c r="H172" s="246">
        <v>18.8</v>
      </c>
      <c r="I172" s="246">
        <v>1.2E-2</v>
      </c>
      <c r="J172" s="246">
        <v>4</v>
      </c>
      <c r="K172" s="246">
        <v>2</v>
      </c>
      <c r="L172" s="246">
        <v>0.08</v>
      </c>
      <c r="M172" s="246">
        <v>6.4</v>
      </c>
      <c r="N172" s="246">
        <v>4.4000000000000004</v>
      </c>
      <c r="O172" s="246">
        <v>3.6</v>
      </c>
      <c r="P172" s="246">
        <v>0.88</v>
      </c>
    </row>
    <row r="173" spans="1:16" s="247" customFormat="1" x14ac:dyDescent="0.3">
      <c r="A173" s="252"/>
      <c r="B173" s="244" t="s">
        <v>19</v>
      </c>
      <c r="C173" s="245">
        <v>60</v>
      </c>
      <c r="D173" s="246">
        <f t="shared" si="50"/>
        <v>1.71</v>
      </c>
      <c r="E173" s="246">
        <v>3.96</v>
      </c>
      <c r="F173" s="246">
        <v>0.72</v>
      </c>
      <c r="G173" s="246">
        <v>20.52</v>
      </c>
      <c r="H173" s="246">
        <v>104.4</v>
      </c>
      <c r="I173" s="246">
        <v>0.12</v>
      </c>
      <c r="J173" s="246">
        <v>0</v>
      </c>
      <c r="K173" s="246">
        <v>3.6</v>
      </c>
      <c r="L173" s="246">
        <v>1.32</v>
      </c>
      <c r="M173" s="246">
        <v>21</v>
      </c>
      <c r="N173" s="246">
        <v>94.8</v>
      </c>
      <c r="O173" s="246">
        <v>28.2</v>
      </c>
      <c r="P173" s="246">
        <v>2.34</v>
      </c>
    </row>
    <row r="174" spans="1:16" s="247" customFormat="1" hidden="1" x14ac:dyDescent="0.3">
      <c r="A174" s="245"/>
      <c r="B174" s="244"/>
      <c r="C174" s="245"/>
      <c r="D174" s="246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</row>
    <row r="175" spans="1:16" s="247" customFormat="1" x14ac:dyDescent="0.3">
      <c r="A175" s="291" t="s">
        <v>20</v>
      </c>
      <c r="B175" s="291"/>
      <c r="C175" s="250">
        <f>SUM(C169:C174)</f>
        <v>740</v>
      </c>
      <c r="D175" s="246">
        <f t="shared" si="50"/>
        <v>4.3910833333333334</v>
      </c>
      <c r="E175" s="251">
        <f t="shared" ref="E175:P175" si="51">SUM(E169:E174)</f>
        <v>26.846000000000004</v>
      </c>
      <c r="F175" s="251">
        <f t="shared" si="51"/>
        <v>17.244999999999997</v>
      </c>
      <c r="G175" s="251">
        <f t="shared" si="51"/>
        <v>52.692999999999998</v>
      </c>
      <c r="H175" s="251">
        <f t="shared" si="51"/>
        <v>471.57500000000005</v>
      </c>
      <c r="I175" s="251">
        <f t="shared" si="51"/>
        <v>0.372</v>
      </c>
      <c r="J175" s="251">
        <f t="shared" si="51"/>
        <v>43.904000000000003</v>
      </c>
      <c r="K175" s="251">
        <f t="shared" si="51"/>
        <v>314</v>
      </c>
      <c r="L175" s="251">
        <f t="shared" si="51"/>
        <v>5.8719999999999999</v>
      </c>
      <c r="M175" s="251">
        <f t="shared" si="51"/>
        <v>138.74299999999999</v>
      </c>
      <c r="N175" s="251">
        <f t="shared" si="51"/>
        <v>328.61500000000001</v>
      </c>
      <c r="O175" s="251">
        <f t="shared" si="51"/>
        <v>95.144999999999996</v>
      </c>
      <c r="P175" s="251">
        <f t="shared" si="51"/>
        <v>5.8879999999999999</v>
      </c>
    </row>
    <row r="176" spans="1:16" s="247" customFormat="1" x14ac:dyDescent="0.3">
      <c r="A176" s="290" t="s">
        <v>43</v>
      </c>
      <c r="B176" s="290"/>
      <c r="C176" s="290"/>
      <c r="D176" s="290"/>
      <c r="E176" s="290"/>
      <c r="F176" s="290"/>
      <c r="G176" s="290"/>
      <c r="H176" s="290"/>
      <c r="I176" s="290"/>
      <c r="J176" s="290"/>
      <c r="K176" s="290"/>
      <c r="L176" s="290"/>
      <c r="M176" s="290"/>
      <c r="N176" s="290"/>
      <c r="O176" s="290"/>
      <c r="P176" s="290"/>
    </row>
    <row r="177" spans="1:16" s="247" customFormat="1" ht="27.6" x14ac:dyDescent="0.3">
      <c r="A177" s="252"/>
      <c r="B177" s="244" t="s">
        <v>332</v>
      </c>
      <c r="C177" s="245">
        <v>20</v>
      </c>
      <c r="D177" s="246">
        <f>G177/12</f>
        <v>0.64524999999999999</v>
      </c>
      <c r="E177" s="246">
        <v>1.6459999999999999</v>
      </c>
      <c r="F177" s="246">
        <v>4.4420000000000002</v>
      </c>
      <c r="G177" s="246">
        <v>7.7430000000000003</v>
      </c>
      <c r="H177" s="246">
        <v>78.463999999999999</v>
      </c>
      <c r="I177" s="246">
        <v>3.5999999999999997E-2</v>
      </c>
      <c r="J177" s="246">
        <v>0.86599999999999999</v>
      </c>
      <c r="K177" s="246">
        <v>37.311999999999998</v>
      </c>
      <c r="L177" s="246">
        <v>2.1230000000000002</v>
      </c>
      <c r="M177" s="246">
        <v>24.288</v>
      </c>
      <c r="N177" s="246">
        <v>40.863999999999997</v>
      </c>
      <c r="O177" s="246">
        <v>27.504000000000001</v>
      </c>
      <c r="P177" s="246">
        <v>0.56200000000000006</v>
      </c>
    </row>
    <row r="178" spans="1:16" s="247" customFormat="1" x14ac:dyDescent="0.3">
      <c r="A178" s="245">
        <v>386</v>
      </c>
      <c r="B178" s="244" t="s">
        <v>358</v>
      </c>
      <c r="C178" s="245">
        <v>90</v>
      </c>
      <c r="D178" s="246">
        <f t="shared" ref="D178:D180" si="52">G178/12</f>
        <v>0.44249999999999995</v>
      </c>
      <c r="E178" s="246">
        <v>3.69</v>
      </c>
      <c r="F178" s="246">
        <v>1.35</v>
      </c>
      <c r="G178" s="246">
        <v>5.31</v>
      </c>
      <c r="H178" s="246">
        <v>51.3</v>
      </c>
      <c r="I178" s="246"/>
      <c r="J178" s="246">
        <v>0.54</v>
      </c>
      <c r="K178" s="246">
        <v>9</v>
      </c>
      <c r="L178" s="246"/>
      <c r="M178" s="246">
        <v>111.6</v>
      </c>
      <c r="N178" s="246">
        <v>85.5</v>
      </c>
      <c r="O178" s="246">
        <v>13.5</v>
      </c>
      <c r="P178" s="246">
        <v>0.09</v>
      </c>
    </row>
    <row r="179" spans="1:16" s="247" customFormat="1" x14ac:dyDescent="0.3">
      <c r="A179" s="245">
        <v>0</v>
      </c>
      <c r="B179" s="244" t="s">
        <v>66</v>
      </c>
      <c r="C179" s="245">
        <v>150</v>
      </c>
      <c r="D179" s="246">
        <f t="shared" si="52"/>
        <v>0.9375</v>
      </c>
      <c r="E179" s="246">
        <v>1.2</v>
      </c>
      <c r="F179" s="246">
        <v>0.3</v>
      </c>
      <c r="G179" s="246">
        <v>11.25</v>
      </c>
      <c r="H179" s="246">
        <v>57</v>
      </c>
      <c r="I179" s="246">
        <v>0.09</v>
      </c>
      <c r="J179" s="246">
        <v>57</v>
      </c>
      <c r="K179" s="246"/>
      <c r="L179" s="246">
        <v>0.3</v>
      </c>
      <c r="M179" s="246">
        <v>52.5</v>
      </c>
      <c r="N179" s="246">
        <v>25.5</v>
      </c>
      <c r="O179" s="246">
        <v>16.5</v>
      </c>
      <c r="P179" s="246">
        <v>0.15</v>
      </c>
    </row>
    <row r="180" spans="1:16" s="247" customFormat="1" x14ac:dyDescent="0.3">
      <c r="A180" s="291" t="s">
        <v>44</v>
      </c>
      <c r="B180" s="291"/>
      <c r="C180" s="250">
        <f>SUM(C177:C179)</f>
        <v>260</v>
      </c>
      <c r="D180" s="246">
        <f t="shared" si="52"/>
        <v>2.0252500000000002</v>
      </c>
      <c r="E180" s="251">
        <f>SUM(E177:E179)</f>
        <v>6.5360000000000005</v>
      </c>
      <c r="F180" s="251">
        <f t="shared" ref="F180:P180" si="53">SUM(F177:F179)</f>
        <v>6.0919999999999996</v>
      </c>
      <c r="G180" s="251">
        <f t="shared" si="53"/>
        <v>24.303000000000001</v>
      </c>
      <c r="H180" s="251">
        <f t="shared" si="53"/>
        <v>186.76400000000001</v>
      </c>
      <c r="I180" s="251">
        <f t="shared" si="53"/>
        <v>0.126</v>
      </c>
      <c r="J180" s="251">
        <f t="shared" si="53"/>
        <v>58.405999999999999</v>
      </c>
      <c r="K180" s="251">
        <f t="shared" si="53"/>
        <v>46.311999999999998</v>
      </c>
      <c r="L180" s="251">
        <f t="shared" si="53"/>
        <v>2.423</v>
      </c>
      <c r="M180" s="251">
        <f t="shared" si="53"/>
        <v>188.38800000000001</v>
      </c>
      <c r="N180" s="251">
        <f t="shared" si="53"/>
        <v>151.864</v>
      </c>
      <c r="O180" s="251">
        <f t="shared" si="53"/>
        <v>57.504000000000005</v>
      </c>
      <c r="P180" s="251">
        <f t="shared" si="53"/>
        <v>0.80200000000000005</v>
      </c>
    </row>
    <row r="181" spans="1:16" s="247" customFormat="1" x14ac:dyDescent="0.3">
      <c r="A181" s="292" t="s">
        <v>256</v>
      </c>
      <c r="B181" s="292"/>
      <c r="C181" s="254">
        <f>C180+C175+C167+C162</f>
        <v>2010</v>
      </c>
      <c r="D181" s="255">
        <f t="shared" ref="D181:P181" si="54">D180+D175+D167+D162</f>
        <v>13.589833333333335</v>
      </c>
      <c r="E181" s="255">
        <f t="shared" si="54"/>
        <v>61.741000000000007</v>
      </c>
      <c r="F181" s="255">
        <f t="shared" si="54"/>
        <v>43.742999999999995</v>
      </c>
      <c r="G181" s="255">
        <f t="shared" si="54"/>
        <v>163.078</v>
      </c>
      <c r="H181" s="255">
        <f t="shared" si="54"/>
        <v>1314.681</v>
      </c>
      <c r="I181" s="255">
        <f t="shared" si="54"/>
        <v>1.0880000000000001</v>
      </c>
      <c r="J181" s="255">
        <f t="shared" si="54"/>
        <v>214.96100000000001</v>
      </c>
      <c r="K181" s="255">
        <f t="shared" si="54"/>
        <v>945.71400000000006</v>
      </c>
      <c r="L181" s="255">
        <f t="shared" si="54"/>
        <v>13.957000000000001</v>
      </c>
      <c r="M181" s="255">
        <f t="shared" si="54"/>
        <v>634.18299999999999</v>
      </c>
      <c r="N181" s="255">
        <f t="shared" si="54"/>
        <v>982.27200000000016</v>
      </c>
      <c r="O181" s="255">
        <f t="shared" si="54"/>
        <v>319.55700000000002</v>
      </c>
      <c r="P181" s="255">
        <f t="shared" si="54"/>
        <v>18.271000000000001</v>
      </c>
    </row>
    <row r="182" spans="1:16" s="247" customFormat="1" x14ac:dyDescent="0.3">
      <c r="A182" s="293" t="s">
        <v>25</v>
      </c>
      <c r="B182" s="293"/>
      <c r="C182" s="293"/>
      <c r="D182" s="293"/>
      <c r="E182" s="293"/>
      <c r="F182" s="293"/>
      <c r="G182" s="293"/>
      <c r="H182" s="293"/>
      <c r="I182" s="287"/>
      <c r="J182" s="287"/>
      <c r="K182" s="287"/>
      <c r="L182" s="287"/>
      <c r="M182" s="287"/>
      <c r="N182" s="287"/>
      <c r="O182" s="287"/>
      <c r="P182" s="287"/>
    </row>
    <row r="183" spans="1:16" s="247" customFormat="1" x14ac:dyDescent="0.3">
      <c r="A183" s="300" t="s">
        <v>33</v>
      </c>
      <c r="B183" s="300" t="s">
        <v>32</v>
      </c>
      <c r="C183" s="300" t="s">
        <v>0</v>
      </c>
      <c r="D183" s="299"/>
      <c r="E183" s="299" t="s">
        <v>1</v>
      </c>
      <c r="F183" s="299"/>
      <c r="G183" s="299"/>
      <c r="H183" s="299" t="s">
        <v>31</v>
      </c>
      <c r="I183" s="299" t="s">
        <v>9</v>
      </c>
      <c r="J183" s="299"/>
      <c r="K183" s="299"/>
      <c r="L183" s="299"/>
      <c r="M183" s="299" t="s">
        <v>10</v>
      </c>
      <c r="N183" s="299"/>
      <c r="O183" s="299"/>
      <c r="P183" s="299"/>
    </row>
    <row r="184" spans="1:16" s="247" customFormat="1" x14ac:dyDescent="0.3">
      <c r="A184" s="300"/>
      <c r="B184" s="300"/>
      <c r="C184" s="300"/>
      <c r="D184" s="299"/>
      <c r="E184" s="256" t="s">
        <v>2</v>
      </c>
      <c r="F184" s="256" t="s">
        <v>3</v>
      </c>
      <c r="G184" s="256" t="s">
        <v>4</v>
      </c>
      <c r="H184" s="299"/>
      <c r="I184" s="256" t="s">
        <v>11</v>
      </c>
      <c r="J184" s="256" t="s">
        <v>12</v>
      </c>
      <c r="K184" s="256" t="s">
        <v>13</v>
      </c>
      <c r="L184" s="256" t="s">
        <v>14</v>
      </c>
      <c r="M184" s="256" t="s">
        <v>15</v>
      </c>
      <c r="N184" s="256" t="s">
        <v>16</v>
      </c>
      <c r="O184" s="256" t="s">
        <v>17</v>
      </c>
      <c r="P184" s="256" t="s">
        <v>18</v>
      </c>
    </row>
    <row r="185" spans="1:16" s="247" customFormat="1" x14ac:dyDescent="0.3">
      <c r="A185" s="290" t="s">
        <v>21</v>
      </c>
      <c r="B185" s="290"/>
      <c r="C185" s="290"/>
      <c r="D185" s="290"/>
      <c r="E185" s="290"/>
      <c r="F185" s="290"/>
      <c r="G185" s="290"/>
      <c r="H185" s="290"/>
      <c r="I185" s="290"/>
      <c r="J185" s="290"/>
      <c r="K185" s="290"/>
      <c r="L185" s="290"/>
      <c r="M185" s="290"/>
      <c r="N185" s="290"/>
      <c r="O185" s="290"/>
      <c r="P185" s="290"/>
    </row>
    <row r="186" spans="1:16" s="247" customFormat="1" ht="27.6" x14ac:dyDescent="0.3">
      <c r="A186" s="248">
        <v>71</v>
      </c>
      <c r="B186" s="244" t="s">
        <v>359</v>
      </c>
      <c r="C186" s="245">
        <v>70</v>
      </c>
      <c r="D186" s="246">
        <f>G186/12</f>
        <v>0.22166666666666668</v>
      </c>
      <c r="E186" s="246">
        <v>0.77</v>
      </c>
      <c r="F186" s="246">
        <v>0.14000000000000001</v>
      </c>
      <c r="G186" s="246">
        <v>2.66</v>
      </c>
      <c r="H186" s="246">
        <v>16.8</v>
      </c>
      <c r="I186" s="246">
        <v>4.2000000000000003E-2</v>
      </c>
      <c r="J186" s="246">
        <v>17.5</v>
      </c>
      <c r="K186" s="246"/>
      <c r="L186" s="246">
        <v>0.49</v>
      </c>
      <c r="M186" s="246">
        <v>9.8000000000000007</v>
      </c>
      <c r="N186" s="246">
        <v>18.2</v>
      </c>
      <c r="O186" s="246">
        <v>14</v>
      </c>
      <c r="P186" s="246">
        <v>0.63</v>
      </c>
    </row>
    <row r="187" spans="1:16" s="247" customFormat="1" ht="27.6" x14ac:dyDescent="0.3">
      <c r="A187" s="260">
        <v>235</v>
      </c>
      <c r="B187" s="244" t="s">
        <v>305</v>
      </c>
      <c r="C187" s="245">
        <v>90</v>
      </c>
      <c r="D187" s="246">
        <f t="shared" ref="D187:D192" si="55">G187/12</f>
        <v>0.69166666666666676</v>
      </c>
      <c r="E187" s="246">
        <v>13.605</v>
      </c>
      <c r="F187" s="246">
        <v>13.807</v>
      </c>
      <c r="G187" s="246">
        <v>8.3000000000000007</v>
      </c>
      <c r="H187" s="246">
        <v>212.494</v>
      </c>
      <c r="I187" s="246">
        <v>0.11600000000000001</v>
      </c>
      <c r="J187" s="246">
        <v>4.97</v>
      </c>
      <c r="K187" s="246">
        <v>34.9</v>
      </c>
      <c r="L187" s="246">
        <v>4.4720000000000004</v>
      </c>
      <c r="M187" s="246">
        <v>52.77</v>
      </c>
      <c r="N187" s="246">
        <v>208.22</v>
      </c>
      <c r="O187" s="246">
        <v>48.44</v>
      </c>
      <c r="P187" s="246">
        <v>1.2310000000000001</v>
      </c>
    </row>
    <row r="188" spans="1:16" s="247" customFormat="1" x14ac:dyDescent="0.3">
      <c r="A188" s="249">
        <v>125</v>
      </c>
      <c r="B188" s="244" t="s">
        <v>297</v>
      </c>
      <c r="C188" s="245">
        <v>150</v>
      </c>
      <c r="D188" s="246">
        <f t="shared" si="55"/>
        <v>2.0010833333333333</v>
      </c>
      <c r="E188" s="246">
        <v>2.972</v>
      </c>
      <c r="F188" s="246">
        <v>3.488</v>
      </c>
      <c r="G188" s="246">
        <v>24.013000000000002</v>
      </c>
      <c r="H188" s="246">
        <v>139.626</v>
      </c>
      <c r="I188" s="246">
        <v>0.17699999999999999</v>
      </c>
      <c r="J188" s="246">
        <v>29.4</v>
      </c>
      <c r="K188" s="246">
        <v>16</v>
      </c>
      <c r="L188" s="246">
        <v>0.187</v>
      </c>
      <c r="M188" s="246">
        <v>23.02</v>
      </c>
      <c r="N188" s="246">
        <v>87.96</v>
      </c>
      <c r="O188" s="246">
        <v>34.25</v>
      </c>
      <c r="P188" s="246">
        <v>1.389</v>
      </c>
    </row>
    <row r="189" spans="1:16" s="247" customFormat="1" ht="27.6" x14ac:dyDescent="0.3">
      <c r="A189" s="249">
        <v>349</v>
      </c>
      <c r="B189" s="244" t="s">
        <v>360</v>
      </c>
      <c r="C189" s="245">
        <v>200</v>
      </c>
      <c r="D189" s="246">
        <f t="shared" si="55"/>
        <v>0.84541666666666659</v>
      </c>
      <c r="E189" s="246">
        <v>0.78</v>
      </c>
      <c r="F189" s="246">
        <v>0.06</v>
      </c>
      <c r="G189" s="246">
        <v>10.145</v>
      </c>
      <c r="H189" s="246">
        <v>45.4</v>
      </c>
      <c r="I189" s="246">
        <v>0.02</v>
      </c>
      <c r="J189" s="246">
        <v>0.8</v>
      </c>
      <c r="K189" s="246"/>
      <c r="L189" s="246">
        <v>1.1000000000000001</v>
      </c>
      <c r="M189" s="246">
        <v>32</v>
      </c>
      <c r="N189" s="246">
        <v>29.2</v>
      </c>
      <c r="O189" s="246">
        <v>21</v>
      </c>
      <c r="P189" s="246">
        <v>0.64</v>
      </c>
    </row>
    <row r="190" spans="1:16" s="247" customFormat="1" x14ac:dyDescent="0.3">
      <c r="A190" s="252"/>
      <c r="B190" s="244" t="s">
        <v>19</v>
      </c>
      <c r="C190" s="245">
        <v>40</v>
      </c>
      <c r="D190" s="246">
        <f t="shared" si="55"/>
        <v>1.1399999999999999</v>
      </c>
      <c r="E190" s="246">
        <v>2.64</v>
      </c>
      <c r="F190" s="246">
        <v>0.48</v>
      </c>
      <c r="G190" s="246">
        <v>13.68</v>
      </c>
      <c r="H190" s="246">
        <v>69.599999999999994</v>
      </c>
      <c r="I190" s="246">
        <v>0.08</v>
      </c>
      <c r="J190" s="246">
        <v>0</v>
      </c>
      <c r="K190" s="246">
        <v>2.4</v>
      </c>
      <c r="L190" s="246">
        <v>0.88</v>
      </c>
      <c r="M190" s="246">
        <v>14</v>
      </c>
      <c r="N190" s="246">
        <v>63.2</v>
      </c>
      <c r="O190" s="246">
        <v>18.8</v>
      </c>
      <c r="P190" s="246">
        <v>1.56</v>
      </c>
    </row>
    <row r="191" spans="1:16" s="247" customFormat="1" x14ac:dyDescent="0.3">
      <c r="A191" s="245">
        <v>0</v>
      </c>
      <c r="B191" s="244" t="s">
        <v>51</v>
      </c>
      <c r="C191" s="245">
        <v>100</v>
      </c>
      <c r="D191" s="246">
        <f t="shared" si="55"/>
        <v>0.81666666666666676</v>
      </c>
      <c r="E191" s="246">
        <v>0.4</v>
      </c>
      <c r="F191" s="246">
        <v>0.4</v>
      </c>
      <c r="G191" s="246">
        <v>9.8000000000000007</v>
      </c>
      <c r="H191" s="246">
        <v>47</v>
      </c>
      <c r="I191" s="246">
        <v>0.03</v>
      </c>
      <c r="J191" s="246">
        <v>10</v>
      </c>
      <c r="K191" s="246">
        <v>5</v>
      </c>
      <c r="L191" s="246">
        <v>0.2</v>
      </c>
      <c r="M191" s="246">
        <v>16</v>
      </c>
      <c r="N191" s="246">
        <v>11</v>
      </c>
      <c r="O191" s="246">
        <v>9</v>
      </c>
      <c r="P191" s="246">
        <v>2.2000000000000002</v>
      </c>
    </row>
    <row r="192" spans="1:16" s="247" customFormat="1" x14ac:dyDescent="0.3">
      <c r="A192" s="291" t="s">
        <v>248</v>
      </c>
      <c r="B192" s="291"/>
      <c r="C192" s="250">
        <f>SUM(C186:C191)</f>
        <v>650</v>
      </c>
      <c r="D192" s="246">
        <f t="shared" si="55"/>
        <v>5.7164999999999999</v>
      </c>
      <c r="E192" s="251">
        <f t="shared" ref="E192:P192" si="56">SUM(E186:E191)</f>
        <v>21.167000000000002</v>
      </c>
      <c r="F192" s="251">
        <f t="shared" si="56"/>
        <v>18.375</v>
      </c>
      <c r="G192" s="251">
        <f t="shared" si="56"/>
        <v>68.597999999999999</v>
      </c>
      <c r="H192" s="251">
        <f t="shared" si="56"/>
        <v>530.91999999999996</v>
      </c>
      <c r="I192" s="251">
        <f t="shared" si="56"/>
        <v>0.46499999999999997</v>
      </c>
      <c r="J192" s="251">
        <f t="shared" si="56"/>
        <v>62.669999999999995</v>
      </c>
      <c r="K192" s="251">
        <f t="shared" si="56"/>
        <v>58.3</v>
      </c>
      <c r="L192" s="251">
        <f t="shared" si="56"/>
        <v>7.3290000000000006</v>
      </c>
      <c r="M192" s="251">
        <f t="shared" si="56"/>
        <v>147.59</v>
      </c>
      <c r="N192" s="251">
        <f t="shared" si="56"/>
        <v>417.78</v>
      </c>
      <c r="O192" s="251">
        <f t="shared" si="56"/>
        <v>145.49</v>
      </c>
      <c r="P192" s="251">
        <f t="shared" si="56"/>
        <v>7.65</v>
      </c>
    </row>
    <row r="193" spans="1:16" s="247" customFormat="1" x14ac:dyDescent="0.3">
      <c r="A193" s="290" t="s">
        <v>249</v>
      </c>
      <c r="B193" s="290"/>
      <c r="C193" s="290"/>
      <c r="D193" s="290"/>
      <c r="E193" s="290"/>
      <c r="F193" s="290"/>
      <c r="G193" s="290"/>
      <c r="H193" s="290"/>
      <c r="I193" s="290"/>
      <c r="J193" s="290"/>
      <c r="K193" s="290"/>
      <c r="L193" s="290"/>
      <c r="M193" s="290"/>
      <c r="N193" s="290"/>
      <c r="O193" s="290"/>
      <c r="P193" s="290"/>
    </row>
    <row r="194" spans="1:16" s="247" customFormat="1" ht="27.6" x14ac:dyDescent="0.3">
      <c r="A194" s="252"/>
      <c r="B194" s="244" t="s">
        <v>332</v>
      </c>
      <c r="C194" s="245">
        <v>20</v>
      </c>
      <c r="D194" s="246">
        <f>G194/12</f>
        <v>0.64524999999999999</v>
      </c>
      <c r="E194" s="246">
        <v>1.6459999999999999</v>
      </c>
      <c r="F194" s="246">
        <v>4.4420000000000002</v>
      </c>
      <c r="G194" s="246">
        <v>7.7430000000000003</v>
      </c>
      <c r="H194" s="246">
        <v>78.463999999999999</v>
      </c>
      <c r="I194" s="246">
        <v>3.5999999999999997E-2</v>
      </c>
      <c r="J194" s="246">
        <v>0.86599999999999999</v>
      </c>
      <c r="K194" s="246">
        <v>37.311999999999998</v>
      </c>
      <c r="L194" s="246">
        <v>2.1230000000000002</v>
      </c>
      <c r="M194" s="246">
        <v>24.288</v>
      </c>
      <c r="N194" s="246">
        <v>40.863999999999997</v>
      </c>
      <c r="O194" s="246">
        <v>27.504000000000001</v>
      </c>
      <c r="P194" s="246">
        <v>0.56200000000000006</v>
      </c>
    </row>
    <row r="195" spans="1:16" s="247" customFormat="1" x14ac:dyDescent="0.3">
      <c r="A195" s="245">
        <v>386</v>
      </c>
      <c r="B195" s="244" t="s">
        <v>71</v>
      </c>
      <c r="C195" s="245">
        <v>90</v>
      </c>
      <c r="D195" s="246">
        <f t="shared" ref="D195:D197" si="57">G195/12</f>
        <v>0.44249999999999995</v>
      </c>
      <c r="E195" s="246">
        <v>3.69</v>
      </c>
      <c r="F195" s="246">
        <v>1.35</v>
      </c>
      <c r="G195" s="246">
        <v>5.31</v>
      </c>
      <c r="H195" s="246">
        <v>51.3</v>
      </c>
      <c r="I195" s="246"/>
      <c r="J195" s="246">
        <v>0.54</v>
      </c>
      <c r="K195" s="246">
        <v>9</v>
      </c>
      <c r="L195" s="246"/>
      <c r="M195" s="246">
        <v>111.6</v>
      </c>
      <c r="N195" s="246">
        <v>85.5</v>
      </c>
      <c r="O195" s="246">
        <v>13.5</v>
      </c>
      <c r="P195" s="246">
        <v>0.09</v>
      </c>
    </row>
    <row r="196" spans="1:16" s="247" customFormat="1" x14ac:dyDescent="0.3">
      <c r="A196" s="245">
        <v>0</v>
      </c>
      <c r="B196" s="244" t="s">
        <v>53</v>
      </c>
      <c r="C196" s="245">
        <v>150</v>
      </c>
      <c r="D196" s="246">
        <f t="shared" si="57"/>
        <v>1.2249999999999999</v>
      </c>
      <c r="E196" s="246">
        <v>0.6</v>
      </c>
      <c r="F196" s="246">
        <v>0.6</v>
      </c>
      <c r="G196" s="246">
        <v>14.7</v>
      </c>
      <c r="H196" s="246">
        <v>70.5</v>
      </c>
      <c r="I196" s="246">
        <v>4.4999999999999998E-2</v>
      </c>
      <c r="J196" s="246">
        <v>15</v>
      </c>
      <c r="K196" s="246">
        <v>7.5</v>
      </c>
      <c r="L196" s="246">
        <v>0.3</v>
      </c>
      <c r="M196" s="246">
        <v>24</v>
      </c>
      <c r="N196" s="246">
        <v>16.5</v>
      </c>
      <c r="O196" s="246">
        <v>13.5</v>
      </c>
      <c r="P196" s="246">
        <v>3.3</v>
      </c>
    </row>
    <row r="197" spans="1:16" s="247" customFormat="1" x14ac:dyDescent="0.3">
      <c r="A197" s="291" t="s">
        <v>250</v>
      </c>
      <c r="B197" s="291"/>
      <c r="C197" s="250">
        <f>SUM(C194:C196)</f>
        <v>260</v>
      </c>
      <c r="D197" s="246">
        <f t="shared" si="57"/>
        <v>2.3127499999999999</v>
      </c>
      <c r="E197" s="251">
        <f>SUM(E194:E196)</f>
        <v>5.9359999999999999</v>
      </c>
      <c r="F197" s="251">
        <f t="shared" ref="F197:P197" si="58">SUM(F194:F196)</f>
        <v>6.3919999999999995</v>
      </c>
      <c r="G197" s="251">
        <f t="shared" si="58"/>
        <v>27.753</v>
      </c>
      <c r="H197" s="251">
        <f t="shared" si="58"/>
        <v>200.26400000000001</v>
      </c>
      <c r="I197" s="251">
        <f t="shared" si="58"/>
        <v>8.0999999999999989E-2</v>
      </c>
      <c r="J197" s="251">
        <f t="shared" si="58"/>
        <v>16.405999999999999</v>
      </c>
      <c r="K197" s="251">
        <f t="shared" si="58"/>
        <v>53.811999999999998</v>
      </c>
      <c r="L197" s="251">
        <f t="shared" si="58"/>
        <v>2.423</v>
      </c>
      <c r="M197" s="251">
        <f t="shared" si="58"/>
        <v>159.88800000000001</v>
      </c>
      <c r="N197" s="251">
        <f t="shared" si="58"/>
        <v>142.864</v>
      </c>
      <c r="O197" s="251">
        <f t="shared" si="58"/>
        <v>54.504000000000005</v>
      </c>
      <c r="P197" s="251">
        <f t="shared" si="58"/>
        <v>3.952</v>
      </c>
    </row>
    <row r="198" spans="1:16" s="247" customFormat="1" x14ac:dyDescent="0.3">
      <c r="A198" s="290" t="s">
        <v>8</v>
      </c>
      <c r="B198" s="290"/>
      <c r="C198" s="290"/>
      <c r="D198" s="290"/>
      <c r="E198" s="290"/>
      <c r="F198" s="290"/>
      <c r="G198" s="290"/>
      <c r="H198" s="290"/>
      <c r="I198" s="290"/>
      <c r="J198" s="290"/>
      <c r="K198" s="290"/>
      <c r="L198" s="290"/>
      <c r="M198" s="290"/>
      <c r="N198" s="290"/>
      <c r="O198" s="290"/>
      <c r="P198" s="290"/>
    </row>
    <row r="199" spans="1:16" s="247" customFormat="1" x14ac:dyDescent="0.3">
      <c r="A199" s="244" t="s">
        <v>316</v>
      </c>
      <c r="B199" s="244" t="s">
        <v>361</v>
      </c>
      <c r="C199" s="252">
        <v>250</v>
      </c>
      <c r="D199" s="246">
        <f>G199/12</f>
        <v>0.66516666666666668</v>
      </c>
      <c r="E199" s="252">
        <v>1.7849999999999999</v>
      </c>
      <c r="F199" s="252">
        <v>5.0979999999999999</v>
      </c>
      <c r="G199" s="252">
        <v>7.9820000000000002</v>
      </c>
      <c r="H199" s="252">
        <v>85.944999999999993</v>
      </c>
      <c r="I199" s="252">
        <v>0.04</v>
      </c>
      <c r="J199" s="252">
        <v>22.3</v>
      </c>
      <c r="K199" s="252">
        <v>260</v>
      </c>
      <c r="L199" s="252">
        <v>2.4119999999999999</v>
      </c>
      <c r="M199" s="252">
        <v>40.89</v>
      </c>
      <c r="N199" s="252">
        <v>45.06</v>
      </c>
      <c r="O199" s="252">
        <v>23.66</v>
      </c>
      <c r="P199" s="252">
        <v>1.101</v>
      </c>
    </row>
    <row r="200" spans="1:16" s="247" customFormat="1" ht="27.6" x14ac:dyDescent="0.3">
      <c r="A200" s="248" t="s">
        <v>315</v>
      </c>
      <c r="B200" s="244" t="s">
        <v>362</v>
      </c>
      <c r="C200" s="245">
        <v>90</v>
      </c>
      <c r="D200" s="246">
        <f t="shared" ref="D200:D205" si="59">G200/12</f>
        <v>0.25033333333333335</v>
      </c>
      <c r="E200" s="246">
        <v>15.656000000000001</v>
      </c>
      <c r="F200" s="246">
        <v>10.499000000000001</v>
      </c>
      <c r="G200" s="246">
        <v>3.004</v>
      </c>
      <c r="H200" s="246">
        <v>169.53299999999999</v>
      </c>
      <c r="I200" s="246">
        <v>5.8000000000000003E-2</v>
      </c>
      <c r="J200" s="246">
        <v>3.3</v>
      </c>
      <c r="K200" s="246">
        <v>80</v>
      </c>
      <c r="L200" s="246">
        <v>1.704</v>
      </c>
      <c r="M200" s="246">
        <v>13.582000000000001</v>
      </c>
      <c r="N200" s="246">
        <v>150.33500000000001</v>
      </c>
      <c r="O200" s="246">
        <v>21.777999999999999</v>
      </c>
      <c r="P200" s="246">
        <v>2.2490000000000001</v>
      </c>
    </row>
    <row r="201" spans="1:16" s="247" customFormat="1" x14ac:dyDescent="0.3">
      <c r="A201" s="261"/>
      <c r="B201" s="244" t="s">
        <v>383</v>
      </c>
      <c r="C201" s="245">
        <v>155</v>
      </c>
      <c r="D201" s="246">
        <f t="shared" si="59"/>
        <v>1.7898333333333334</v>
      </c>
      <c r="E201" s="246">
        <v>4.7649999999999997</v>
      </c>
      <c r="F201" s="246">
        <v>4.8630000000000004</v>
      </c>
      <c r="G201" s="246">
        <v>21.478000000000002</v>
      </c>
      <c r="H201" s="246">
        <v>148.54499999999999</v>
      </c>
      <c r="I201" s="246">
        <v>0.16200000000000001</v>
      </c>
      <c r="J201" s="246"/>
      <c r="K201" s="246">
        <v>20</v>
      </c>
      <c r="L201" s="246">
        <v>0.35</v>
      </c>
      <c r="M201" s="246">
        <v>9.8219999999999992</v>
      </c>
      <c r="N201" s="246">
        <v>113.479</v>
      </c>
      <c r="O201" s="246">
        <v>75.066999999999993</v>
      </c>
      <c r="P201" s="246">
        <v>2.5310000000000001</v>
      </c>
    </row>
    <row r="202" spans="1:16" s="247" customFormat="1" ht="27.6" x14ac:dyDescent="0.3">
      <c r="A202" s="249">
        <v>349</v>
      </c>
      <c r="B202" s="244" t="s">
        <v>363</v>
      </c>
      <c r="C202" s="245">
        <v>200</v>
      </c>
      <c r="D202" s="246">
        <f t="shared" si="59"/>
        <v>0.84541666666666659</v>
      </c>
      <c r="E202" s="246">
        <v>0.78</v>
      </c>
      <c r="F202" s="246">
        <v>0.06</v>
      </c>
      <c r="G202" s="246">
        <v>10.145</v>
      </c>
      <c r="H202" s="246">
        <v>45.4</v>
      </c>
      <c r="I202" s="246">
        <v>0.02</v>
      </c>
      <c r="J202" s="246">
        <v>0.8</v>
      </c>
      <c r="K202" s="246"/>
      <c r="L202" s="246">
        <v>1.1000000000000001</v>
      </c>
      <c r="M202" s="246">
        <v>32</v>
      </c>
      <c r="N202" s="246">
        <v>29.2</v>
      </c>
      <c r="O202" s="246">
        <v>21</v>
      </c>
      <c r="P202" s="246">
        <v>0.64</v>
      </c>
    </row>
    <row r="203" spans="1:16" s="247" customFormat="1" x14ac:dyDescent="0.3">
      <c r="A203" s="252"/>
      <c r="B203" s="244" t="s">
        <v>19</v>
      </c>
      <c r="C203" s="245">
        <v>60</v>
      </c>
      <c r="D203" s="246">
        <f t="shared" si="59"/>
        <v>1.71</v>
      </c>
      <c r="E203" s="246">
        <v>3.96</v>
      </c>
      <c r="F203" s="246">
        <v>0.72</v>
      </c>
      <c r="G203" s="246">
        <v>20.52</v>
      </c>
      <c r="H203" s="246">
        <v>104.4</v>
      </c>
      <c r="I203" s="246">
        <v>0.12</v>
      </c>
      <c r="J203" s="246">
        <v>0</v>
      </c>
      <c r="K203" s="246">
        <v>3.6</v>
      </c>
      <c r="L203" s="246">
        <v>1.32</v>
      </c>
      <c r="M203" s="246">
        <v>21</v>
      </c>
      <c r="N203" s="246">
        <v>94.8</v>
      </c>
      <c r="O203" s="246">
        <v>28.2</v>
      </c>
      <c r="P203" s="246">
        <v>2.34</v>
      </c>
    </row>
    <row r="204" spans="1:16" s="247" customFormat="1" x14ac:dyDescent="0.3">
      <c r="A204" s="252"/>
      <c r="B204" s="244" t="s">
        <v>51</v>
      </c>
      <c r="C204" s="245">
        <v>200</v>
      </c>
      <c r="D204" s="246">
        <f t="shared" si="59"/>
        <v>1.6333333333333335</v>
      </c>
      <c r="E204" s="246">
        <v>0.8</v>
      </c>
      <c r="F204" s="246">
        <v>0.8</v>
      </c>
      <c r="G204" s="246">
        <v>19.600000000000001</v>
      </c>
      <c r="H204" s="246">
        <v>94</v>
      </c>
      <c r="I204" s="246">
        <v>0.06</v>
      </c>
      <c r="J204" s="246">
        <v>20</v>
      </c>
      <c r="K204" s="246">
        <v>10</v>
      </c>
      <c r="L204" s="246">
        <v>0.4</v>
      </c>
      <c r="M204" s="246">
        <v>32</v>
      </c>
      <c r="N204" s="246">
        <v>22</v>
      </c>
      <c r="O204" s="246">
        <v>18</v>
      </c>
      <c r="P204" s="246">
        <v>4.4000000000000004</v>
      </c>
    </row>
    <row r="205" spans="1:16" s="247" customFormat="1" x14ac:dyDescent="0.3">
      <c r="A205" s="291" t="s">
        <v>20</v>
      </c>
      <c r="B205" s="291"/>
      <c r="C205" s="250">
        <f>SUM(C199:C204)</f>
        <v>955</v>
      </c>
      <c r="D205" s="246">
        <f t="shared" si="59"/>
        <v>6.8940833333333318</v>
      </c>
      <c r="E205" s="251">
        <f>SUM(E199:E204)</f>
        <v>27.746000000000002</v>
      </c>
      <c r="F205" s="251">
        <f t="shared" ref="F205:P205" si="60">SUM(F199:F204)</f>
        <v>22.04</v>
      </c>
      <c r="G205" s="251">
        <f t="shared" si="60"/>
        <v>82.728999999999985</v>
      </c>
      <c r="H205" s="251">
        <f t="shared" si="60"/>
        <v>647.82299999999998</v>
      </c>
      <c r="I205" s="251">
        <f t="shared" si="60"/>
        <v>0.46</v>
      </c>
      <c r="J205" s="251">
        <f t="shared" si="60"/>
        <v>46.400000000000006</v>
      </c>
      <c r="K205" s="251">
        <f t="shared" si="60"/>
        <v>373.6</v>
      </c>
      <c r="L205" s="251">
        <f t="shared" si="60"/>
        <v>7.2859999999999996</v>
      </c>
      <c r="M205" s="251">
        <f t="shared" si="60"/>
        <v>149.29399999999998</v>
      </c>
      <c r="N205" s="251">
        <f t="shared" si="60"/>
        <v>454.87400000000002</v>
      </c>
      <c r="O205" s="251">
        <f t="shared" si="60"/>
        <v>187.70499999999998</v>
      </c>
      <c r="P205" s="251">
        <f t="shared" si="60"/>
        <v>13.261000000000001</v>
      </c>
    </row>
    <row r="206" spans="1:16" s="247" customFormat="1" x14ac:dyDescent="0.3">
      <c r="A206" s="290" t="s">
        <v>43</v>
      </c>
      <c r="B206" s="290"/>
      <c r="C206" s="290"/>
      <c r="D206" s="290"/>
      <c r="E206" s="290"/>
      <c r="F206" s="290"/>
      <c r="G206" s="290"/>
      <c r="H206" s="290"/>
      <c r="I206" s="290"/>
      <c r="J206" s="290"/>
      <c r="K206" s="290"/>
      <c r="L206" s="290"/>
      <c r="M206" s="290"/>
      <c r="N206" s="290"/>
      <c r="O206" s="290"/>
      <c r="P206" s="290"/>
    </row>
    <row r="207" spans="1:16" s="247" customFormat="1" ht="27.6" x14ac:dyDescent="0.3">
      <c r="A207" s="252"/>
      <c r="B207" s="244" t="s">
        <v>332</v>
      </c>
      <c r="C207" s="245">
        <v>20</v>
      </c>
      <c r="D207" s="246">
        <f>G207/12</f>
        <v>0.64524999999999999</v>
      </c>
      <c r="E207" s="246">
        <v>1.6459999999999999</v>
      </c>
      <c r="F207" s="246">
        <v>4.4420000000000002</v>
      </c>
      <c r="G207" s="246">
        <v>7.7430000000000003</v>
      </c>
      <c r="H207" s="246">
        <v>78.463999999999999</v>
      </c>
      <c r="I207" s="246">
        <v>3.5999999999999997E-2</v>
      </c>
      <c r="J207" s="246">
        <v>0.86599999999999999</v>
      </c>
      <c r="K207" s="246">
        <v>37.311999999999998</v>
      </c>
      <c r="L207" s="246">
        <v>2.1230000000000002</v>
      </c>
      <c r="M207" s="246">
        <v>24.288</v>
      </c>
      <c r="N207" s="246">
        <v>40.863999999999997</v>
      </c>
      <c r="O207" s="246">
        <v>27.504000000000001</v>
      </c>
      <c r="P207" s="246">
        <v>0.56200000000000006</v>
      </c>
    </row>
    <row r="208" spans="1:16" s="247" customFormat="1" x14ac:dyDescent="0.3">
      <c r="A208" s="245">
        <v>386</v>
      </c>
      <c r="B208" s="244" t="s">
        <v>71</v>
      </c>
      <c r="C208" s="245">
        <v>90</v>
      </c>
      <c r="D208" s="246">
        <f t="shared" ref="D208:D210" si="61">G208/12</f>
        <v>0.44249999999999995</v>
      </c>
      <c r="E208" s="246">
        <v>3.69</v>
      </c>
      <c r="F208" s="246">
        <v>1.35</v>
      </c>
      <c r="G208" s="246">
        <v>5.31</v>
      </c>
      <c r="H208" s="246">
        <v>51.3</v>
      </c>
      <c r="I208" s="246"/>
      <c r="J208" s="246">
        <v>0.54</v>
      </c>
      <c r="K208" s="246">
        <v>9</v>
      </c>
      <c r="L208" s="246"/>
      <c r="M208" s="246">
        <v>111.6</v>
      </c>
      <c r="N208" s="246">
        <v>85.5</v>
      </c>
      <c r="O208" s="246">
        <v>13.5</v>
      </c>
      <c r="P208" s="246">
        <v>0.09</v>
      </c>
    </row>
    <row r="209" spans="1:16" s="247" customFormat="1" x14ac:dyDescent="0.3">
      <c r="A209" s="245">
        <v>0</v>
      </c>
      <c r="B209" s="244" t="s">
        <v>53</v>
      </c>
      <c r="C209" s="245">
        <v>150</v>
      </c>
      <c r="D209" s="246">
        <f t="shared" si="61"/>
        <v>1.2249999999999999</v>
      </c>
      <c r="E209" s="246">
        <v>0.6</v>
      </c>
      <c r="F209" s="246">
        <v>0.6</v>
      </c>
      <c r="G209" s="246">
        <v>14.7</v>
      </c>
      <c r="H209" s="246">
        <v>70.5</v>
      </c>
      <c r="I209" s="246">
        <v>4.4999999999999998E-2</v>
      </c>
      <c r="J209" s="246">
        <v>15</v>
      </c>
      <c r="K209" s="246">
        <v>7.5</v>
      </c>
      <c r="L209" s="246">
        <v>0.3</v>
      </c>
      <c r="M209" s="246">
        <v>24</v>
      </c>
      <c r="N209" s="246">
        <v>16.5</v>
      </c>
      <c r="O209" s="246">
        <v>13.5</v>
      </c>
      <c r="P209" s="246">
        <v>3.3</v>
      </c>
    </row>
    <row r="210" spans="1:16" s="247" customFormat="1" x14ac:dyDescent="0.3">
      <c r="A210" s="291" t="s">
        <v>44</v>
      </c>
      <c r="B210" s="291"/>
      <c r="C210" s="250">
        <f>SUM(C207:C209)</f>
        <v>260</v>
      </c>
      <c r="D210" s="246">
        <f t="shared" si="61"/>
        <v>2.3127499999999999</v>
      </c>
      <c r="E210" s="251">
        <f>SUM(E207:E209)</f>
        <v>5.9359999999999999</v>
      </c>
      <c r="F210" s="251">
        <f t="shared" ref="F210:P210" si="62">SUM(F207:F209)</f>
        <v>6.3919999999999995</v>
      </c>
      <c r="G210" s="251">
        <f t="shared" si="62"/>
        <v>27.753</v>
      </c>
      <c r="H210" s="251">
        <f t="shared" si="62"/>
        <v>200.26400000000001</v>
      </c>
      <c r="I210" s="251">
        <f t="shared" si="62"/>
        <v>8.0999999999999989E-2</v>
      </c>
      <c r="J210" s="251">
        <f t="shared" si="62"/>
        <v>16.405999999999999</v>
      </c>
      <c r="K210" s="251">
        <f t="shared" si="62"/>
        <v>53.811999999999998</v>
      </c>
      <c r="L210" s="251">
        <f t="shared" si="62"/>
        <v>2.423</v>
      </c>
      <c r="M210" s="251">
        <f t="shared" si="62"/>
        <v>159.88800000000001</v>
      </c>
      <c r="N210" s="251">
        <f t="shared" si="62"/>
        <v>142.864</v>
      </c>
      <c r="O210" s="251">
        <f t="shared" si="62"/>
        <v>54.504000000000005</v>
      </c>
      <c r="P210" s="251">
        <f t="shared" si="62"/>
        <v>3.952</v>
      </c>
    </row>
    <row r="211" spans="1:16" s="247" customFormat="1" x14ac:dyDescent="0.3">
      <c r="A211" s="292" t="s">
        <v>257</v>
      </c>
      <c r="B211" s="292"/>
      <c r="C211" s="254">
        <f>C210+C205+C197+C192</f>
        <v>2125</v>
      </c>
      <c r="D211" s="255">
        <f t="shared" ref="D211:P211" si="63">D210+D205+D197+D192</f>
        <v>17.236083333333333</v>
      </c>
      <c r="E211" s="255">
        <f t="shared" si="63"/>
        <v>60.785000000000004</v>
      </c>
      <c r="F211" s="255">
        <f t="shared" si="63"/>
        <v>53.198999999999998</v>
      </c>
      <c r="G211" s="255">
        <f t="shared" si="63"/>
        <v>206.83299999999997</v>
      </c>
      <c r="H211" s="255">
        <f t="shared" si="63"/>
        <v>1579.2710000000002</v>
      </c>
      <c r="I211" s="255">
        <f t="shared" si="63"/>
        <v>1.087</v>
      </c>
      <c r="J211" s="255">
        <f t="shared" si="63"/>
        <v>141.88200000000001</v>
      </c>
      <c r="K211" s="255">
        <f t="shared" si="63"/>
        <v>539.524</v>
      </c>
      <c r="L211" s="255">
        <f t="shared" si="63"/>
        <v>19.460999999999999</v>
      </c>
      <c r="M211" s="255">
        <f t="shared" si="63"/>
        <v>616.66000000000008</v>
      </c>
      <c r="N211" s="255">
        <f t="shared" si="63"/>
        <v>1158.3820000000001</v>
      </c>
      <c r="O211" s="255">
        <f t="shared" si="63"/>
        <v>442.20300000000003</v>
      </c>
      <c r="P211" s="255">
        <f t="shared" si="63"/>
        <v>28.814999999999998</v>
      </c>
    </row>
    <row r="212" spans="1:16" s="247" customFormat="1" x14ac:dyDescent="0.3">
      <c r="A212" s="293" t="s">
        <v>24</v>
      </c>
      <c r="B212" s="293"/>
      <c r="C212" s="293"/>
      <c r="D212" s="293"/>
      <c r="E212" s="293"/>
      <c r="F212" s="293"/>
      <c r="G212" s="293"/>
      <c r="H212" s="293"/>
      <c r="I212" s="287"/>
      <c r="J212" s="287"/>
      <c r="K212" s="287"/>
      <c r="L212" s="287"/>
      <c r="M212" s="287"/>
      <c r="N212" s="287"/>
      <c r="O212" s="287"/>
      <c r="P212" s="287"/>
    </row>
    <row r="213" spans="1:16" s="247" customFormat="1" x14ac:dyDescent="0.3">
      <c r="A213" s="300" t="s">
        <v>33</v>
      </c>
      <c r="B213" s="300" t="s">
        <v>32</v>
      </c>
      <c r="C213" s="300" t="s">
        <v>0</v>
      </c>
      <c r="D213" s="299"/>
      <c r="E213" s="299" t="s">
        <v>1</v>
      </c>
      <c r="F213" s="299"/>
      <c r="G213" s="299"/>
      <c r="H213" s="299" t="s">
        <v>31</v>
      </c>
      <c r="I213" s="299" t="s">
        <v>9</v>
      </c>
      <c r="J213" s="299"/>
      <c r="K213" s="299"/>
      <c r="L213" s="299"/>
      <c r="M213" s="299" t="s">
        <v>10</v>
      </c>
      <c r="N213" s="299"/>
      <c r="O213" s="299"/>
      <c r="P213" s="299"/>
    </row>
    <row r="214" spans="1:16" s="247" customFormat="1" x14ac:dyDescent="0.3">
      <c r="A214" s="300"/>
      <c r="B214" s="300"/>
      <c r="C214" s="300"/>
      <c r="D214" s="299"/>
      <c r="E214" s="256" t="s">
        <v>2</v>
      </c>
      <c r="F214" s="256" t="s">
        <v>3</v>
      </c>
      <c r="G214" s="256" t="s">
        <v>4</v>
      </c>
      <c r="H214" s="299"/>
      <c r="I214" s="256" t="s">
        <v>11</v>
      </c>
      <c r="J214" s="256" t="s">
        <v>12</v>
      </c>
      <c r="K214" s="256" t="s">
        <v>13</v>
      </c>
      <c r="L214" s="256" t="s">
        <v>14</v>
      </c>
      <c r="M214" s="256" t="s">
        <v>15</v>
      </c>
      <c r="N214" s="256" t="s">
        <v>16</v>
      </c>
      <c r="O214" s="256" t="s">
        <v>17</v>
      </c>
      <c r="P214" s="256" t="s">
        <v>18</v>
      </c>
    </row>
    <row r="215" spans="1:16" s="247" customFormat="1" x14ac:dyDescent="0.3">
      <c r="A215" s="290" t="s">
        <v>21</v>
      </c>
      <c r="B215" s="290"/>
      <c r="C215" s="290"/>
      <c r="D215" s="290"/>
      <c r="E215" s="290"/>
      <c r="F215" s="290"/>
      <c r="G215" s="290"/>
      <c r="H215" s="290"/>
      <c r="I215" s="290"/>
      <c r="J215" s="290"/>
      <c r="K215" s="290"/>
      <c r="L215" s="290"/>
      <c r="M215" s="290"/>
      <c r="N215" s="290"/>
      <c r="O215" s="290"/>
      <c r="P215" s="290"/>
    </row>
    <row r="216" spans="1:16" s="247" customFormat="1" ht="27.6" x14ac:dyDescent="0.3">
      <c r="A216" s="253">
        <v>45</v>
      </c>
      <c r="B216" s="244" t="s">
        <v>306</v>
      </c>
      <c r="C216" s="245">
        <v>80</v>
      </c>
      <c r="D216" s="246">
        <f>G216/12</f>
        <v>0.33116666666666666</v>
      </c>
      <c r="E216" s="246">
        <v>1.3340000000000001</v>
      </c>
      <c r="F216" s="246">
        <v>2.0760000000000001</v>
      </c>
      <c r="G216" s="246">
        <v>3.9740000000000002</v>
      </c>
      <c r="H216" s="246">
        <v>40.802</v>
      </c>
      <c r="I216" s="246">
        <v>2.8000000000000001E-2</v>
      </c>
      <c r="J216" s="246">
        <v>29.5</v>
      </c>
      <c r="K216" s="246">
        <v>280</v>
      </c>
      <c r="L216" s="246">
        <v>1</v>
      </c>
      <c r="M216" s="246">
        <v>34.5</v>
      </c>
      <c r="N216" s="246">
        <v>27.58</v>
      </c>
      <c r="O216" s="246">
        <v>15.56</v>
      </c>
      <c r="P216" s="246">
        <v>0.48199999999999998</v>
      </c>
    </row>
    <row r="217" spans="1:16" s="247" customFormat="1" ht="27.6" x14ac:dyDescent="0.3">
      <c r="A217" s="248">
        <v>278</v>
      </c>
      <c r="B217" s="244" t="s">
        <v>365</v>
      </c>
      <c r="C217" s="245">
        <v>60</v>
      </c>
      <c r="D217" s="246">
        <f t="shared" ref="D217:D223" si="64">G217/12</f>
        <v>0.57466666666666666</v>
      </c>
      <c r="E217" s="246">
        <v>8.9280000000000008</v>
      </c>
      <c r="F217" s="246">
        <v>8.1340000000000003</v>
      </c>
      <c r="G217" s="246">
        <v>6.8959999999999999</v>
      </c>
      <c r="H217" s="246">
        <v>136.72</v>
      </c>
      <c r="I217" s="246">
        <v>4.9000000000000002E-2</v>
      </c>
      <c r="J217" s="246">
        <v>2</v>
      </c>
      <c r="K217" s="246">
        <v>0.48</v>
      </c>
      <c r="L217" s="246">
        <v>3.008</v>
      </c>
      <c r="M217" s="246">
        <v>17.571999999999999</v>
      </c>
      <c r="N217" s="246">
        <v>96.85</v>
      </c>
      <c r="O217" s="246">
        <v>15.228</v>
      </c>
      <c r="P217" s="246">
        <v>1.5389999999999999</v>
      </c>
    </row>
    <row r="218" spans="1:16" s="247" customFormat="1" x14ac:dyDescent="0.3">
      <c r="A218" s="248">
        <v>330</v>
      </c>
      <c r="B218" s="244" t="s">
        <v>366</v>
      </c>
      <c r="C218" s="245">
        <v>50</v>
      </c>
      <c r="D218" s="246">
        <f t="shared" si="64"/>
        <v>0.252</v>
      </c>
      <c r="E218" s="246">
        <v>0.88400000000000001</v>
      </c>
      <c r="F218" s="246">
        <v>2.38</v>
      </c>
      <c r="G218" s="246">
        <v>3.024</v>
      </c>
      <c r="H218" s="246">
        <v>37.479999999999997</v>
      </c>
      <c r="I218" s="246">
        <v>4.0000000000000001E-3</v>
      </c>
      <c r="J218" s="246">
        <v>5.6000000000000001E-2</v>
      </c>
      <c r="K218" s="246">
        <v>14</v>
      </c>
      <c r="L218" s="246">
        <v>4.2000000000000003E-2</v>
      </c>
      <c r="M218" s="246">
        <v>12.32</v>
      </c>
      <c r="N218" s="246">
        <v>8.5399999999999991</v>
      </c>
      <c r="O218" s="246">
        <v>1.26</v>
      </c>
      <c r="P218" s="246">
        <v>2.8000000000000001E-2</v>
      </c>
    </row>
    <row r="219" spans="1:16" s="247" customFormat="1" ht="27.6" x14ac:dyDescent="0.3">
      <c r="A219" s="252"/>
      <c r="B219" s="244" t="s">
        <v>307</v>
      </c>
      <c r="C219" s="245">
        <v>155</v>
      </c>
      <c r="D219" s="246">
        <f t="shared" si="64"/>
        <v>1.7898333333333334</v>
      </c>
      <c r="E219" s="246">
        <v>4.7649999999999997</v>
      </c>
      <c r="F219" s="246">
        <v>4.8630000000000004</v>
      </c>
      <c r="G219" s="246">
        <v>21.478000000000002</v>
      </c>
      <c r="H219" s="246">
        <v>148.54499999999999</v>
      </c>
      <c r="I219" s="246">
        <v>0.16200000000000001</v>
      </c>
      <c r="J219" s="246"/>
      <c r="K219" s="246">
        <v>20</v>
      </c>
      <c r="L219" s="246">
        <v>0.35</v>
      </c>
      <c r="M219" s="246">
        <v>9.8219999999999992</v>
      </c>
      <c r="N219" s="246">
        <v>113.479</v>
      </c>
      <c r="O219" s="246">
        <v>75.066999999999993</v>
      </c>
      <c r="P219" s="246">
        <v>2.5310000000000001</v>
      </c>
    </row>
    <row r="220" spans="1:16" s="247" customFormat="1" ht="27.6" x14ac:dyDescent="0.3">
      <c r="A220" s="252"/>
      <c r="B220" s="244" t="s">
        <v>336</v>
      </c>
      <c r="C220" s="245">
        <v>200</v>
      </c>
      <c r="D220" s="246">
        <f t="shared" si="64"/>
        <v>0.32708333333333334</v>
      </c>
      <c r="E220" s="246">
        <v>0.16</v>
      </c>
      <c r="F220" s="246">
        <v>0.16</v>
      </c>
      <c r="G220" s="246">
        <v>3.9249999999999998</v>
      </c>
      <c r="H220" s="246">
        <v>18.800999999999998</v>
      </c>
      <c r="I220" s="246">
        <v>1.2E-2</v>
      </c>
      <c r="J220" s="246">
        <v>4.01</v>
      </c>
      <c r="K220" s="246">
        <v>2</v>
      </c>
      <c r="L220" s="246">
        <v>0.08</v>
      </c>
      <c r="M220" s="246">
        <v>6.8949999999999996</v>
      </c>
      <c r="N220" s="246">
        <v>5.2240000000000002</v>
      </c>
      <c r="O220" s="246">
        <v>4.04</v>
      </c>
      <c r="P220" s="246">
        <v>0.96199999999999997</v>
      </c>
    </row>
    <row r="221" spans="1:16" s="247" customFormat="1" x14ac:dyDescent="0.3">
      <c r="A221" s="252"/>
      <c r="B221" s="244" t="s">
        <v>19</v>
      </c>
      <c r="C221" s="245">
        <v>40</v>
      </c>
      <c r="D221" s="246">
        <f t="shared" si="64"/>
        <v>1.1399999999999999</v>
      </c>
      <c r="E221" s="246">
        <v>2.64</v>
      </c>
      <c r="F221" s="246">
        <v>0.48</v>
      </c>
      <c r="G221" s="246">
        <v>13.68</v>
      </c>
      <c r="H221" s="246">
        <v>69.599999999999994</v>
      </c>
      <c r="I221" s="246">
        <v>0.08</v>
      </c>
      <c r="J221" s="246"/>
      <c r="K221" s="246">
        <v>2.4</v>
      </c>
      <c r="L221" s="246">
        <v>0.88</v>
      </c>
      <c r="M221" s="246">
        <v>14</v>
      </c>
      <c r="N221" s="246">
        <v>63.2</v>
      </c>
      <c r="O221" s="246">
        <v>18.8</v>
      </c>
      <c r="P221" s="246">
        <v>1.56</v>
      </c>
    </row>
    <row r="222" spans="1:16" s="247" customFormat="1" hidden="1" x14ac:dyDescent="0.3">
      <c r="A222" s="252"/>
      <c r="B222" s="262"/>
      <c r="C222" s="262"/>
      <c r="D222" s="263"/>
      <c r="E222" s="263"/>
      <c r="F222" s="263"/>
      <c r="G222" s="263"/>
      <c r="H222" s="263"/>
      <c r="I222" s="263"/>
      <c r="J222" s="263"/>
      <c r="K222" s="263"/>
      <c r="L222" s="263"/>
      <c r="M222" s="263"/>
      <c r="N222" s="263"/>
      <c r="O222" s="263"/>
      <c r="P222" s="263"/>
    </row>
    <row r="223" spans="1:16" s="247" customFormat="1" x14ac:dyDescent="0.3">
      <c r="A223" s="291" t="s">
        <v>248</v>
      </c>
      <c r="B223" s="291"/>
      <c r="C223" s="250">
        <f>SUM(C216:C222)</f>
        <v>585</v>
      </c>
      <c r="D223" s="246">
        <f t="shared" si="64"/>
        <v>4.4147499999999997</v>
      </c>
      <c r="E223" s="251">
        <f>SUM(E216:E222)</f>
        <v>18.711000000000002</v>
      </c>
      <c r="F223" s="251">
        <f t="shared" ref="F223:P223" si="65">SUM(F216:F222)</f>
        <v>18.093</v>
      </c>
      <c r="G223" s="251">
        <f t="shared" si="65"/>
        <v>52.976999999999997</v>
      </c>
      <c r="H223" s="251">
        <f t="shared" si="65"/>
        <v>451.94799999999998</v>
      </c>
      <c r="I223" s="251">
        <f t="shared" si="65"/>
        <v>0.33500000000000002</v>
      </c>
      <c r="J223" s="251">
        <f t="shared" si="65"/>
        <v>35.566000000000003</v>
      </c>
      <c r="K223" s="251">
        <f t="shared" si="65"/>
        <v>318.88</v>
      </c>
      <c r="L223" s="251">
        <f t="shared" si="65"/>
        <v>5.3599999999999994</v>
      </c>
      <c r="M223" s="251">
        <f t="shared" si="65"/>
        <v>95.108999999999995</v>
      </c>
      <c r="N223" s="251">
        <f t="shared" si="65"/>
        <v>314.87299999999999</v>
      </c>
      <c r="O223" s="251">
        <f t="shared" si="65"/>
        <v>129.95500000000001</v>
      </c>
      <c r="P223" s="251">
        <f t="shared" si="65"/>
        <v>7.1020000000000003</v>
      </c>
    </row>
    <row r="224" spans="1:16" s="247" customFormat="1" x14ac:dyDescent="0.3">
      <c r="A224" s="290" t="s">
        <v>249</v>
      </c>
      <c r="B224" s="290"/>
      <c r="C224" s="290"/>
      <c r="D224" s="290"/>
      <c r="E224" s="290"/>
      <c r="F224" s="290"/>
      <c r="G224" s="290"/>
      <c r="H224" s="290"/>
      <c r="I224" s="290"/>
      <c r="J224" s="290"/>
      <c r="K224" s="290"/>
      <c r="L224" s="290"/>
      <c r="M224" s="290"/>
      <c r="N224" s="290"/>
      <c r="O224" s="290"/>
      <c r="P224" s="290"/>
    </row>
    <row r="225" spans="1:16" s="247" customFormat="1" ht="27.6" x14ac:dyDescent="0.3">
      <c r="A225" s="252"/>
      <c r="B225" s="244" t="s">
        <v>332</v>
      </c>
      <c r="C225" s="245">
        <v>20</v>
      </c>
      <c r="D225" s="246">
        <f>G225/12</f>
        <v>0.64524999999999999</v>
      </c>
      <c r="E225" s="246">
        <v>1.6459999999999999</v>
      </c>
      <c r="F225" s="246">
        <v>4.4420000000000002</v>
      </c>
      <c r="G225" s="246">
        <v>7.7430000000000003</v>
      </c>
      <c r="H225" s="246">
        <v>78.463999999999999</v>
      </c>
      <c r="I225" s="246">
        <v>3.5999999999999997E-2</v>
      </c>
      <c r="J225" s="246">
        <v>0.86599999999999999</v>
      </c>
      <c r="K225" s="246">
        <v>37.311999999999998</v>
      </c>
      <c r="L225" s="246">
        <v>2.1230000000000002</v>
      </c>
      <c r="M225" s="246">
        <v>24.288</v>
      </c>
      <c r="N225" s="246">
        <v>40.863999999999997</v>
      </c>
      <c r="O225" s="246">
        <v>27.504000000000001</v>
      </c>
      <c r="P225" s="246">
        <v>0.56200000000000006</v>
      </c>
    </row>
    <row r="226" spans="1:16" s="247" customFormat="1" x14ac:dyDescent="0.3">
      <c r="A226" s="245">
        <v>386</v>
      </c>
      <c r="B226" s="244" t="s">
        <v>71</v>
      </c>
      <c r="C226" s="245">
        <v>90</v>
      </c>
      <c r="D226" s="246">
        <f t="shared" ref="D226:D228" si="66">G226/12</f>
        <v>0.44249999999999995</v>
      </c>
      <c r="E226" s="246">
        <v>3.69</v>
      </c>
      <c r="F226" s="246">
        <v>1.35</v>
      </c>
      <c r="G226" s="246">
        <v>5.31</v>
      </c>
      <c r="H226" s="246">
        <v>51.3</v>
      </c>
      <c r="I226" s="246"/>
      <c r="J226" s="246">
        <v>0.54</v>
      </c>
      <c r="K226" s="246">
        <v>9</v>
      </c>
      <c r="L226" s="246"/>
      <c r="M226" s="246">
        <v>111.6</v>
      </c>
      <c r="N226" s="246">
        <v>85.5</v>
      </c>
      <c r="O226" s="246">
        <v>13.5</v>
      </c>
      <c r="P226" s="246">
        <v>0.09</v>
      </c>
    </row>
    <row r="227" spans="1:16" s="247" customFormat="1" x14ac:dyDescent="0.3">
      <c r="A227" s="245">
        <v>0</v>
      </c>
      <c r="B227" s="244" t="s">
        <v>66</v>
      </c>
      <c r="C227" s="245">
        <v>150</v>
      </c>
      <c r="D227" s="246">
        <f t="shared" si="66"/>
        <v>0.9375</v>
      </c>
      <c r="E227" s="246">
        <v>1.2</v>
      </c>
      <c r="F227" s="246">
        <v>0.3</v>
      </c>
      <c r="G227" s="246">
        <v>11.25</v>
      </c>
      <c r="H227" s="246">
        <v>57</v>
      </c>
      <c r="I227" s="246">
        <v>0.09</v>
      </c>
      <c r="J227" s="246">
        <v>57</v>
      </c>
      <c r="K227" s="246"/>
      <c r="L227" s="246">
        <v>0.3</v>
      </c>
      <c r="M227" s="246">
        <v>52.5</v>
      </c>
      <c r="N227" s="246">
        <v>25.5</v>
      </c>
      <c r="O227" s="246">
        <v>16.5</v>
      </c>
      <c r="P227" s="246">
        <v>0.15</v>
      </c>
    </row>
    <row r="228" spans="1:16" s="247" customFormat="1" x14ac:dyDescent="0.3">
      <c r="A228" s="291" t="s">
        <v>250</v>
      </c>
      <c r="B228" s="291"/>
      <c r="C228" s="250">
        <f>SUM(C225:C227)</f>
        <v>260</v>
      </c>
      <c r="D228" s="246">
        <f t="shared" si="66"/>
        <v>2.0252500000000002</v>
      </c>
      <c r="E228" s="251">
        <f>SUM(E225:E227)</f>
        <v>6.5360000000000005</v>
      </c>
      <c r="F228" s="251">
        <f t="shared" ref="F228:P228" si="67">SUM(F225:F227)</f>
        <v>6.0919999999999996</v>
      </c>
      <c r="G228" s="251">
        <f t="shared" si="67"/>
        <v>24.303000000000001</v>
      </c>
      <c r="H228" s="251">
        <f t="shared" si="67"/>
        <v>186.76400000000001</v>
      </c>
      <c r="I228" s="251">
        <f t="shared" si="67"/>
        <v>0.126</v>
      </c>
      <c r="J228" s="251">
        <f t="shared" si="67"/>
        <v>58.405999999999999</v>
      </c>
      <c r="K228" s="251">
        <f t="shared" si="67"/>
        <v>46.311999999999998</v>
      </c>
      <c r="L228" s="251">
        <f t="shared" si="67"/>
        <v>2.423</v>
      </c>
      <c r="M228" s="251">
        <f t="shared" si="67"/>
        <v>188.38800000000001</v>
      </c>
      <c r="N228" s="251">
        <f t="shared" si="67"/>
        <v>151.864</v>
      </c>
      <c r="O228" s="251">
        <f t="shared" si="67"/>
        <v>57.504000000000005</v>
      </c>
      <c r="P228" s="251">
        <f t="shared" si="67"/>
        <v>0.80200000000000005</v>
      </c>
    </row>
    <row r="229" spans="1:16" s="247" customFormat="1" x14ac:dyDescent="0.3">
      <c r="A229" s="290" t="s">
        <v>8</v>
      </c>
      <c r="B229" s="290"/>
      <c r="C229" s="290"/>
      <c r="D229" s="290"/>
      <c r="E229" s="290"/>
      <c r="F229" s="290"/>
      <c r="G229" s="290"/>
      <c r="H229" s="290"/>
      <c r="I229" s="290"/>
      <c r="J229" s="290"/>
      <c r="K229" s="290"/>
      <c r="L229" s="290"/>
      <c r="M229" s="290"/>
      <c r="N229" s="290"/>
      <c r="O229" s="290"/>
      <c r="P229" s="290"/>
    </row>
    <row r="230" spans="1:16" s="247" customFormat="1" x14ac:dyDescent="0.3">
      <c r="A230" s="248">
        <v>71</v>
      </c>
      <c r="B230" s="244" t="s">
        <v>338</v>
      </c>
      <c r="C230" s="245">
        <v>60</v>
      </c>
      <c r="D230" s="246">
        <f>G230/12</f>
        <v>9.4999999999999987E-2</v>
      </c>
      <c r="E230" s="246">
        <v>0.42</v>
      </c>
      <c r="F230" s="246">
        <v>0.06</v>
      </c>
      <c r="G230" s="246">
        <v>1.1399999999999999</v>
      </c>
      <c r="H230" s="246">
        <v>6.6</v>
      </c>
      <c r="I230" s="246">
        <v>1.7999999999999999E-2</v>
      </c>
      <c r="J230" s="246">
        <v>4.2</v>
      </c>
      <c r="K230" s="246"/>
      <c r="L230" s="246">
        <v>0.06</v>
      </c>
      <c r="M230" s="246">
        <v>10.199999999999999</v>
      </c>
      <c r="N230" s="246">
        <v>18</v>
      </c>
      <c r="O230" s="246">
        <v>8.4</v>
      </c>
      <c r="P230" s="246">
        <v>0.3</v>
      </c>
    </row>
    <row r="231" spans="1:16" s="247" customFormat="1" x14ac:dyDescent="0.3">
      <c r="A231" s="249">
        <v>102</v>
      </c>
      <c r="B231" s="244" t="s">
        <v>308</v>
      </c>
      <c r="C231" s="245">
        <v>250</v>
      </c>
      <c r="D231" s="246">
        <f t="shared" ref="D231:D237" si="68">G231/12</f>
        <v>1.6202500000000002</v>
      </c>
      <c r="E231" s="246">
        <v>5.89</v>
      </c>
      <c r="F231" s="246">
        <v>4.55</v>
      </c>
      <c r="G231" s="246">
        <v>19.443000000000001</v>
      </c>
      <c r="H231" s="246">
        <v>142.63399999999999</v>
      </c>
      <c r="I231" s="246">
        <v>0.23400000000000001</v>
      </c>
      <c r="J231" s="246">
        <v>11.7</v>
      </c>
      <c r="K231" s="246">
        <v>200</v>
      </c>
      <c r="L231" s="246">
        <v>2.0110000000000001</v>
      </c>
      <c r="M231" s="246">
        <v>37.58</v>
      </c>
      <c r="N231" s="246">
        <v>107.51</v>
      </c>
      <c r="O231" s="246">
        <v>38.549999999999997</v>
      </c>
      <c r="P231" s="246">
        <v>1.998</v>
      </c>
    </row>
    <row r="232" spans="1:16" s="247" customFormat="1" ht="27.6" x14ac:dyDescent="0.3">
      <c r="A232" s="249">
        <v>234</v>
      </c>
      <c r="B232" s="244" t="s">
        <v>367</v>
      </c>
      <c r="C232" s="245">
        <v>90</v>
      </c>
      <c r="D232" s="246">
        <f t="shared" si="68"/>
        <v>1.0542499999999999</v>
      </c>
      <c r="E232" s="246">
        <v>12.112</v>
      </c>
      <c r="F232" s="246">
        <v>7.4180000000000001</v>
      </c>
      <c r="G232" s="246">
        <v>12.651</v>
      </c>
      <c r="H232" s="246">
        <v>166.386</v>
      </c>
      <c r="I232" s="246">
        <v>0.122</v>
      </c>
      <c r="J232" s="246">
        <v>0.433</v>
      </c>
      <c r="K232" s="246">
        <v>9.16</v>
      </c>
      <c r="L232" s="246">
        <v>3.34</v>
      </c>
      <c r="M232" s="246">
        <v>63.27</v>
      </c>
      <c r="N232" s="246">
        <v>199.61</v>
      </c>
      <c r="O232" s="246">
        <v>47.64</v>
      </c>
      <c r="P232" s="246">
        <v>1.4450000000000001</v>
      </c>
    </row>
    <row r="233" spans="1:16" s="247" customFormat="1" x14ac:dyDescent="0.3">
      <c r="A233" s="249">
        <v>125</v>
      </c>
      <c r="B233" s="244" t="s">
        <v>297</v>
      </c>
      <c r="C233" s="245">
        <v>150</v>
      </c>
      <c r="D233" s="246">
        <f t="shared" si="68"/>
        <v>2.0010833333333333</v>
      </c>
      <c r="E233" s="246">
        <v>2.972</v>
      </c>
      <c r="F233" s="246">
        <v>3.488</v>
      </c>
      <c r="G233" s="246">
        <v>24.013000000000002</v>
      </c>
      <c r="H233" s="246">
        <v>139.626</v>
      </c>
      <c r="I233" s="246">
        <v>0.17699999999999999</v>
      </c>
      <c r="J233" s="246">
        <v>29.4</v>
      </c>
      <c r="K233" s="246">
        <v>16</v>
      </c>
      <c r="L233" s="246">
        <v>0.187</v>
      </c>
      <c r="M233" s="246">
        <v>23.02</v>
      </c>
      <c r="N233" s="246">
        <v>87.96</v>
      </c>
      <c r="O233" s="246">
        <v>34.25</v>
      </c>
      <c r="P233" s="246">
        <v>1.389</v>
      </c>
    </row>
    <row r="234" spans="1:16" s="247" customFormat="1" ht="27.6" x14ac:dyDescent="0.3">
      <c r="A234" s="249">
        <v>349</v>
      </c>
      <c r="B234" s="244" t="s">
        <v>364</v>
      </c>
      <c r="C234" s="245">
        <v>200</v>
      </c>
      <c r="D234" s="246">
        <f t="shared" si="68"/>
        <v>0.84541666666666659</v>
      </c>
      <c r="E234" s="246">
        <v>0.78</v>
      </c>
      <c r="F234" s="246">
        <v>0.06</v>
      </c>
      <c r="G234" s="246">
        <v>10.145</v>
      </c>
      <c r="H234" s="246">
        <v>45.4</v>
      </c>
      <c r="I234" s="246">
        <v>0.02</v>
      </c>
      <c r="J234" s="246">
        <v>0.8</v>
      </c>
      <c r="K234" s="246"/>
      <c r="L234" s="246">
        <v>1.1000000000000001</v>
      </c>
      <c r="M234" s="246">
        <v>32</v>
      </c>
      <c r="N234" s="246">
        <v>29.2</v>
      </c>
      <c r="O234" s="246">
        <v>21</v>
      </c>
      <c r="P234" s="246">
        <v>0.64</v>
      </c>
    </row>
    <row r="235" spans="1:16" s="247" customFormat="1" x14ac:dyDescent="0.3">
      <c r="A235" s="252"/>
      <c r="B235" s="244" t="s">
        <v>19</v>
      </c>
      <c r="C235" s="245">
        <v>50</v>
      </c>
      <c r="D235" s="246">
        <f t="shared" si="68"/>
        <v>1.425</v>
      </c>
      <c r="E235" s="246">
        <v>3.3</v>
      </c>
      <c r="F235" s="246">
        <v>0.6</v>
      </c>
      <c r="G235" s="246">
        <v>17.100000000000001</v>
      </c>
      <c r="H235" s="246">
        <v>87</v>
      </c>
      <c r="I235" s="246">
        <v>0.1</v>
      </c>
      <c r="J235" s="246"/>
      <c r="K235" s="246">
        <v>3</v>
      </c>
      <c r="L235" s="246">
        <v>1.1000000000000001</v>
      </c>
      <c r="M235" s="246">
        <v>17.5</v>
      </c>
      <c r="N235" s="246">
        <v>79</v>
      </c>
      <c r="O235" s="246">
        <v>23.5</v>
      </c>
      <c r="P235" s="246">
        <v>1.95</v>
      </c>
    </row>
    <row r="236" spans="1:16" s="247" customFormat="1" hidden="1" x14ac:dyDescent="0.3">
      <c r="A236" s="252"/>
      <c r="B236" s="244"/>
      <c r="C236" s="245"/>
      <c r="D236" s="246"/>
      <c r="E236" s="246"/>
      <c r="F236" s="246"/>
      <c r="G236" s="246"/>
      <c r="H236" s="246"/>
      <c r="I236" s="246"/>
      <c r="J236" s="246"/>
      <c r="K236" s="246"/>
      <c r="L236" s="246"/>
      <c r="M236" s="246"/>
      <c r="N236" s="246"/>
      <c r="O236" s="246"/>
      <c r="P236" s="246"/>
    </row>
    <row r="237" spans="1:16" s="247" customFormat="1" x14ac:dyDescent="0.3">
      <c r="A237" s="291" t="s">
        <v>20</v>
      </c>
      <c r="B237" s="291"/>
      <c r="C237" s="250">
        <f>SUM(C230:C236)</f>
        <v>800</v>
      </c>
      <c r="D237" s="246">
        <f t="shared" si="68"/>
        <v>7.0409999999999995</v>
      </c>
      <c r="E237" s="251">
        <f>SUM(E230:E236)</f>
        <v>25.474000000000004</v>
      </c>
      <c r="F237" s="251">
        <f t="shared" ref="F237:P237" si="69">SUM(F230:F236)</f>
        <v>16.175999999999998</v>
      </c>
      <c r="G237" s="251">
        <f t="shared" si="69"/>
        <v>84.49199999999999</v>
      </c>
      <c r="H237" s="251">
        <f t="shared" si="69"/>
        <v>587.64599999999996</v>
      </c>
      <c r="I237" s="251">
        <f t="shared" si="69"/>
        <v>0.67099999999999993</v>
      </c>
      <c r="J237" s="251">
        <f t="shared" si="69"/>
        <v>46.532999999999994</v>
      </c>
      <c r="K237" s="251">
        <f t="shared" si="69"/>
        <v>228.16</v>
      </c>
      <c r="L237" s="251">
        <f t="shared" si="69"/>
        <v>7.798</v>
      </c>
      <c r="M237" s="251">
        <f t="shared" si="69"/>
        <v>183.57000000000002</v>
      </c>
      <c r="N237" s="251">
        <f t="shared" si="69"/>
        <v>521.28</v>
      </c>
      <c r="O237" s="251">
        <f t="shared" si="69"/>
        <v>173.34</v>
      </c>
      <c r="P237" s="251">
        <f t="shared" si="69"/>
        <v>7.7220000000000004</v>
      </c>
    </row>
    <row r="238" spans="1:16" s="247" customFormat="1" x14ac:dyDescent="0.3">
      <c r="A238" s="290" t="s">
        <v>43</v>
      </c>
      <c r="B238" s="290"/>
      <c r="C238" s="290"/>
      <c r="D238" s="290"/>
      <c r="E238" s="290"/>
      <c r="F238" s="290"/>
      <c r="G238" s="290"/>
      <c r="H238" s="290"/>
      <c r="I238" s="290"/>
      <c r="J238" s="290"/>
      <c r="K238" s="290"/>
      <c r="L238" s="290"/>
      <c r="M238" s="290"/>
      <c r="N238" s="290"/>
      <c r="O238" s="290"/>
      <c r="P238" s="290"/>
    </row>
    <row r="239" spans="1:16" s="247" customFormat="1" ht="27.6" x14ac:dyDescent="0.3">
      <c r="A239" s="252"/>
      <c r="B239" s="244" t="s">
        <v>332</v>
      </c>
      <c r="C239" s="245">
        <v>20</v>
      </c>
      <c r="D239" s="246">
        <f>G239/12</f>
        <v>0.64524999999999999</v>
      </c>
      <c r="E239" s="246">
        <v>1.6459999999999999</v>
      </c>
      <c r="F239" s="246">
        <v>4.4420000000000002</v>
      </c>
      <c r="G239" s="246">
        <v>7.7430000000000003</v>
      </c>
      <c r="H239" s="246">
        <v>78.463999999999999</v>
      </c>
      <c r="I239" s="246">
        <v>3.5999999999999997E-2</v>
      </c>
      <c r="J239" s="246">
        <v>0.86599999999999999</v>
      </c>
      <c r="K239" s="246">
        <v>37.311999999999998</v>
      </c>
      <c r="L239" s="246">
        <v>2.1230000000000002</v>
      </c>
      <c r="M239" s="246">
        <v>24.288</v>
      </c>
      <c r="N239" s="246">
        <v>40.863999999999997</v>
      </c>
      <c r="O239" s="246">
        <v>27.504000000000001</v>
      </c>
      <c r="P239" s="246">
        <v>0.56200000000000006</v>
      </c>
    </row>
    <row r="240" spans="1:16" s="247" customFormat="1" x14ac:dyDescent="0.3">
      <c r="A240" s="245">
        <v>386</v>
      </c>
      <c r="B240" s="244" t="s">
        <v>71</v>
      </c>
      <c r="C240" s="245">
        <v>90</v>
      </c>
      <c r="D240" s="246">
        <f t="shared" ref="D240:D242" si="70">G240/12</f>
        <v>0.44249999999999995</v>
      </c>
      <c r="E240" s="246">
        <v>3.69</v>
      </c>
      <c r="F240" s="246">
        <v>1.35</v>
      </c>
      <c r="G240" s="246">
        <v>5.31</v>
      </c>
      <c r="H240" s="246">
        <v>51.3</v>
      </c>
      <c r="I240" s="246"/>
      <c r="J240" s="246">
        <v>0.54</v>
      </c>
      <c r="K240" s="246">
        <v>9</v>
      </c>
      <c r="L240" s="246"/>
      <c r="M240" s="246">
        <v>111.6</v>
      </c>
      <c r="N240" s="246">
        <v>85.5</v>
      </c>
      <c r="O240" s="246">
        <v>13.5</v>
      </c>
      <c r="P240" s="246">
        <v>0.09</v>
      </c>
    </row>
    <row r="241" spans="1:16" s="247" customFormat="1" x14ac:dyDescent="0.3">
      <c r="A241" s="245">
        <v>0</v>
      </c>
      <c r="B241" s="244" t="s">
        <v>66</v>
      </c>
      <c r="C241" s="245">
        <v>150</v>
      </c>
      <c r="D241" s="246">
        <f t="shared" si="70"/>
        <v>0.9375</v>
      </c>
      <c r="E241" s="246">
        <v>1.2</v>
      </c>
      <c r="F241" s="246">
        <v>0.3</v>
      </c>
      <c r="G241" s="246">
        <v>11.25</v>
      </c>
      <c r="H241" s="246">
        <v>57</v>
      </c>
      <c r="I241" s="246">
        <v>0.09</v>
      </c>
      <c r="J241" s="246">
        <v>57</v>
      </c>
      <c r="K241" s="246"/>
      <c r="L241" s="246">
        <v>0.3</v>
      </c>
      <c r="M241" s="246">
        <v>52.5</v>
      </c>
      <c r="N241" s="246">
        <v>25.5</v>
      </c>
      <c r="O241" s="246">
        <v>16.5</v>
      </c>
      <c r="P241" s="246">
        <v>0.15</v>
      </c>
    </row>
    <row r="242" spans="1:16" s="247" customFormat="1" x14ac:dyDescent="0.3">
      <c r="A242" s="291" t="s">
        <v>44</v>
      </c>
      <c r="B242" s="291"/>
      <c r="C242" s="250">
        <f>SUM(C239:C241)</f>
        <v>260</v>
      </c>
      <c r="D242" s="246">
        <f t="shared" si="70"/>
        <v>2.0252500000000002</v>
      </c>
      <c r="E242" s="251">
        <f>SUM(E239:E241)</f>
        <v>6.5360000000000005</v>
      </c>
      <c r="F242" s="251">
        <f t="shared" ref="F242:P242" si="71">SUM(F239:F241)</f>
        <v>6.0919999999999996</v>
      </c>
      <c r="G242" s="251">
        <f t="shared" si="71"/>
        <v>24.303000000000001</v>
      </c>
      <c r="H242" s="251">
        <f t="shared" si="71"/>
        <v>186.76400000000001</v>
      </c>
      <c r="I242" s="251">
        <f t="shared" si="71"/>
        <v>0.126</v>
      </c>
      <c r="J242" s="251">
        <f t="shared" si="71"/>
        <v>58.405999999999999</v>
      </c>
      <c r="K242" s="251">
        <f t="shared" si="71"/>
        <v>46.311999999999998</v>
      </c>
      <c r="L242" s="251">
        <f t="shared" si="71"/>
        <v>2.423</v>
      </c>
      <c r="M242" s="251">
        <f t="shared" si="71"/>
        <v>188.38800000000001</v>
      </c>
      <c r="N242" s="251">
        <f t="shared" si="71"/>
        <v>151.864</v>
      </c>
      <c r="O242" s="251">
        <f t="shared" si="71"/>
        <v>57.504000000000005</v>
      </c>
      <c r="P242" s="251">
        <f t="shared" si="71"/>
        <v>0.80200000000000005</v>
      </c>
    </row>
    <row r="243" spans="1:16" s="247" customFormat="1" x14ac:dyDescent="0.3">
      <c r="A243" s="292" t="s">
        <v>258</v>
      </c>
      <c r="B243" s="292"/>
      <c r="C243" s="254">
        <f>C242+C237+C228+C223</f>
        <v>1905</v>
      </c>
      <c r="D243" s="255">
        <f t="shared" ref="D243:P243" si="72">D242+D237+D228+D223</f>
        <v>15.50625</v>
      </c>
      <c r="E243" s="255">
        <f t="shared" si="72"/>
        <v>57.257000000000005</v>
      </c>
      <c r="F243" s="255">
        <f t="shared" si="72"/>
        <v>46.452999999999996</v>
      </c>
      <c r="G243" s="255">
        <f t="shared" si="72"/>
        <v>186.07499999999999</v>
      </c>
      <c r="H243" s="255">
        <f t="shared" si="72"/>
        <v>1413.1219999999998</v>
      </c>
      <c r="I243" s="255">
        <f t="shared" si="72"/>
        <v>1.258</v>
      </c>
      <c r="J243" s="255">
        <f t="shared" si="72"/>
        <v>198.911</v>
      </c>
      <c r="K243" s="255">
        <f t="shared" si="72"/>
        <v>639.66399999999999</v>
      </c>
      <c r="L243" s="255">
        <f t="shared" si="72"/>
        <v>18.003999999999998</v>
      </c>
      <c r="M243" s="255">
        <f t="shared" si="72"/>
        <v>655.45500000000004</v>
      </c>
      <c r="N243" s="255">
        <f t="shared" si="72"/>
        <v>1139.8810000000001</v>
      </c>
      <c r="O243" s="255">
        <f t="shared" si="72"/>
        <v>418.303</v>
      </c>
      <c r="P243" s="255">
        <f t="shared" si="72"/>
        <v>16.428000000000001</v>
      </c>
    </row>
    <row r="244" spans="1:16" s="247" customFormat="1" x14ac:dyDescent="0.3">
      <c r="A244" s="293" t="s">
        <v>23</v>
      </c>
      <c r="B244" s="293"/>
      <c r="C244" s="293"/>
      <c r="D244" s="293"/>
      <c r="E244" s="293"/>
      <c r="F244" s="293"/>
      <c r="G244" s="293"/>
      <c r="H244" s="293"/>
      <c r="I244" s="287"/>
      <c r="J244" s="287"/>
      <c r="K244" s="287"/>
      <c r="L244" s="287"/>
      <c r="M244" s="287"/>
      <c r="N244" s="287"/>
      <c r="O244" s="287"/>
      <c r="P244" s="287"/>
    </row>
    <row r="245" spans="1:16" s="247" customFormat="1" x14ac:dyDescent="0.3">
      <c r="A245" s="300" t="s">
        <v>33</v>
      </c>
      <c r="B245" s="300" t="s">
        <v>32</v>
      </c>
      <c r="C245" s="300" t="s">
        <v>0</v>
      </c>
      <c r="D245" s="299"/>
      <c r="E245" s="299" t="s">
        <v>1</v>
      </c>
      <c r="F245" s="299"/>
      <c r="G245" s="299"/>
      <c r="H245" s="299" t="s">
        <v>31</v>
      </c>
      <c r="I245" s="299" t="s">
        <v>9</v>
      </c>
      <c r="J245" s="299"/>
      <c r="K245" s="299"/>
      <c r="L245" s="299"/>
      <c r="M245" s="299" t="s">
        <v>10</v>
      </c>
      <c r="N245" s="299"/>
      <c r="O245" s="299"/>
      <c r="P245" s="299"/>
    </row>
    <row r="246" spans="1:16" s="247" customFormat="1" x14ac:dyDescent="0.3">
      <c r="A246" s="300"/>
      <c r="B246" s="300"/>
      <c r="C246" s="300"/>
      <c r="D246" s="299"/>
      <c r="E246" s="256" t="s">
        <v>2</v>
      </c>
      <c r="F246" s="256" t="s">
        <v>3</v>
      </c>
      <c r="G246" s="256" t="s">
        <v>4</v>
      </c>
      <c r="H246" s="299"/>
      <c r="I246" s="256" t="s">
        <v>11</v>
      </c>
      <c r="J246" s="256" t="s">
        <v>12</v>
      </c>
      <c r="K246" s="256" t="s">
        <v>13</v>
      </c>
      <c r="L246" s="256" t="s">
        <v>14</v>
      </c>
      <c r="M246" s="256" t="s">
        <v>15</v>
      </c>
      <c r="N246" s="256" t="s">
        <v>16</v>
      </c>
      <c r="O246" s="256" t="s">
        <v>17</v>
      </c>
      <c r="P246" s="256" t="s">
        <v>18</v>
      </c>
    </row>
    <row r="247" spans="1:16" s="247" customFormat="1" x14ac:dyDescent="0.3">
      <c r="A247" s="290" t="s">
        <v>21</v>
      </c>
      <c r="B247" s="290"/>
      <c r="C247" s="290"/>
      <c r="D247" s="290"/>
      <c r="E247" s="290"/>
      <c r="F247" s="290"/>
      <c r="G247" s="290"/>
      <c r="H247" s="290"/>
      <c r="I247" s="290"/>
      <c r="J247" s="290"/>
      <c r="K247" s="290"/>
      <c r="L247" s="290"/>
      <c r="M247" s="290"/>
      <c r="N247" s="290"/>
      <c r="O247" s="290"/>
      <c r="P247" s="290"/>
    </row>
    <row r="248" spans="1:16" s="247" customFormat="1" ht="27.6" x14ac:dyDescent="0.3">
      <c r="A248" s="264">
        <v>241</v>
      </c>
      <c r="B248" s="244" t="s">
        <v>368</v>
      </c>
      <c r="C248" s="245">
        <v>160</v>
      </c>
      <c r="D248" s="246">
        <f>G248/12</f>
        <v>1.3191666666666666</v>
      </c>
      <c r="E248" s="246">
        <v>31.22</v>
      </c>
      <c r="F248" s="246">
        <v>10.385</v>
      </c>
      <c r="G248" s="246">
        <v>15.83</v>
      </c>
      <c r="H248" s="246">
        <v>287.608</v>
      </c>
      <c r="I248" s="246">
        <v>7.0999999999999994E-2</v>
      </c>
      <c r="J248" s="246">
        <v>0.69</v>
      </c>
      <c r="K248" s="246">
        <v>72.64</v>
      </c>
      <c r="L248" s="246">
        <v>0.30499999999999999</v>
      </c>
      <c r="M248" s="246">
        <v>228.5</v>
      </c>
      <c r="N248" s="246">
        <v>315.94</v>
      </c>
      <c r="O248" s="246">
        <v>34.28</v>
      </c>
      <c r="P248" s="246">
        <v>0.88100000000000001</v>
      </c>
    </row>
    <row r="249" spans="1:16" s="247" customFormat="1" x14ac:dyDescent="0.3">
      <c r="A249" s="253">
        <v>326</v>
      </c>
      <c r="B249" s="244" t="s">
        <v>240</v>
      </c>
      <c r="C249" s="245">
        <v>15</v>
      </c>
      <c r="D249" s="246">
        <f t="shared" ref="D249:D253" si="73">G249/12</f>
        <v>8.5000000000000006E-2</v>
      </c>
      <c r="E249" s="246">
        <v>0.104</v>
      </c>
      <c r="F249" s="246">
        <v>6.0000000000000001E-3</v>
      </c>
      <c r="G249" s="246">
        <v>1.02</v>
      </c>
      <c r="H249" s="246">
        <v>4.6399999999999997</v>
      </c>
      <c r="I249" s="246">
        <v>2E-3</v>
      </c>
      <c r="J249" s="246">
        <v>0.08</v>
      </c>
      <c r="K249" s="246">
        <v>11.66</v>
      </c>
      <c r="L249" s="246">
        <v>0.11</v>
      </c>
      <c r="M249" s="246">
        <v>3.2</v>
      </c>
      <c r="N249" s="246">
        <v>2.92</v>
      </c>
      <c r="O249" s="246">
        <v>2.1</v>
      </c>
      <c r="P249" s="246">
        <v>6.4000000000000001E-2</v>
      </c>
    </row>
    <row r="250" spans="1:16" s="247" customFormat="1" x14ac:dyDescent="0.3">
      <c r="A250" s="249">
        <v>382</v>
      </c>
      <c r="B250" s="244" t="s">
        <v>60</v>
      </c>
      <c r="C250" s="245">
        <v>200</v>
      </c>
      <c r="D250" s="246">
        <f t="shared" si="73"/>
        <v>0.43441666666666667</v>
      </c>
      <c r="E250" s="246">
        <v>3.88</v>
      </c>
      <c r="F250" s="246">
        <v>3.1</v>
      </c>
      <c r="G250" s="246">
        <v>5.2130000000000001</v>
      </c>
      <c r="H250" s="246">
        <v>65.56</v>
      </c>
      <c r="I250" s="246">
        <v>2.4E-2</v>
      </c>
      <c r="J250" s="246">
        <v>0.6</v>
      </c>
      <c r="K250" s="246">
        <v>10.119999999999999</v>
      </c>
      <c r="L250" s="246">
        <v>1.2E-2</v>
      </c>
      <c r="M250" s="246">
        <v>125.12</v>
      </c>
      <c r="N250" s="246">
        <v>116.2</v>
      </c>
      <c r="O250" s="246">
        <v>31</v>
      </c>
      <c r="P250" s="246">
        <v>0.98</v>
      </c>
    </row>
    <row r="251" spans="1:16" s="247" customFormat="1" x14ac:dyDescent="0.3">
      <c r="A251" s="252"/>
      <c r="B251" s="244" t="s">
        <v>19</v>
      </c>
      <c r="C251" s="245">
        <v>50</v>
      </c>
      <c r="D251" s="246">
        <f t="shared" si="73"/>
        <v>1.425</v>
      </c>
      <c r="E251" s="246">
        <v>3.3</v>
      </c>
      <c r="F251" s="246">
        <v>0.6</v>
      </c>
      <c r="G251" s="246">
        <v>17.100000000000001</v>
      </c>
      <c r="H251" s="246">
        <v>86.999999999999986</v>
      </c>
      <c r="I251" s="246">
        <v>0.1</v>
      </c>
      <c r="J251" s="246">
        <v>0</v>
      </c>
      <c r="K251" s="246">
        <v>3</v>
      </c>
      <c r="L251" s="246">
        <v>1.1000000000000001</v>
      </c>
      <c r="M251" s="246">
        <v>17.5</v>
      </c>
      <c r="N251" s="246">
        <v>79</v>
      </c>
      <c r="O251" s="246">
        <v>23.5</v>
      </c>
      <c r="P251" s="246">
        <v>1.95</v>
      </c>
    </row>
    <row r="252" spans="1:16" s="247" customFormat="1" x14ac:dyDescent="0.3">
      <c r="A252" s="252"/>
      <c r="B252" s="244" t="s">
        <v>337</v>
      </c>
      <c r="C252" s="245">
        <v>180</v>
      </c>
      <c r="D252" s="246">
        <f t="shared" si="73"/>
        <v>0.6</v>
      </c>
      <c r="E252" s="246">
        <v>5.22</v>
      </c>
      <c r="F252" s="246">
        <v>4.5</v>
      </c>
      <c r="G252" s="246">
        <v>7.2</v>
      </c>
      <c r="H252" s="246">
        <v>95.4</v>
      </c>
      <c r="I252" s="246">
        <v>7.2000000000000008E-2</v>
      </c>
      <c r="J252" s="246">
        <v>1.2599999999999998</v>
      </c>
      <c r="K252" s="246">
        <v>36</v>
      </c>
      <c r="L252" s="246">
        <v>0</v>
      </c>
      <c r="M252" s="246">
        <v>216</v>
      </c>
      <c r="N252" s="246">
        <v>162</v>
      </c>
      <c r="O252" s="246">
        <v>25.2</v>
      </c>
      <c r="P252" s="246">
        <v>0.18</v>
      </c>
    </row>
    <row r="253" spans="1:16" s="247" customFormat="1" x14ac:dyDescent="0.3">
      <c r="A253" s="291" t="s">
        <v>248</v>
      </c>
      <c r="B253" s="291"/>
      <c r="C253" s="250">
        <f>SUM(C248:C252)</f>
        <v>605</v>
      </c>
      <c r="D253" s="246">
        <f t="shared" si="73"/>
        <v>3.863583333333334</v>
      </c>
      <c r="E253" s="251">
        <f t="shared" ref="E253:P253" si="74">SUM(E248:E252)</f>
        <v>43.723999999999997</v>
      </c>
      <c r="F253" s="251">
        <f t="shared" si="74"/>
        <v>18.591000000000001</v>
      </c>
      <c r="G253" s="251">
        <f t="shared" si="74"/>
        <v>46.363000000000007</v>
      </c>
      <c r="H253" s="251">
        <f t="shared" si="74"/>
        <v>540.20799999999997</v>
      </c>
      <c r="I253" s="251">
        <f t="shared" si="74"/>
        <v>0.26900000000000002</v>
      </c>
      <c r="J253" s="251">
        <f t="shared" si="74"/>
        <v>2.63</v>
      </c>
      <c r="K253" s="251">
        <f t="shared" si="74"/>
        <v>133.42000000000002</v>
      </c>
      <c r="L253" s="251">
        <f t="shared" si="74"/>
        <v>1.5270000000000001</v>
      </c>
      <c r="M253" s="251">
        <f t="shared" si="74"/>
        <v>590.31999999999994</v>
      </c>
      <c r="N253" s="251">
        <f t="shared" si="74"/>
        <v>676.06</v>
      </c>
      <c r="O253" s="251">
        <f t="shared" si="74"/>
        <v>116.08</v>
      </c>
      <c r="P253" s="251">
        <f t="shared" si="74"/>
        <v>4.0549999999999997</v>
      </c>
    </row>
    <row r="254" spans="1:16" s="247" customFormat="1" x14ac:dyDescent="0.3">
      <c r="A254" s="290" t="s">
        <v>249</v>
      </c>
      <c r="B254" s="290"/>
      <c r="C254" s="290"/>
      <c r="D254" s="290"/>
      <c r="E254" s="290"/>
      <c r="F254" s="290"/>
      <c r="G254" s="290"/>
      <c r="H254" s="290"/>
      <c r="I254" s="290"/>
      <c r="J254" s="290"/>
      <c r="K254" s="290"/>
      <c r="L254" s="290"/>
      <c r="M254" s="290"/>
      <c r="N254" s="290"/>
      <c r="O254" s="290"/>
      <c r="P254" s="290"/>
    </row>
    <row r="255" spans="1:16" s="247" customFormat="1" ht="27.6" x14ac:dyDescent="0.3">
      <c r="A255" s="252"/>
      <c r="B255" s="244" t="s">
        <v>332</v>
      </c>
      <c r="C255" s="245">
        <v>20</v>
      </c>
      <c r="D255" s="246">
        <f>G255/12</f>
        <v>0.64524999999999999</v>
      </c>
      <c r="E255" s="246">
        <v>1.6459999999999999</v>
      </c>
      <c r="F255" s="246">
        <v>4.4420000000000002</v>
      </c>
      <c r="G255" s="246">
        <v>7.7430000000000003</v>
      </c>
      <c r="H255" s="246">
        <v>78.463999999999999</v>
      </c>
      <c r="I255" s="246">
        <v>3.5999999999999997E-2</v>
      </c>
      <c r="J255" s="246">
        <v>0.86599999999999999</v>
      </c>
      <c r="K255" s="246">
        <v>37.311999999999998</v>
      </c>
      <c r="L255" s="246">
        <v>2.1230000000000002</v>
      </c>
      <c r="M255" s="246">
        <v>24.288</v>
      </c>
      <c r="N255" s="246">
        <v>40.863999999999997</v>
      </c>
      <c r="O255" s="246">
        <v>27.504000000000001</v>
      </c>
      <c r="P255" s="246">
        <v>0.56200000000000006</v>
      </c>
    </row>
    <row r="256" spans="1:16" s="247" customFormat="1" x14ac:dyDescent="0.3">
      <c r="A256" s="245">
        <v>386</v>
      </c>
      <c r="B256" s="244" t="s">
        <v>71</v>
      </c>
      <c r="C256" s="245">
        <v>90</v>
      </c>
      <c r="D256" s="246">
        <f t="shared" ref="D256:D258" si="75">G256/12</f>
        <v>0.44249999999999995</v>
      </c>
      <c r="E256" s="246">
        <v>3.69</v>
      </c>
      <c r="F256" s="246">
        <v>1.35</v>
      </c>
      <c r="G256" s="246">
        <v>5.31</v>
      </c>
      <c r="H256" s="246">
        <v>51.3</v>
      </c>
      <c r="I256" s="246"/>
      <c r="J256" s="246">
        <v>0.54</v>
      </c>
      <c r="K256" s="246">
        <v>9</v>
      </c>
      <c r="L256" s="246"/>
      <c r="M256" s="246">
        <v>111.6</v>
      </c>
      <c r="N256" s="246">
        <v>85.5</v>
      </c>
      <c r="O256" s="246">
        <v>13.5</v>
      </c>
      <c r="P256" s="246">
        <v>0.09</v>
      </c>
    </row>
    <row r="257" spans="1:16" s="247" customFormat="1" x14ac:dyDescent="0.3">
      <c r="A257" s="245">
        <v>0</v>
      </c>
      <c r="B257" s="244" t="s">
        <v>53</v>
      </c>
      <c r="C257" s="245">
        <v>150</v>
      </c>
      <c r="D257" s="246">
        <f t="shared" si="75"/>
        <v>1.2249999999999999</v>
      </c>
      <c r="E257" s="246">
        <v>0.6</v>
      </c>
      <c r="F257" s="246">
        <v>0.6</v>
      </c>
      <c r="G257" s="246">
        <v>14.7</v>
      </c>
      <c r="H257" s="246">
        <v>70.5</v>
      </c>
      <c r="I257" s="246">
        <v>4.4999999999999998E-2</v>
      </c>
      <c r="J257" s="246">
        <v>15</v>
      </c>
      <c r="K257" s="246">
        <v>7.5</v>
      </c>
      <c r="L257" s="246">
        <v>0.3</v>
      </c>
      <c r="M257" s="246">
        <v>24</v>
      </c>
      <c r="N257" s="246">
        <v>16.5</v>
      </c>
      <c r="O257" s="246">
        <v>13.5</v>
      </c>
      <c r="P257" s="246">
        <v>3.3</v>
      </c>
    </row>
    <row r="258" spans="1:16" s="247" customFormat="1" x14ac:dyDescent="0.3">
      <c r="A258" s="291" t="s">
        <v>250</v>
      </c>
      <c r="B258" s="291"/>
      <c r="C258" s="250">
        <f>SUM(C255:C257)</f>
        <v>260</v>
      </c>
      <c r="D258" s="246">
        <f t="shared" si="75"/>
        <v>2.3127499999999999</v>
      </c>
      <c r="E258" s="251">
        <f>SUM(E255:E257)</f>
        <v>5.9359999999999999</v>
      </c>
      <c r="F258" s="251">
        <f t="shared" ref="F258:P258" si="76">SUM(F255:F257)</f>
        <v>6.3919999999999995</v>
      </c>
      <c r="G258" s="251">
        <f t="shared" si="76"/>
        <v>27.753</v>
      </c>
      <c r="H258" s="251">
        <f t="shared" si="76"/>
        <v>200.26400000000001</v>
      </c>
      <c r="I258" s="251">
        <f t="shared" si="76"/>
        <v>8.0999999999999989E-2</v>
      </c>
      <c r="J258" s="251">
        <f t="shared" si="76"/>
        <v>16.405999999999999</v>
      </c>
      <c r="K258" s="251">
        <f t="shared" si="76"/>
        <v>53.811999999999998</v>
      </c>
      <c r="L258" s="251">
        <f t="shared" si="76"/>
        <v>2.423</v>
      </c>
      <c r="M258" s="251">
        <f t="shared" si="76"/>
        <v>159.88800000000001</v>
      </c>
      <c r="N258" s="251">
        <f t="shared" si="76"/>
        <v>142.864</v>
      </c>
      <c r="O258" s="251">
        <f t="shared" si="76"/>
        <v>54.504000000000005</v>
      </c>
      <c r="P258" s="251">
        <f t="shared" si="76"/>
        <v>3.952</v>
      </c>
    </row>
    <row r="259" spans="1:16" s="247" customFormat="1" x14ac:dyDescent="0.3">
      <c r="A259" s="290" t="s">
        <v>8</v>
      </c>
      <c r="B259" s="290"/>
      <c r="C259" s="290"/>
      <c r="D259" s="290"/>
      <c r="E259" s="290"/>
      <c r="F259" s="290"/>
      <c r="G259" s="290"/>
      <c r="H259" s="290"/>
      <c r="I259" s="290"/>
      <c r="J259" s="290"/>
      <c r="K259" s="290"/>
      <c r="L259" s="290"/>
      <c r="M259" s="290"/>
      <c r="N259" s="290"/>
      <c r="O259" s="290"/>
      <c r="P259" s="290"/>
    </row>
    <row r="260" spans="1:16" s="247" customFormat="1" x14ac:dyDescent="0.3">
      <c r="A260" s="249">
        <v>99</v>
      </c>
      <c r="B260" s="244" t="s">
        <v>168</v>
      </c>
      <c r="C260" s="245">
        <v>250</v>
      </c>
      <c r="D260" s="246">
        <f>G260/12</f>
        <v>0.92666666666666664</v>
      </c>
      <c r="E260" s="246">
        <v>1.8779999999999999</v>
      </c>
      <c r="F260" s="246">
        <v>3.2629999999999999</v>
      </c>
      <c r="G260" s="246">
        <v>11.12</v>
      </c>
      <c r="H260" s="246">
        <v>81.873000000000005</v>
      </c>
      <c r="I260" s="246">
        <v>8.5999999999999993E-2</v>
      </c>
      <c r="J260" s="246">
        <v>21.3</v>
      </c>
      <c r="K260" s="246">
        <v>204</v>
      </c>
      <c r="L260" s="246">
        <v>1.466</v>
      </c>
      <c r="M260" s="246">
        <v>25.68</v>
      </c>
      <c r="N260" s="246">
        <v>52.27</v>
      </c>
      <c r="O260" s="246">
        <v>21.8</v>
      </c>
      <c r="P260" s="246">
        <v>0.80500000000000005</v>
      </c>
    </row>
    <row r="261" spans="1:16" s="247" customFormat="1" ht="27.6" x14ac:dyDescent="0.3">
      <c r="A261" s="248">
        <v>267</v>
      </c>
      <c r="B261" s="244" t="s">
        <v>369</v>
      </c>
      <c r="C261" s="245">
        <v>90</v>
      </c>
      <c r="D261" s="246">
        <f t="shared" ref="D261:D266" si="77">G261/12</f>
        <v>0.79691666666666672</v>
      </c>
      <c r="E261" s="246">
        <v>18.050999999999998</v>
      </c>
      <c r="F261" s="246">
        <v>31.844000000000001</v>
      </c>
      <c r="G261" s="246">
        <v>9.5630000000000006</v>
      </c>
      <c r="H261" s="246">
        <v>397.05200000000002</v>
      </c>
      <c r="I261" s="246">
        <v>8.4000000000000005E-2</v>
      </c>
      <c r="J261" s="246"/>
      <c r="K261" s="246">
        <v>36.5</v>
      </c>
      <c r="L261" s="246">
        <v>9.032</v>
      </c>
      <c r="M261" s="246">
        <v>20.858000000000001</v>
      </c>
      <c r="N261" s="246">
        <v>178.72399999999999</v>
      </c>
      <c r="O261" s="246">
        <v>24.872</v>
      </c>
      <c r="P261" s="246">
        <v>2.7730000000000001</v>
      </c>
    </row>
    <row r="262" spans="1:16" s="247" customFormat="1" ht="27.6" x14ac:dyDescent="0.3">
      <c r="A262" s="252"/>
      <c r="B262" s="244" t="s">
        <v>309</v>
      </c>
      <c r="C262" s="245">
        <v>155</v>
      </c>
      <c r="D262" s="246">
        <f t="shared" si="77"/>
        <v>2.1460833333333333</v>
      </c>
      <c r="E262" s="246">
        <v>4.165</v>
      </c>
      <c r="F262" s="246">
        <v>4.0750000000000002</v>
      </c>
      <c r="G262" s="246">
        <v>25.753</v>
      </c>
      <c r="H262" s="246">
        <v>156.345</v>
      </c>
      <c r="I262" s="246">
        <v>0.113</v>
      </c>
      <c r="J262" s="246"/>
      <c r="K262" s="246">
        <v>20</v>
      </c>
      <c r="L262" s="246">
        <v>0.68799999999999994</v>
      </c>
      <c r="M262" s="246">
        <v>17.321999999999999</v>
      </c>
      <c r="N262" s="246">
        <v>105.229</v>
      </c>
      <c r="O262" s="246">
        <v>22.567</v>
      </c>
      <c r="P262" s="246">
        <v>1.7809999999999999</v>
      </c>
    </row>
    <row r="263" spans="1:16" s="247" customFormat="1" x14ac:dyDescent="0.3">
      <c r="A263" s="265" t="s">
        <v>319</v>
      </c>
      <c r="B263" s="244" t="s">
        <v>370</v>
      </c>
      <c r="C263" s="245">
        <v>200</v>
      </c>
      <c r="D263" s="246">
        <f t="shared" si="77"/>
        <v>1.5979999999999999</v>
      </c>
      <c r="E263" s="246">
        <v>0.128</v>
      </c>
      <c r="F263" s="246">
        <v>0.12</v>
      </c>
      <c r="G263" s="246">
        <v>19.175999999999998</v>
      </c>
      <c r="H263" s="246">
        <v>79.040000000000006</v>
      </c>
      <c r="I263" s="246">
        <v>8.9999999999999993E-3</v>
      </c>
      <c r="J263" s="246">
        <v>3</v>
      </c>
      <c r="K263" s="246">
        <v>1.5</v>
      </c>
      <c r="L263" s="246">
        <v>0.06</v>
      </c>
      <c r="M263" s="246">
        <v>8</v>
      </c>
      <c r="N263" s="246">
        <v>9.4600000000000009</v>
      </c>
      <c r="O263" s="246">
        <v>2.7</v>
      </c>
      <c r="P263" s="246">
        <v>0.69</v>
      </c>
    </row>
    <row r="264" spans="1:16" s="247" customFormat="1" x14ac:dyDescent="0.3">
      <c r="A264" s="252"/>
      <c r="B264" s="244" t="s">
        <v>19</v>
      </c>
      <c r="C264" s="245">
        <v>50</v>
      </c>
      <c r="D264" s="246">
        <f t="shared" si="77"/>
        <v>1.425</v>
      </c>
      <c r="E264" s="246">
        <v>3.3</v>
      </c>
      <c r="F264" s="246">
        <v>0.6</v>
      </c>
      <c r="G264" s="246">
        <v>17.100000000000001</v>
      </c>
      <c r="H264" s="246">
        <v>87</v>
      </c>
      <c r="I264" s="246">
        <v>0.1</v>
      </c>
      <c r="J264" s="246"/>
      <c r="K264" s="246">
        <v>3</v>
      </c>
      <c r="L264" s="246">
        <v>1.1000000000000001</v>
      </c>
      <c r="M264" s="246">
        <v>17.5</v>
      </c>
      <c r="N264" s="246">
        <v>79</v>
      </c>
      <c r="O264" s="246">
        <v>23.5</v>
      </c>
      <c r="P264" s="246">
        <v>1.95</v>
      </c>
    </row>
    <row r="265" spans="1:16" s="247" customFormat="1" hidden="1" x14ac:dyDescent="0.3">
      <c r="A265" s="252"/>
      <c r="B265" s="244"/>
      <c r="C265" s="245"/>
      <c r="D265" s="246"/>
      <c r="E265" s="246"/>
      <c r="F265" s="246"/>
      <c r="G265" s="246"/>
      <c r="H265" s="246"/>
      <c r="I265" s="246"/>
      <c r="J265" s="246"/>
      <c r="K265" s="246"/>
      <c r="L265" s="246"/>
      <c r="M265" s="246"/>
      <c r="N265" s="246"/>
      <c r="O265" s="246"/>
      <c r="P265" s="246"/>
    </row>
    <row r="266" spans="1:16" s="247" customFormat="1" x14ac:dyDescent="0.3">
      <c r="A266" s="291" t="s">
        <v>20</v>
      </c>
      <c r="B266" s="291"/>
      <c r="C266" s="250">
        <f>SUM(C260:C265)</f>
        <v>745</v>
      </c>
      <c r="D266" s="246">
        <f t="shared" si="77"/>
        <v>6.8926666666666661</v>
      </c>
      <c r="E266" s="251">
        <f>SUM(E260:E265)</f>
        <v>27.521999999999998</v>
      </c>
      <c r="F266" s="251">
        <f t="shared" ref="F266:P266" si="78">SUM(F260:F265)</f>
        <v>39.902000000000001</v>
      </c>
      <c r="G266" s="251">
        <f t="shared" si="78"/>
        <v>82.711999999999989</v>
      </c>
      <c r="H266" s="251">
        <f t="shared" si="78"/>
        <v>801.31</v>
      </c>
      <c r="I266" s="251">
        <f t="shared" si="78"/>
        <v>0.39200000000000002</v>
      </c>
      <c r="J266" s="251">
        <f t="shared" si="78"/>
        <v>24.3</v>
      </c>
      <c r="K266" s="251">
        <f t="shared" si="78"/>
        <v>265</v>
      </c>
      <c r="L266" s="251">
        <f t="shared" si="78"/>
        <v>12.346</v>
      </c>
      <c r="M266" s="251">
        <f t="shared" si="78"/>
        <v>89.36</v>
      </c>
      <c r="N266" s="251">
        <f t="shared" si="78"/>
        <v>424.68299999999999</v>
      </c>
      <c r="O266" s="251">
        <f t="shared" si="78"/>
        <v>95.439000000000007</v>
      </c>
      <c r="P266" s="251">
        <f t="shared" si="78"/>
        <v>7.9989999999999997</v>
      </c>
    </row>
    <row r="267" spans="1:16" s="247" customFormat="1" x14ac:dyDescent="0.3">
      <c r="A267" s="290" t="s">
        <v>43</v>
      </c>
      <c r="B267" s="290"/>
      <c r="C267" s="290"/>
      <c r="D267" s="290"/>
      <c r="E267" s="290"/>
      <c r="F267" s="290"/>
      <c r="G267" s="290"/>
      <c r="H267" s="290"/>
      <c r="I267" s="290"/>
      <c r="J267" s="290"/>
      <c r="K267" s="290"/>
      <c r="L267" s="290"/>
      <c r="M267" s="290"/>
      <c r="N267" s="290"/>
      <c r="O267" s="290"/>
      <c r="P267" s="290"/>
    </row>
    <row r="268" spans="1:16" s="247" customFormat="1" ht="27.6" x14ac:dyDescent="0.3">
      <c r="A268" s="252"/>
      <c r="B268" s="244" t="s">
        <v>332</v>
      </c>
      <c r="C268" s="245">
        <v>20</v>
      </c>
      <c r="D268" s="246">
        <f>G268/12</f>
        <v>0.64524999999999999</v>
      </c>
      <c r="E268" s="246">
        <v>1.6459999999999999</v>
      </c>
      <c r="F268" s="246">
        <v>4.4420000000000002</v>
      </c>
      <c r="G268" s="246">
        <v>7.7430000000000003</v>
      </c>
      <c r="H268" s="246">
        <v>78.463999999999999</v>
      </c>
      <c r="I268" s="246">
        <v>3.5999999999999997E-2</v>
      </c>
      <c r="J268" s="246">
        <v>0.86599999999999999</v>
      </c>
      <c r="K268" s="246">
        <v>37.311999999999998</v>
      </c>
      <c r="L268" s="246">
        <v>2.1230000000000002</v>
      </c>
      <c r="M268" s="246">
        <v>24.288</v>
      </c>
      <c r="N268" s="246">
        <v>40.863999999999997</v>
      </c>
      <c r="O268" s="246">
        <v>27.504000000000001</v>
      </c>
      <c r="P268" s="246">
        <v>0.56200000000000006</v>
      </c>
    </row>
    <row r="269" spans="1:16" s="247" customFormat="1" x14ac:dyDescent="0.3">
      <c r="A269" s="245">
        <v>386</v>
      </c>
      <c r="B269" s="244" t="s">
        <v>71</v>
      </c>
      <c r="C269" s="245">
        <v>90</v>
      </c>
      <c r="D269" s="246">
        <f t="shared" ref="D269:D271" si="79">G269/12</f>
        <v>0.44249999999999995</v>
      </c>
      <c r="E269" s="246">
        <v>3.69</v>
      </c>
      <c r="F269" s="246">
        <v>1.35</v>
      </c>
      <c r="G269" s="246">
        <v>5.31</v>
      </c>
      <c r="H269" s="246">
        <v>51.3</v>
      </c>
      <c r="I269" s="246"/>
      <c r="J269" s="246">
        <v>0.54</v>
      </c>
      <c r="K269" s="246">
        <v>9</v>
      </c>
      <c r="L269" s="246"/>
      <c r="M269" s="246">
        <v>111.6</v>
      </c>
      <c r="N269" s="246">
        <v>85.5</v>
      </c>
      <c r="O269" s="246">
        <v>13.5</v>
      </c>
      <c r="P269" s="246">
        <v>0.09</v>
      </c>
    </row>
    <row r="270" spans="1:16" s="247" customFormat="1" x14ac:dyDescent="0.3">
      <c r="A270" s="245">
        <v>0</v>
      </c>
      <c r="B270" s="244" t="s">
        <v>53</v>
      </c>
      <c r="C270" s="245">
        <v>150</v>
      </c>
      <c r="D270" s="246">
        <f t="shared" si="79"/>
        <v>1.2249999999999999</v>
      </c>
      <c r="E270" s="246">
        <v>0.6</v>
      </c>
      <c r="F270" s="246">
        <v>0.6</v>
      </c>
      <c r="G270" s="246">
        <v>14.7</v>
      </c>
      <c r="H270" s="246">
        <v>70.5</v>
      </c>
      <c r="I270" s="246">
        <v>4.4999999999999998E-2</v>
      </c>
      <c r="J270" s="246">
        <v>15</v>
      </c>
      <c r="K270" s="246">
        <v>7.5</v>
      </c>
      <c r="L270" s="246">
        <v>0.3</v>
      </c>
      <c r="M270" s="246">
        <v>24</v>
      </c>
      <c r="N270" s="246">
        <v>16.5</v>
      </c>
      <c r="O270" s="246">
        <v>13.5</v>
      </c>
      <c r="P270" s="246">
        <v>3.3</v>
      </c>
    </row>
    <row r="271" spans="1:16" s="247" customFormat="1" x14ac:dyDescent="0.3">
      <c r="A271" s="291" t="s">
        <v>44</v>
      </c>
      <c r="B271" s="291"/>
      <c r="C271" s="250">
        <f>SUM(C268:C270)</f>
        <v>260</v>
      </c>
      <c r="D271" s="246">
        <f t="shared" si="79"/>
        <v>2.3127499999999999</v>
      </c>
      <c r="E271" s="251">
        <f>SUM(E268:E270)</f>
        <v>5.9359999999999999</v>
      </c>
      <c r="F271" s="251">
        <f t="shared" ref="F271:P271" si="80">SUM(F268:F270)</f>
        <v>6.3919999999999995</v>
      </c>
      <c r="G271" s="251">
        <f t="shared" si="80"/>
        <v>27.753</v>
      </c>
      <c r="H271" s="251">
        <f t="shared" si="80"/>
        <v>200.26400000000001</v>
      </c>
      <c r="I271" s="251">
        <f t="shared" si="80"/>
        <v>8.0999999999999989E-2</v>
      </c>
      <c r="J271" s="251">
        <f t="shared" si="80"/>
        <v>16.405999999999999</v>
      </c>
      <c r="K271" s="251">
        <f t="shared" si="80"/>
        <v>53.811999999999998</v>
      </c>
      <c r="L271" s="251">
        <f t="shared" si="80"/>
        <v>2.423</v>
      </c>
      <c r="M271" s="251">
        <f t="shared" si="80"/>
        <v>159.88800000000001</v>
      </c>
      <c r="N271" s="251">
        <f t="shared" si="80"/>
        <v>142.864</v>
      </c>
      <c r="O271" s="251">
        <f t="shared" si="80"/>
        <v>54.504000000000005</v>
      </c>
      <c r="P271" s="251">
        <f t="shared" si="80"/>
        <v>3.952</v>
      </c>
    </row>
    <row r="272" spans="1:16" s="247" customFormat="1" x14ac:dyDescent="0.3">
      <c r="A272" s="292" t="s">
        <v>259</v>
      </c>
      <c r="B272" s="292"/>
      <c r="C272" s="254">
        <f>C271+C266+C258+C253</f>
        <v>1870</v>
      </c>
      <c r="D272" s="255">
        <f t="shared" ref="D272:P272" si="81">D271+D266+D258+D253</f>
        <v>15.38175</v>
      </c>
      <c r="E272" s="255">
        <f t="shared" si="81"/>
        <v>83.117999999999995</v>
      </c>
      <c r="F272" s="255">
        <f t="shared" si="81"/>
        <v>71.276999999999987</v>
      </c>
      <c r="G272" s="255">
        <f t="shared" si="81"/>
        <v>184.58099999999999</v>
      </c>
      <c r="H272" s="255">
        <f t="shared" si="81"/>
        <v>1742.0459999999998</v>
      </c>
      <c r="I272" s="255">
        <f t="shared" si="81"/>
        <v>0.82299999999999995</v>
      </c>
      <c r="J272" s="255">
        <f t="shared" si="81"/>
        <v>59.742000000000004</v>
      </c>
      <c r="K272" s="255">
        <f t="shared" si="81"/>
        <v>506.04400000000004</v>
      </c>
      <c r="L272" s="255">
        <f t="shared" si="81"/>
        <v>18.719000000000001</v>
      </c>
      <c r="M272" s="255">
        <f t="shared" si="81"/>
        <v>999.4559999999999</v>
      </c>
      <c r="N272" s="255">
        <f t="shared" si="81"/>
        <v>1386.471</v>
      </c>
      <c r="O272" s="255">
        <f t="shared" si="81"/>
        <v>320.52699999999999</v>
      </c>
      <c r="P272" s="255">
        <f t="shared" si="81"/>
        <v>19.957999999999998</v>
      </c>
    </row>
    <row r="273" spans="1:16" s="247" customFormat="1" x14ac:dyDescent="0.3">
      <c r="A273" s="293" t="s">
        <v>22</v>
      </c>
      <c r="B273" s="293"/>
      <c r="C273" s="293"/>
      <c r="D273" s="293"/>
      <c r="E273" s="293"/>
      <c r="F273" s="293"/>
      <c r="G273" s="293"/>
      <c r="H273" s="293"/>
      <c r="I273" s="287"/>
      <c r="J273" s="287"/>
      <c r="K273" s="287"/>
      <c r="L273" s="287"/>
      <c r="M273" s="287"/>
      <c r="N273" s="287"/>
      <c r="O273" s="287"/>
      <c r="P273" s="287"/>
    </row>
    <row r="274" spans="1:16" s="247" customFormat="1" x14ac:dyDescent="0.3">
      <c r="A274" s="300" t="s">
        <v>33</v>
      </c>
      <c r="B274" s="300" t="s">
        <v>32</v>
      </c>
      <c r="C274" s="300" t="s">
        <v>0</v>
      </c>
      <c r="D274" s="299"/>
      <c r="E274" s="299" t="s">
        <v>1</v>
      </c>
      <c r="F274" s="299"/>
      <c r="G274" s="299"/>
      <c r="H274" s="299" t="s">
        <v>31</v>
      </c>
      <c r="I274" s="299" t="s">
        <v>9</v>
      </c>
      <c r="J274" s="299"/>
      <c r="K274" s="299"/>
      <c r="L274" s="299"/>
      <c r="M274" s="299" t="s">
        <v>10</v>
      </c>
      <c r="N274" s="299"/>
      <c r="O274" s="299"/>
      <c r="P274" s="299"/>
    </row>
    <row r="275" spans="1:16" s="247" customFormat="1" x14ac:dyDescent="0.3">
      <c r="A275" s="300"/>
      <c r="B275" s="300"/>
      <c r="C275" s="300"/>
      <c r="D275" s="299"/>
      <c r="E275" s="256" t="s">
        <v>2</v>
      </c>
      <c r="F275" s="256" t="s">
        <v>3</v>
      </c>
      <c r="G275" s="256" t="s">
        <v>4</v>
      </c>
      <c r="H275" s="299"/>
      <c r="I275" s="256" t="s">
        <v>11</v>
      </c>
      <c r="J275" s="256" t="s">
        <v>12</v>
      </c>
      <c r="K275" s="256" t="s">
        <v>13</v>
      </c>
      <c r="L275" s="256" t="s">
        <v>14</v>
      </c>
      <c r="M275" s="256" t="s">
        <v>15</v>
      </c>
      <c r="N275" s="256" t="s">
        <v>16</v>
      </c>
      <c r="O275" s="256" t="s">
        <v>17</v>
      </c>
      <c r="P275" s="256" t="s">
        <v>18</v>
      </c>
    </row>
    <row r="276" spans="1:16" s="247" customFormat="1" x14ac:dyDescent="0.3">
      <c r="A276" s="290" t="s">
        <v>21</v>
      </c>
      <c r="B276" s="290"/>
      <c r="C276" s="290"/>
      <c r="D276" s="290"/>
      <c r="E276" s="290"/>
      <c r="F276" s="290"/>
      <c r="G276" s="290"/>
      <c r="H276" s="290"/>
      <c r="I276" s="290"/>
      <c r="J276" s="290"/>
      <c r="K276" s="290"/>
      <c r="L276" s="290"/>
      <c r="M276" s="290"/>
      <c r="N276" s="290"/>
      <c r="O276" s="290"/>
      <c r="P276" s="290"/>
    </row>
    <row r="277" spans="1:16" s="247" customFormat="1" x14ac:dyDescent="0.3">
      <c r="A277" s="248">
        <v>71</v>
      </c>
      <c r="B277" s="244" t="s">
        <v>285</v>
      </c>
      <c r="C277" s="245">
        <v>70</v>
      </c>
      <c r="D277" s="246">
        <f>G277/12</f>
        <v>0.11083333333333334</v>
      </c>
      <c r="E277" s="246">
        <v>0.49</v>
      </c>
      <c r="F277" s="246">
        <v>7.0000000000000007E-2</v>
      </c>
      <c r="G277" s="246">
        <v>1.33</v>
      </c>
      <c r="H277" s="246">
        <v>7.7</v>
      </c>
      <c r="I277" s="246">
        <v>2.1000000000000001E-2</v>
      </c>
      <c r="J277" s="246">
        <v>4.9000000000000004</v>
      </c>
      <c r="K277" s="246"/>
      <c r="L277" s="246">
        <v>7.0000000000000007E-2</v>
      </c>
      <c r="M277" s="246">
        <v>11.9</v>
      </c>
      <c r="N277" s="246">
        <v>21</v>
      </c>
      <c r="O277" s="246">
        <v>9.8000000000000007</v>
      </c>
      <c r="P277" s="246">
        <v>0.35</v>
      </c>
    </row>
    <row r="278" spans="1:16" s="247" customFormat="1" x14ac:dyDescent="0.3">
      <c r="A278" s="249">
        <v>297</v>
      </c>
      <c r="B278" s="244" t="s">
        <v>371</v>
      </c>
      <c r="C278" s="245">
        <v>65</v>
      </c>
      <c r="D278" s="246">
        <f t="shared" ref="D278:D283" si="82">G278/12</f>
        <v>0.40250000000000002</v>
      </c>
      <c r="E278" s="246">
        <v>9.766</v>
      </c>
      <c r="F278" s="246">
        <v>8.827</v>
      </c>
      <c r="G278" s="246">
        <v>4.83</v>
      </c>
      <c r="H278" s="246">
        <v>138.09100000000001</v>
      </c>
      <c r="I278" s="246">
        <v>5.8999999999999997E-2</v>
      </c>
      <c r="J278" s="246">
        <v>0.96</v>
      </c>
      <c r="K278" s="246">
        <v>33.6</v>
      </c>
      <c r="L278" s="246">
        <v>0.71399999999999997</v>
      </c>
      <c r="M278" s="246">
        <v>9.02</v>
      </c>
      <c r="N278" s="246">
        <v>85.52</v>
      </c>
      <c r="O278" s="246">
        <v>12.42</v>
      </c>
      <c r="P278" s="246">
        <v>0.96799999999999997</v>
      </c>
    </row>
    <row r="279" spans="1:16" s="247" customFormat="1" x14ac:dyDescent="0.3">
      <c r="A279" s="248">
        <v>326</v>
      </c>
      <c r="B279" s="244" t="s">
        <v>199</v>
      </c>
      <c r="C279" s="245">
        <v>50</v>
      </c>
      <c r="D279" s="246">
        <f t="shared" si="82"/>
        <v>0.26</v>
      </c>
      <c r="E279" s="246">
        <v>1.073</v>
      </c>
      <c r="F279" s="246">
        <v>2.2799999999999998</v>
      </c>
      <c r="G279" s="246">
        <v>3.12</v>
      </c>
      <c r="H279" s="246">
        <v>37.81</v>
      </c>
      <c r="I279" s="246">
        <v>2.9000000000000001E-2</v>
      </c>
      <c r="J279" s="246">
        <v>0.15</v>
      </c>
      <c r="K279" s="246">
        <v>14.5</v>
      </c>
      <c r="L279" s="246">
        <v>7.4999999999999997E-2</v>
      </c>
      <c r="M279" s="246">
        <v>31.26</v>
      </c>
      <c r="N279" s="246">
        <v>25.98</v>
      </c>
      <c r="O279" s="246">
        <v>3.98</v>
      </c>
      <c r="P279" s="246">
        <v>6.9000000000000006E-2</v>
      </c>
    </row>
    <row r="280" spans="1:16" s="247" customFormat="1" x14ac:dyDescent="0.3">
      <c r="A280" s="249" t="s">
        <v>382</v>
      </c>
      <c r="B280" s="244" t="s">
        <v>378</v>
      </c>
      <c r="C280" s="245">
        <v>150</v>
      </c>
      <c r="D280" s="246">
        <f t="shared" si="82"/>
        <v>0.97549999999999992</v>
      </c>
      <c r="E280" s="246">
        <v>3.8929999999999998</v>
      </c>
      <c r="F280" s="246">
        <v>6.32</v>
      </c>
      <c r="G280" s="246">
        <v>11.706</v>
      </c>
      <c r="H280" s="246">
        <v>121.916</v>
      </c>
      <c r="I280" s="246">
        <v>7.0000000000000007E-2</v>
      </c>
      <c r="J280" s="246">
        <v>81.75</v>
      </c>
      <c r="K280" s="246">
        <v>60</v>
      </c>
      <c r="L280" s="246">
        <v>2.9249999999999998</v>
      </c>
      <c r="M280" s="246">
        <v>86.55</v>
      </c>
      <c r="N280" s="246">
        <v>64.38</v>
      </c>
      <c r="O280" s="246">
        <v>33.840000000000003</v>
      </c>
      <c r="P280" s="246">
        <v>1.302</v>
      </c>
    </row>
    <row r="281" spans="1:16" s="247" customFormat="1" ht="27.6" x14ac:dyDescent="0.3">
      <c r="A281" s="253">
        <v>379</v>
      </c>
      <c r="B281" s="244" t="s">
        <v>372</v>
      </c>
      <c r="C281" s="245">
        <v>200</v>
      </c>
      <c r="D281" s="246">
        <f t="shared" si="82"/>
        <v>0.44208333333333333</v>
      </c>
      <c r="E281" s="246">
        <v>3.9</v>
      </c>
      <c r="F281" s="246">
        <v>3</v>
      </c>
      <c r="G281" s="246">
        <v>5.3049999999999997</v>
      </c>
      <c r="H281" s="246">
        <v>60</v>
      </c>
      <c r="I281" s="246">
        <v>2.3E-2</v>
      </c>
      <c r="J281" s="246">
        <v>0.78400000000000003</v>
      </c>
      <c r="K281" s="246">
        <v>10</v>
      </c>
      <c r="L281" s="246"/>
      <c r="M281" s="246">
        <v>124.76600000000001</v>
      </c>
      <c r="N281" s="246">
        <v>90</v>
      </c>
      <c r="O281" s="246">
        <v>14</v>
      </c>
      <c r="P281" s="246">
        <v>0.104</v>
      </c>
    </row>
    <row r="282" spans="1:16" s="247" customFormat="1" x14ac:dyDescent="0.3">
      <c r="A282" s="245">
        <v>0</v>
      </c>
      <c r="B282" s="244" t="s">
        <v>66</v>
      </c>
      <c r="C282" s="245">
        <v>100</v>
      </c>
      <c r="D282" s="246">
        <f t="shared" si="82"/>
        <v>0.625</v>
      </c>
      <c r="E282" s="246">
        <v>0.8</v>
      </c>
      <c r="F282" s="246">
        <v>0.2</v>
      </c>
      <c r="G282" s="246">
        <v>7.5</v>
      </c>
      <c r="H282" s="246">
        <v>38</v>
      </c>
      <c r="I282" s="246">
        <v>5.9999999999999991E-2</v>
      </c>
      <c r="J282" s="246">
        <v>38</v>
      </c>
      <c r="K282" s="246">
        <v>0</v>
      </c>
      <c r="L282" s="246">
        <v>0.2</v>
      </c>
      <c r="M282" s="246">
        <v>35</v>
      </c>
      <c r="N282" s="246">
        <v>16.999999999999996</v>
      </c>
      <c r="O282" s="246">
        <v>11</v>
      </c>
      <c r="P282" s="246">
        <v>0.1</v>
      </c>
    </row>
    <row r="283" spans="1:16" s="247" customFormat="1" x14ac:dyDescent="0.3">
      <c r="A283" s="252"/>
      <c r="B283" s="244" t="s">
        <v>19</v>
      </c>
      <c r="C283" s="245">
        <v>40</v>
      </c>
      <c r="D283" s="246">
        <f t="shared" si="82"/>
        <v>1.1399999999999999</v>
      </c>
      <c r="E283" s="246">
        <v>2.64</v>
      </c>
      <c r="F283" s="246">
        <v>0.48</v>
      </c>
      <c r="G283" s="246">
        <v>13.68</v>
      </c>
      <c r="H283" s="246">
        <v>69.599999999999994</v>
      </c>
      <c r="I283" s="246">
        <v>0.08</v>
      </c>
      <c r="J283" s="246"/>
      <c r="K283" s="246">
        <v>2.4</v>
      </c>
      <c r="L283" s="246">
        <v>0.88</v>
      </c>
      <c r="M283" s="246">
        <v>14</v>
      </c>
      <c r="N283" s="246">
        <v>63.2</v>
      </c>
      <c r="O283" s="246">
        <v>18.8</v>
      </c>
      <c r="P283" s="246">
        <v>1.56</v>
      </c>
    </row>
    <row r="284" spans="1:16" s="247" customFormat="1" x14ac:dyDescent="0.3">
      <c r="A284" s="291" t="s">
        <v>248</v>
      </c>
      <c r="B284" s="291"/>
      <c r="C284" s="250">
        <f>SUM(C277:C283)</f>
        <v>675</v>
      </c>
      <c r="D284" s="246">
        <f t="shared" ref="D284" si="83">G284/12</f>
        <v>3.9559166666666665</v>
      </c>
      <c r="E284" s="251">
        <f t="shared" ref="E284:P284" si="84">SUM(E277:E283)</f>
        <v>22.562000000000001</v>
      </c>
      <c r="F284" s="251">
        <f t="shared" si="84"/>
        <v>21.177</v>
      </c>
      <c r="G284" s="251">
        <f t="shared" si="84"/>
        <v>47.470999999999997</v>
      </c>
      <c r="H284" s="251">
        <f t="shared" si="84"/>
        <v>473.11699999999996</v>
      </c>
      <c r="I284" s="251">
        <f t="shared" si="84"/>
        <v>0.34199999999999997</v>
      </c>
      <c r="J284" s="251">
        <f t="shared" si="84"/>
        <v>126.54400000000001</v>
      </c>
      <c r="K284" s="251">
        <f t="shared" si="84"/>
        <v>120.5</v>
      </c>
      <c r="L284" s="251">
        <f t="shared" si="84"/>
        <v>4.8639999999999999</v>
      </c>
      <c r="M284" s="251">
        <f t="shared" si="84"/>
        <v>312.49600000000004</v>
      </c>
      <c r="N284" s="251">
        <f t="shared" si="84"/>
        <v>367.08</v>
      </c>
      <c r="O284" s="251">
        <f t="shared" si="84"/>
        <v>103.84</v>
      </c>
      <c r="P284" s="251">
        <f t="shared" si="84"/>
        <v>4.4530000000000003</v>
      </c>
    </row>
    <row r="285" spans="1:16" s="247" customFormat="1" x14ac:dyDescent="0.3">
      <c r="A285" s="290" t="s">
        <v>249</v>
      </c>
      <c r="B285" s="290"/>
      <c r="C285" s="290"/>
      <c r="D285" s="290"/>
      <c r="E285" s="290"/>
      <c r="F285" s="290"/>
      <c r="G285" s="290"/>
      <c r="H285" s="290"/>
      <c r="I285" s="290"/>
      <c r="J285" s="290"/>
      <c r="K285" s="290"/>
      <c r="L285" s="290"/>
      <c r="M285" s="290"/>
      <c r="N285" s="290"/>
      <c r="O285" s="290"/>
      <c r="P285" s="290"/>
    </row>
    <row r="286" spans="1:16" s="247" customFormat="1" ht="27.6" x14ac:dyDescent="0.3">
      <c r="A286" s="252"/>
      <c r="B286" s="244" t="s">
        <v>332</v>
      </c>
      <c r="C286" s="245">
        <v>20</v>
      </c>
      <c r="D286" s="246">
        <f>G286/12</f>
        <v>0.64524999999999999</v>
      </c>
      <c r="E286" s="246">
        <v>1.6459999999999999</v>
      </c>
      <c r="F286" s="246">
        <v>4.4420000000000002</v>
      </c>
      <c r="G286" s="246">
        <v>7.7430000000000003</v>
      </c>
      <c r="H286" s="246">
        <v>78.463999999999999</v>
      </c>
      <c r="I286" s="246">
        <v>3.5999999999999997E-2</v>
      </c>
      <c r="J286" s="246">
        <v>0.86599999999999999</v>
      </c>
      <c r="K286" s="246">
        <v>37.311999999999998</v>
      </c>
      <c r="L286" s="246">
        <v>2.1230000000000002</v>
      </c>
      <c r="M286" s="246">
        <v>24.288</v>
      </c>
      <c r="N286" s="246">
        <v>40.863999999999997</v>
      </c>
      <c r="O286" s="246">
        <v>27.504000000000001</v>
      </c>
      <c r="P286" s="246">
        <v>0.56200000000000006</v>
      </c>
    </row>
    <row r="287" spans="1:16" s="247" customFormat="1" x14ac:dyDescent="0.3">
      <c r="A287" s="245">
        <v>386</v>
      </c>
      <c r="B287" s="244" t="s">
        <v>71</v>
      </c>
      <c r="C287" s="245">
        <v>90</v>
      </c>
      <c r="D287" s="246">
        <f t="shared" ref="D287:D289" si="85">G287/12</f>
        <v>0.44249999999999995</v>
      </c>
      <c r="E287" s="246">
        <v>3.69</v>
      </c>
      <c r="F287" s="246">
        <v>1.35</v>
      </c>
      <c r="G287" s="246">
        <v>5.31</v>
      </c>
      <c r="H287" s="246">
        <v>51.3</v>
      </c>
      <c r="I287" s="246"/>
      <c r="J287" s="246">
        <v>0.54</v>
      </c>
      <c r="K287" s="246">
        <v>9</v>
      </c>
      <c r="L287" s="246"/>
      <c r="M287" s="246">
        <v>111.6</v>
      </c>
      <c r="N287" s="246">
        <v>85.5</v>
      </c>
      <c r="O287" s="246">
        <v>13.5</v>
      </c>
      <c r="P287" s="246">
        <v>0.09</v>
      </c>
    </row>
    <row r="288" spans="1:16" s="247" customFormat="1" x14ac:dyDescent="0.3">
      <c r="A288" s="245">
        <v>0</v>
      </c>
      <c r="B288" s="244" t="s">
        <v>66</v>
      </c>
      <c r="C288" s="245">
        <v>150</v>
      </c>
      <c r="D288" s="246">
        <f t="shared" si="85"/>
        <v>0.9375</v>
      </c>
      <c r="E288" s="246">
        <v>1.2</v>
      </c>
      <c r="F288" s="246">
        <v>0.3</v>
      </c>
      <c r="G288" s="246">
        <v>11.25</v>
      </c>
      <c r="H288" s="246">
        <v>57</v>
      </c>
      <c r="I288" s="246">
        <v>0.09</v>
      </c>
      <c r="J288" s="246">
        <v>57</v>
      </c>
      <c r="K288" s="246"/>
      <c r="L288" s="246">
        <v>0.3</v>
      </c>
      <c r="M288" s="246">
        <v>52.5</v>
      </c>
      <c r="N288" s="246">
        <v>25.5</v>
      </c>
      <c r="O288" s="246">
        <v>16.5</v>
      </c>
      <c r="P288" s="246">
        <v>0.15</v>
      </c>
    </row>
    <row r="289" spans="1:16" s="247" customFormat="1" x14ac:dyDescent="0.3">
      <c r="A289" s="291" t="s">
        <v>250</v>
      </c>
      <c r="B289" s="291"/>
      <c r="C289" s="250">
        <f>SUM(C286:C288)</f>
        <v>260</v>
      </c>
      <c r="D289" s="246">
        <f t="shared" si="85"/>
        <v>2.0252500000000002</v>
      </c>
      <c r="E289" s="251">
        <f>SUM(E286:E288)</f>
        <v>6.5360000000000005</v>
      </c>
      <c r="F289" s="251">
        <f t="shared" ref="F289:P289" si="86">SUM(F286:F288)</f>
        <v>6.0919999999999996</v>
      </c>
      <c r="G289" s="251">
        <f t="shared" si="86"/>
        <v>24.303000000000001</v>
      </c>
      <c r="H289" s="251">
        <f t="shared" si="86"/>
        <v>186.76400000000001</v>
      </c>
      <c r="I289" s="251">
        <f t="shared" si="86"/>
        <v>0.126</v>
      </c>
      <c r="J289" s="251">
        <f t="shared" si="86"/>
        <v>58.405999999999999</v>
      </c>
      <c r="K289" s="251">
        <f t="shared" si="86"/>
        <v>46.311999999999998</v>
      </c>
      <c r="L289" s="251">
        <f t="shared" si="86"/>
        <v>2.423</v>
      </c>
      <c r="M289" s="251">
        <f t="shared" si="86"/>
        <v>188.38800000000001</v>
      </c>
      <c r="N289" s="251">
        <f t="shared" si="86"/>
        <v>151.864</v>
      </c>
      <c r="O289" s="251">
        <f t="shared" si="86"/>
        <v>57.504000000000005</v>
      </c>
      <c r="P289" s="251">
        <f t="shared" si="86"/>
        <v>0.80200000000000005</v>
      </c>
    </row>
    <row r="290" spans="1:16" s="247" customFormat="1" x14ac:dyDescent="0.3">
      <c r="A290" s="290" t="s">
        <v>8</v>
      </c>
      <c r="B290" s="290"/>
      <c r="C290" s="290"/>
      <c r="D290" s="290"/>
      <c r="E290" s="290"/>
      <c r="F290" s="290"/>
      <c r="G290" s="290"/>
      <c r="H290" s="290"/>
      <c r="I290" s="290"/>
      <c r="J290" s="290"/>
      <c r="K290" s="290"/>
      <c r="L290" s="290"/>
      <c r="M290" s="290"/>
      <c r="N290" s="290"/>
      <c r="O290" s="290"/>
      <c r="P290" s="290"/>
    </row>
    <row r="291" spans="1:16" s="247" customFormat="1" x14ac:dyDescent="0.3">
      <c r="A291" s="248">
        <v>82</v>
      </c>
      <c r="B291" s="244" t="s">
        <v>373</v>
      </c>
      <c r="C291" s="245">
        <v>250</v>
      </c>
      <c r="D291" s="246">
        <f>G291/12</f>
        <v>1.1453333333333333</v>
      </c>
      <c r="E291" s="246">
        <v>2.0139999999999998</v>
      </c>
      <c r="F291" s="246">
        <v>5.165</v>
      </c>
      <c r="G291" s="246">
        <v>13.744</v>
      </c>
      <c r="H291" s="246">
        <v>110.485</v>
      </c>
      <c r="I291" s="246">
        <v>6.0999999999999999E-2</v>
      </c>
      <c r="J291" s="246">
        <v>22.1</v>
      </c>
      <c r="K291" s="246">
        <v>200</v>
      </c>
      <c r="L291" s="246">
        <v>2.42</v>
      </c>
      <c r="M291" s="246">
        <v>37.479999999999997</v>
      </c>
      <c r="N291" s="246">
        <v>52.59</v>
      </c>
      <c r="O291" s="246">
        <v>26.02</v>
      </c>
      <c r="P291" s="246">
        <v>1.232</v>
      </c>
    </row>
    <row r="292" spans="1:16" s="247" customFormat="1" ht="27.6" x14ac:dyDescent="0.3">
      <c r="A292" s="253">
        <v>291</v>
      </c>
      <c r="B292" s="244" t="s">
        <v>374</v>
      </c>
      <c r="C292" s="245">
        <v>250</v>
      </c>
      <c r="D292" s="246">
        <f t="shared" ref="D292:D296" si="87">G292/12</f>
        <v>3.5874166666666665</v>
      </c>
      <c r="E292" s="246">
        <v>31.664999999999999</v>
      </c>
      <c r="F292" s="246">
        <v>12.728999999999999</v>
      </c>
      <c r="G292" s="246">
        <v>43.048999999999999</v>
      </c>
      <c r="H292" s="246">
        <v>415.68599999999998</v>
      </c>
      <c r="I292" s="246">
        <v>0.20699999999999999</v>
      </c>
      <c r="J292" s="246">
        <v>8.27</v>
      </c>
      <c r="K292" s="246">
        <v>328.4</v>
      </c>
      <c r="L292" s="246">
        <v>3.82</v>
      </c>
      <c r="M292" s="246">
        <v>54.473999999999997</v>
      </c>
      <c r="N292" s="246">
        <v>405.738</v>
      </c>
      <c r="O292" s="246">
        <v>58.316000000000003</v>
      </c>
      <c r="P292" s="246">
        <v>3.0760000000000001</v>
      </c>
    </row>
    <row r="293" spans="1:16" s="247" customFormat="1" ht="27.6" x14ac:dyDescent="0.3">
      <c r="A293" s="249">
        <v>349</v>
      </c>
      <c r="B293" s="244" t="s">
        <v>363</v>
      </c>
      <c r="C293" s="245">
        <v>200</v>
      </c>
      <c r="D293" s="246">
        <f t="shared" si="87"/>
        <v>0.84541666666666659</v>
      </c>
      <c r="E293" s="246">
        <v>0.78</v>
      </c>
      <c r="F293" s="246">
        <v>0.06</v>
      </c>
      <c r="G293" s="246">
        <v>10.145</v>
      </c>
      <c r="H293" s="246">
        <v>45.4</v>
      </c>
      <c r="I293" s="246">
        <v>0.02</v>
      </c>
      <c r="J293" s="246">
        <v>0.8</v>
      </c>
      <c r="K293" s="246"/>
      <c r="L293" s="246">
        <v>1.1000000000000001</v>
      </c>
      <c r="M293" s="246">
        <v>32</v>
      </c>
      <c r="N293" s="246">
        <v>29.2</v>
      </c>
      <c r="O293" s="246">
        <v>21</v>
      </c>
      <c r="P293" s="246">
        <v>0.64</v>
      </c>
    </row>
    <row r="294" spans="1:16" s="247" customFormat="1" x14ac:dyDescent="0.3">
      <c r="A294" s="252"/>
      <c r="B294" s="244" t="s">
        <v>19</v>
      </c>
      <c r="C294" s="245">
        <v>50</v>
      </c>
      <c r="D294" s="246">
        <f t="shared" si="87"/>
        <v>1.425</v>
      </c>
      <c r="E294" s="246">
        <v>3.3</v>
      </c>
      <c r="F294" s="246">
        <v>0.6</v>
      </c>
      <c r="G294" s="246">
        <v>17.100000000000001</v>
      </c>
      <c r="H294" s="246">
        <v>87</v>
      </c>
      <c r="I294" s="246">
        <v>0.1</v>
      </c>
      <c r="J294" s="246"/>
      <c r="K294" s="246">
        <v>3</v>
      </c>
      <c r="L294" s="246">
        <v>1.1000000000000001</v>
      </c>
      <c r="M294" s="246">
        <v>17.5</v>
      </c>
      <c r="N294" s="246">
        <v>79</v>
      </c>
      <c r="O294" s="246">
        <v>23.5</v>
      </c>
      <c r="P294" s="246">
        <v>1.95</v>
      </c>
    </row>
    <row r="295" spans="1:16" s="247" customFormat="1" x14ac:dyDescent="0.3">
      <c r="A295" s="252"/>
      <c r="B295" s="244"/>
      <c r="C295" s="245"/>
      <c r="D295" s="246"/>
      <c r="E295" s="246"/>
      <c r="F295" s="246"/>
      <c r="G295" s="246"/>
      <c r="H295" s="246"/>
      <c r="I295" s="246"/>
      <c r="J295" s="246"/>
      <c r="K295" s="246"/>
      <c r="L295" s="246"/>
      <c r="M295" s="246"/>
      <c r="N295" s="246"/>
      <c r="O295" s="246"/>
      <c r="P295" s="246"/>
    </row>
    <row r="296" spans="1:16" s="247" customFormat="1" x14ac:dyDescent="0.3">
      <c r="A296" s="291" t="s">
        <v>20</v>
      </c>
      <c r="B296" s="291"/>
      <c r="C296" s="250">
        <f>SUM(C291:C295)</f>
        <v>750</v>
      </c>
      <c r="D296" s="246">
        <f t="shared" si="87"/>
        <v>7.0031666666666679</v>
      </c>
      <c r="E296" s="251">
        <f>SUM(E291:E295)</f>
        <v>37.759</v>
      </c>
      <c r="F296" s="251">
        <f t="shared" ref="F296:P296" si="88">SUM(F291:F295)</f>
        <v>18.553999999999998</v>
      </c>
      <c r="G296" s="251">
        <f t="shared" si="88"/>
        <v>84.038000000000011</v>
      </c>
      <c r="H296" s="251">
        <f t="shared" si="88"/>
        <v>658.57099999999991</v>
      </c>
      <c r="I296" s="251">
        <f t="shared" si="88"/>
        <v>0.38800000000000001</v>
      </c>
      <c r="J296" s="251">
        <f t="shared" si="88"/>
        <v>31.17</v>
      </c>
      <c r="K296" s="251">
        <f t="shared" si="88"/>
        <v>531.4</v>
      </c>
      <c r="L296" s="251">
        <f t="shared" si="88"/>
        <v>8.44</v>
      </c>
      <c r="M296" s="251">
        <f t="shared" si="88"/>
        <v>141.45400000000001</v>
      </c>
      <c r="N296" s="251">
        <f t="shared" si="88"/>
        <v>566.52800000000002</v>
      </c>
      <c r="O296" s="251">
        <f t="shared" si="88"/>
        <v>128.83600000000001</v>
      </c>
      <c r="P296" s="251">
        <f t="shared" si="88"/>
        <v>6.8979999999999997</v>
      </c>
    </row>
    <row r="297" spans="1:16" s="247" customFormat="1" x14ac:dyDescent="0.3">
      <c r="A297" s="290" t="s">
        <v>43</v>
      </c>
      <c r="B297" s="290"/>
      <c r="C297" s="290"/>
      <c r="D297" s="290"/>
      <c r="E297" s="290"/>
      <c r="F297" s="290"/>
      <c r="G297" s="290"/>
      <c r="H297" s="290"/>
      <c r="I297" s="290"/>
      <c r="J297" s="290"/>
      <c r="K297" s="290"/>
      <c r="L297" s="290"/>
      <c r="M297" s="290"/>
      <c r="N297" s="290"/>
      <c r="O297" s="290"/>
      <c r="P297" s="290"/>
    </row>
    <row r="298" spans="1:16" s="247" customFormat="1" ht="27.6" x14ac:dyDescent="0.3">
      <c r="A298" s="252"/>
      <c r="B298" s="244" t="s">
        <v>332</v>
      </c>
      <c r="C298" s="245">
        <v>20</v>
      </c>
      <c r="D298" s="246">
        <f>G298/12</f>
        <v>0.64524999999999999</v>
      </c>
      <c r="E298" s="246">
        <v>1.6459999999999999</v>
      </c>
      <c r="F298" s="246">
        <v>4.4420000000000002</v>
      </c>
      <c r="G298" s="246">
        <v>7.7430000000000003</v>
      </c>
      <c r="H298" s="246">
        <v>78.463999999999999</v>
      </c>
      <c r="I298" s="246">
        <v>3.5999999999999997E-2</v>
      </c>
      <c r="J298" s="246">
        <v>0.86599999999999999</v>
      </c>
      <c r="K298" s="246">
        <v>37.311999999999998</v>
      </c>
      <c r="L298" s="246">
        <v>2.1230000000000002</v>
      </c>
      <c r="M298" s="246">
        <v>24.288</v>
      </c>
      <c r="N298" s="246">
        <v>40.863999999999997</v>
      </c>
      <c r="O298" s="246">
        <v>27.504000000000001</v>
      </c>
      <c r="P298" s="246">
        <v>0.56200000000000006</v>
      </c>
    </row>
    <row r="299" spans="1:16" s="247" customFormat="1" x14ac:dyDescent="0.3">
      <c r="A299" s="245">
        <v>386</v>
      </c>
      <c r="B299" s="244" t="s">
        <v>71</v>
      </c>
      <c r="C299" s="245">
        <v>90</v>
      </c>
      <c r="D299" s="246">
        <f t="shared" ref="D299:D301" si="89">G299/12</f>
        <v>0.44249999999999995</v>
      </c>
      <c r="E299" s="246">
        <v>3.69</v>
      </c>
      <c r="F299" s="246">
        <v>1.35</v>
      </c>
      <c r="G299" s="246">
        <v>5.31</v>
      </c>
      <c r="H299" s="246">
        <v>51.3</v>
      </c>
      <c r="I299" s="246"/>
      <c r="J299" s="246">
        <v>0.54</v>
      </c>
      <c r="K299" s="246">
        <v>9</v>
      </c>
      <c r="L299" s="246"/>
      <c r="M299" s="246">
        <v>111.6</v>
      </c>
      <c r="N299" s="246">
        <v>85.5</v>
      </c>
      <c r="O299" s="246">
        <v>13.5</v>
      </c>
      <c r="P299" s="246">
        <v>0.09</v>
      </c>
    </row>
    <row r="300" spans="1:16" s="247" customFormat="1" x14ac:dyDescent="0.3">
      <c r="A300" s="245">
        <v>0</v>
      </c>
      <c r="B300" s="244" t="s">
        <v>66</v>
      </c>
      <c r="C300" s="245">
        <v>150</v>
      </c>
      <c r="D300" s="246">
        <f t="shared" si="89"/>
        <v>0.9375</v>
      </c>
      <c r="E300" s="246">
        <v>1.2</v>
      </c>
      <c r="F300" s="246">
        <v>0.3</v>
      </c>
      <c r="G300" s="246">
        <v>11.25</v>
      </c>
      <c r="H300" s="246">
        <v>57</v>
      </c>
      <c r="I300" s="246">
        <v>0.09</v>
      </c>
      <c r="J300" s="246">
        <v>57</v>
      </c>
      <c r="K300" s="246"/>
      <c r="L300" s="246">
        <v>0.3</v>
      </c>
      <c r="M300" s="246">
        <v>52.5</v>
      </c>
      <c r="N300" s="246">
        <v>25.5</v>
      </c>
      <c r="O300" s="246">
        <v>16.5</v>
      </c>
      <c r="P300" s="246">
        <v>0.15</v>
      </c>
    </row>
    <row r="301" spans="1:16" s="247" customFormat="1" x14ac:dyDescent="0.3">
      <c r="A301" s="291" t="s">
        <v>44</v>
      </c>
      <c r="B301" s="291"/>
      <c r="C301" s="250">
        <f>SUM(C298:C300)</f>
        <v>260</v>
      </c>
      <c r="D301" s="246">
        <f t="shared" si="89"/>
        <v>2.0252500000000002</v>
      </c>
      <c r="E301" s="251">
        <f>SUM(E298:E300)</f>
        <v>6.5360000000000005</v>
      </c>
      <c r="F301" s="251">
        <f t="shared" ref="F301:P301" si="90">SUM(F298:F300)</f>
        <v>6.0919999999999996</v>
      </c>
      <c r="G301" s="251">
        <f t="shared" si="90"/>
        <v>24.303000000000001</v>
      </c>
      <c r="H301" s="251">
        <f t="shared" si="90"/>
        <v>186.76400000000001</v>
      </c>
      <c r="I301" s="251">
        <f t="shared" si="90"/>
        <v>0.126</v>
      </c>
      <c r="J301" s="251">
        <f t="shared" si="90"/>
        <v>58.405999999999999</v>
      </c>
      <c r="K301" s="251">
        <f t="shared" si="90"/>
        <v>46.311999999999998</v>
      </c>
      <c r="L301" s="251">
        <f t="shared" si="90"/>
        <v>2.423</v>
      </c>
      <c r="M301" s="251">
        <f t="shared" si="90"/>
        <v>188.38800000000001</v>
      </c>
      <c r="N301" s="251">
        <f t="shared" si="90"/>
        <v>151.864</v>
      </c>
      <c r="O301" s="251">
        <f t="shared" si="90"/>
        <v>57.504000000000005</v>
      </c>
      <c r="P301" s="251">
        <f t="shared" si="90"/>
        <v>0.80200000000000005</v>
      </c>
    </row>
    <row r="302" spans="1:16" s="247" customFormat="1" x14ac:dyDescent="0.3">
      <c r="A302" s="292" t="s">
        <v>260</v>
      </c>
      <c r="B302" s="292"/>
      <c r="C302" s="254">
        <f>C301+C296+C289+C284</f>
        <v>1945</v>
      </c>
      <c r="D302" s="255">
        <f>D301+D296+D289+D284</f>
        <v>15.009583333333335</v>
      </c>
      <c r="E302" s="255">
        <f t="shared" ref="E302:P302" si="91">E301+E296+E289+E284</f>
        <v>73.393000000000001</v>
      </c>
      <c r="F302" s="255">
        <f t="shared" si="91"/>
        <v>51.914999999999992</v>
      </c>
      <c r="G302" s="255">
        <f t="shared" si="91"/>
        <v>180.11500000000001</v>
      </c>
      <c r="H302" s="255">
        <f t="shared" si="91"/>
        <v>1505.2159999999999</v>
      </c>
      <c r="I302" s="255">
        <f t="shared" si="91"/>
        <v>0.98199999999999998</v>
      </c>
      <c r="J302" s="255">
        <f t="shared" si="91"/>
        <v>274.52600000000001</v>
      </c>
      <c r="K302" s="255">
        <f t="shared" si="91"/>
        <v>744.524</v>
      </c>
      <c r="L302" s="255">
        <f t="shared" si="91"/>
        <v>18.149999999999999</v>
      </c>
      <c r="M302" s="255">
        <f t="shared" si="91"/>
        <v>830.72600000000011</v>
      </c>
      <c r="N302" s="255">
        <f t="shared" si="91"/>
        <v>1237.336</v>
      </c>
      <c r="O302" s="255">
        <f t="shared" si="91"/>
        <v>347.68400000000008</v>
      </c>
      <c r="P302" s="255">
        <f t="shared" si="91"/>
        <v>12.954999999999998</v>
      </c>
    </row>
    <row r="303" spans="1:16" s="247" customFormat="1" x14ac:dyDescent="0.3">
      <c r="A303" s="292" t="s">
        <v>34</v>
      </c>
      <c r="B303" s="292"/>
      <c r="C303" s="254">
        <f>C302+C272+C243+C211+C181+C151+C122+C93+C63+C33</f>
        <v>19642</v>
      </c>
      <c r="D303" s="255">
        <f t="shared" ref="D303:P303" si="92">D302+D272+D243+D211+D181+D151+D122+D93+D63+D33</f>
        <v>146.94575</v>
      </c>
      <c r="E303" s="255">
        <f t="shared" si="92"/>
        <v>687.78199999999993</v>
      </c>
      <c r="F303" s="255">
        <f t="shared" si="92"/>
        <v>512.99399999999991</v>
      </c>
      <c r="G303" s="255">
        <f t="shared" si="92"/>
        <v>1763.3489999999999</v>
      </c>
      <c r="H303" s="255">
        <f t="shared" si="92"/>
        <v>14678.348</v>
      </c>
      <c r="I303" s="255">
        <f t="shared" si="92"/>
        <v>10.383999999999999</v>
      </c>
      <c r="J303" s="255">
        <f t="shared" si="92"/>
        <v>1855.9929999999999</v>
      </c>
      <c r="K303" s="255">
        <f t="shared" si="92"/>
        <v>6718.9579999999996</v>
      </c>
      <c r="L303" s="255">
        <f t="shared" si="92"/>
        <v>163.41499999999999</v>
      </c>
      <c r="M303" s="255">
        <f t="shared" si="92"/>
        <v>7802.6940000000004</v>
      </c>
      <c r="N303" s="255">
        <f t="shared" si="92"/>
        <v>11988.498999999998</v>
      </c>
      <c r="O303" s="255">
        <f t="shared" si="92"/>
        <v>3685.59</v>
      </c>
      <c r="P303" s="255">
        <f t="shared" si="92"/>
        <v>187.078</v>
      </c>
    </row>
    <row r="305" spans="1:21" x14ac:dyDescent="0.3">
      <c r="D305" s="288" t="s">
        <v>384</v>
      </c>
      <c r="E305" s="289">
        <v>10</v>
      </c>
    </row>
    <row r="306" spans="1:21" s="267" customFormat="1" x14ac:dyDescent="0.3">
      <c r="A306" s="306"/>
      <c r="B306" s="307"/>
      <c r="C306" s="304" t="s">
        <v>0</v>
      </c>
      <c r="D306" s="301" t="s">
        <v>55</v>
      </c>
      <c r="E306" s="303" t="s">
        <v>1</v>
      </c>
      <c r="F306" s="303"/>
      <c r="G306" s="303"/>
      <c r="H306" s="304" t="s">
        <v>31</v>
      </c>
      <c r="I306" s="303" t="s">
        <v>9</v>
      </c>
      <c r="J306" s="303"/>
      <c r="K306" s="303"/>
      <c r="L306" s="303"/>
      <c r="M306" s="309" t="s">
        <v>10</v>
      </c>
      <c r="N306" s="309"/>
      <c r="O306" s="309"/>
      <c r="P306" s="309"/>
    </row>
    <row r="307" spans="1:21" s="267" customFormat="1" x14ac:dyDescent="0.3">
      <c r="A307" s="308"/>
      <c r="B307" s="308"/>
      <c r="C307" s="305"/>
      <c r="D307" s="302"/>
      <c r="E307" s="268" t="s">
        <v>2</v>
      </c>
      <c r="F307" s="268" t="s">
        <v>3</v>
      </c>
      <c r="G307" s="268" t="s">
        <v>4</v>
      </c>
      <c r="H307" s="305"/>
      <c r="I307" s="268" t="s">
        <v>11</v>
      </c>
      <c r="J307" s="268" t="s">
        <v>12</v>
      </c>
      <c r="K307" s="268" t="s">
        <v>13</v>
      </c>
      <c r="L307" s="268" t="s">
        <v>14</v>
      </c>
      <c r="M307" s="268" t="s">
        <v>15</v>
      </c>
      <c r="N307" s="268" t="s">
        <v>16</v>
      </c>
      <c r="O307" s="268" t="s">
        <v>17</v>
      </c>
      <c r="P307" s="268" t="s">
        <v>18</v>
      </c>
      <c r="U307" s="267" t="s">
        <v>385</v>
      </c>
    </row>
    <row r="308" spans="1:21" s="267" customFormat="1" x14ac:dyDescent="0.3">
      <c r="A308" s="314" t="s">
        <v>38</v>
      </c>
      <c r="B308" s="315"/>
      <c r="C308" s="269">
        <f t="shared" ref="C308:P308" si="93">C14+C43+C74+C103+C132+C162+C192+C223+C253+C284</f>
        <v>6267</v>
      </c>
      <c r="D308" s="270">
        <f t="shared" si="93"/>
        <v>44.386499999999998</v>
      </c>
      <c r="E308" s="270">
        <f>E14+E43+E74+E103+E132+E162+E192+E223+E253+E284</f>
        <v>248.40100000000004</v>
      </c>
      <c r="F308" s="270">
        <f t="shared" si="93"/>
        <v>177.97499999999999</v>
      </c>
      <c r="G308" s="270">
        <f t="shared" si="93"/>
        <v>532.63799999999992</v>
      </c>
      <c r="H308" s="270">
        <f t="shared" si="93"/>
        <v>4772.7919999999995</v>
      </c>
      <c r="I308" s="270">
        <f t="shared" si="93"/>
        <v>3.6540000000000004</v>
      </c>
      <c r="J308" s="270">
        <f t="shared" si="93"/>
        <v>475.22699999999998</v>
      </c>
      <c r="K308" s="270">
        <f t="shared" si="93"/>
        <v>1717.768</v>
      </c>
      <c r="L308" s="270">
        <f t="shared" si="93"/>
        <v>39.448</v>
      </c>
      <c r="M308" s="270">
        <f t="shared" si="93"/>
        <v>2538.3209999999999</v>
      </c>
      <c r="N308" s="270">
        <f t="shared" si="93"/>
        <v>4260.24</v>
      </c>
      <c r="O308" s="270">
        <f t="shared" si="93"/>
        <v>1172.1299999999999</v>
      </c>
      <c r="P308" s="270">
        <f t="shared" si="93"/>
        <v>63.609000000000002</v>
      </c>
    </row>
    <row r="309" spans="1:21" s="267" customFormat="1" x14ac:dyDescent="0.3">
      <c r="A309" s="310" t="s">
        <v>39</v>
      </c>
      <c r="B309" s="311"/>
      <c r="C309" s="269">
        <f>C308/10</f>
        <v>626.70000000000005</v>
      </c>
      <c r="D309" s="270">
        <f>D308/10</f>
        <v>4.43865</v>
      </c>
      <c r="E309" s="270">
        <f>E308/$E$305</f>
        <v>24.840100000000003</v>
      </c>
      <c r="F309" s="270">
        <f t="shared" ref="F309:P309" si="94">F308/$E$305</f>
        <v>17.797499999999999</v>
      </c>
      <c r="G309" s="270">
        <f t="shared" si="94"/>
        <v>53.263799999999989</v>
      </c>
      <c r="H309" s="270">
        <f t="shared" si="94"/>
        <v>477.27919999999995</v>
      </c>
      <c r="I309" s="270">
        <f t="shared" si="94"/>
        <v>0.36540000000000006</v>
      </c>
      <c r="J309" s="270">
        <f t="shared" si="94"/>
        <v>47.5227</v>
      </c>
      <c r="K309" s="270">
        <f t="shared" si="94"/>
        <v>171.77680000000001</v>
      </c>
      <c r="L309" s="270">
        <f t="shared" si="94"/>
        <v>3.9447999999999999</v>
      </c>
      <c r="M309" s="270">
        <f t="shared" si="94"/>
        <v>253.8321</v>
      </c>
      <c r="N309" s="270">
        <f t="shared" si="94"/>
        <v>426.024</v>
      </c>
      <c r="O309" s="270">
        <f t="shared" si="94"/>
        <v>117.21299999999999</v>
      </c>
      <c r="P309" s="270">
        <f t="shared" si="94"/>
        <v>6.3609</v>
      </c>
    </row>
    <row r="310" spans="1:21" s="267" customFormat="1" x14ac:dyDescent="0.3">
      <c r="A310" s="310" t="s">
        <v>5</v>
      </c>
      <c r="B310" s="311"/>
      <c r="C310" s="271"/>
      <c r="D310" s="272"/>
      <c r="E310" s="273">
        <f>4*E309/$H$309</f>
        <v>0.20818087190893722</v>
      </c>
      <c r="F310" s="273">
        <f t="shared" ref="F310:G310" si="95">4*F309/$H$309</f>
        <v>0.14915797713371964</v>
      </c>
      <c r="G310" s="273">
        <f t="shared" si="95"/>
        <v>0.44639531745778988</v>
      </c>
      <c r="H310" s="274"/>
      <c r="I310" s="275"/>
      <c r="J310" s="275"/>
      <c r="K310" s="275"/>
      <c r="L310" s="275"/>
      <c r="M310" s="275"/>
      <c r="N310" s="275"/>
      <c r="O310" s="275"/>
      <c r="P310" s="275"/>
    </row>
    <row r="311" spans="1:21" s="267" customFormat="1" x14ac:dyDescent="0.3">
      <c r="A311" s="310" t="s">
        <v>288</v>
      </c>
      <c r="B311" s="311"/>
      <c r="C311" s="271"/>
      <c r="D311" s="272"/>
      <c r="E311" s="276">
        <f>E309/E327</f>
        <v>0.26425638297872345</v>
      </c>
      <c r="F311" s="276">
        <f t="shared" ref="F311:P311" si="96">F309/F327</f>
        <v>0.26172794117647058</v>
      </c>
      <c r="G311" s="276">
        <f t="shared" si="96"/>
        <v>0.20175681818181815</v>
      </c>
      <c r="H311" s="276">
        <f t="shared" si="96"/>
        <v>0.23327429130009772</v>
      </c>
      <c r="I311" s="276">
        <f t="shared" si="96"/>
        <v>0.30450000000000005</v>
      </c>
      <c r="J311" s="276">
        <f t="shared" si="96"/>
        <v>0.792045</v>
      </c>
      <c r="K311" s="276">
        <f t="shared" si="96"/>
        <v>0.24539542857142857</v>
      </c>
      <c r="L311" s="276">
        <f t="shared" si="96"/>
        <v>0.39448</v>
      </c>
      <c r="M311" s="276">
        <f t="shared" si="96"/>
        <v>0.23075645454545454</v>
      </c>
      <c r="N311" s="276">
        <f t="shared" si="96"/>
        <v>0.38729454545454545</v>
      </c>
      <c r="O311" s="276">
        <f t="shared" si="96"/>
        <v>0.46885199999999999</v>
      </c>
      <c r="P311" s="276">
        <f t="shared" si="96"/>
        <v>0.53007499999999996</v>
      </c>
    </row>
    <row r="312" spans="1:21" s="267" customFormat="1" x14ac:dyDescent="0.3">
      <c r="A312" s="314" t="s">
        <v>261</v>
      </c>
      <c r="B312" s="315"/>
      <c r="C312" s="269">
        <f t="shared" ref="C312:P312" si="97">C19+C48+C79+C108+C137+C167+C197+C228+C258+C289</f>
        <v>2600</v>
      </c>
      <c r="D312" s="270">
        <f t="shared" si="97"/>
        <v>21.4025</v>
      </c>
      <c r="E312" s="270">
        <f t="shared" si="97"/>
        <v>62.960000000000008</v>
      </c>
      <c r="F312" s="270">
        <f t="shared" si="97"/>
        <v>62.11999999999999</v>
      </c>
      <c r="G312" s="270">
        <f t="shared" si="97"/>
        <v>256.83</v>
      </c>
      <c r="H312" s="270">
        <f t="shared" si="97"/>
        <v>1921.6400000000003</v>
      </c>
      <c r="I312" s="270">
        <f t="shared" si="97"/>
        <v>1.0799999999999998</v>
      </c>
      <c r="J312" s="270">
        <f t="shared" si="97"/>
        <v>416.06</v>
      </c>
      <c r="K312" s="270">
        <f t="shared" si="97"/>
        <v>493.12000000000006</v>
      </c>
      <c r="L312" s="270">
        <f t="shared" si="97"/>
        <v>24.230000000000004</v>
      </c>
      <c r="M312" s="270">
        <f t="shared" si="97"/>
        <v>1769.8799999999997</v>
      </c>
      <c r="N312" s="270">
        <f t="shared" si="97"/>
        <v>1482.64</v>
      </c>
      <c r="O312" s="270">
        <f t="shared" si="97"/>
        <v>563.04000000000008</v>
      </c>
      <c r="P312" s="270">
        <f t="shared" si="97"/>
        <v>20.619999999999997</v>
      </c>
    </row>
    <row r="313" spans="1:21" s="267" customFormat="1" x14ac:dyDescent="0.3">
      <c r="A313" s="310" t="s">
        <v>39</v>
      </c>
      <c r="B313" s="311"/>
      <c r="C313" s="269">
        <f>C312/10</f>
        <v>260</v>
      </c>
      <c r="D313" s="270">
        <f>D312/$E$305</f>
        <v>2.14025</v>
      </c>
      <c r="E313" s="270">
        <f t="shared" ref="E313:P313" si="98">E312/$E$305</f>
        <v>6.2960000000000012</v>
      </c>
      <c r="F313" s="270">
        <f t="shared" si="98"/>
        <v>6.2119999999999989</v>
      </c>
      <c r="G313" s="270">
        <f t="shared" si="98"/>
        <v>25.683</v>
      </c>
      <c r="H313" s="270">
        <f t="shared" si="98"/>
        <v>192.16400000000004</v>
      </c>
      <c r="I313" s="270">
        <f t="shared" si="98"/>
        <v>0.10799999999999998</v>
      </c>
      <c r="J313" s="270">
        <f t="shared" si="98"/>
        <v>41.606000000000002</v>
      </c>
      <c r="K313" s="270">
        <f t="shared" si="98"/>
        <v>49.312000000000005</v>
      </c>
      <c r="L313" s="270">
        <f t="shared" si="98"/>
        <v>2.4230000000000005</v>
      </c>
      <c r="M313" s="270">
        <f t="shared" si="98"/>
        <v>176.98799999999997</v>
      </c>
      <c r="N313" s="270">
        <f t="shared" si="98"/>
        <v>148.26400000000001</v>
      </c>
      <c r="O313" s="270">
        <f t="shared" si="98"/>
        <v>56.304000000000009</v>
      </c>
      <c r="P313" s="270">
        <f t="shared" si="98"/>
        <v>2.0619999999999998</v>
      </c>
    </row>
    <row r="314" spans="1:21" s="267" customFormat="1" x14ac:dyDescent="0.3">
      <c r="A314" s="310" t="s">
        <v>5</v>
      </c>
      <c r="B314" s="311"/>
      <c r="C314" s="271"/>
      <c r="D314" s="272"/>
      <c r="E314" s="277">
        <f>4*E313/$H$313</f>
        <v>0.13105472408983992</v>
      </c>
      <c r="F314" s="277">
        <f t="shared" ref="F314:G314" si="99">4*F313/$H$313</f>
        <v>0.129306217605795</v>
      </c>
      <c r="G314" s="277">
        <f t="shared" si="99"/>
        <v>0.5346058574967214</v>
      </c>
      <c r="H314" s="278"/>
      <c r="I314" s="278"/>
      <c r="J314" s="278"/>
      <c r="K314" s="278"/>
      <c r="L314" s="278"/>
      <c r="M314" s="278"/>
      <c r="N314" s="278"/>
      <c r="O314" s="278"/>
      <c r="P314" s="278"/>
    </row>
    <row r="315" spans="1:21" s="267" customFormat="1" x14ac:dyDescent="0.3">
      <c r="A315" s="310" t="s">
        <v>288</v>
      </c>
      <c r="B315" s="311"/>
      <c r="C315" s="269"/>
      <c r="D315" s="270"/>
      <c r="E315" s="276">
        <f>E313/E327</f>
        <v>6.6978723404255328E-2</v>
      </c>
      <c r="F315" s="276">
        <f t="shared" ref="F315:P315" si="100">F313/F327</f>
        <v>9.1352941176470567E-2</v>
      </c>
      <c r="G315" s="276">
        <f t="shared" si="100"/>
        <v>9.7284090909090903E-2</v>
      </c>
      <c r="H315" s="276">
        <f t="shared" si="100"/>
        <v>9.3921798631476067E-2</v>
      </c>
      <c r="I315" s="276">
        <f t="shared" si="100"/>
        <v>0.09</v>
      </c>
      <c r="J315" s="276">
        <f t="shared" si="100"/>
        <v>0.69343333333333335</v>
      </c>
      <c r="K315" s="276">
        <f t="shared" si="100"/>
        <v>7.0445714285714292E-2</v>
      </c>
      <c r="L315" s="276">
        <f t="shared" si="100"/>
        <v>0.24230000000000004</v>
      </c>
      <c r="M315" s="276">
        <f t="shared" si="100"/>
        <v>0.1608981818181818</v>
      </c>
      <c r="N315" s="276">
        <f t="shared" si="100"/>
        <v>0.13478545454545454</v>
      </c>
      <c r="O315" s="276">
        <f t="shared" si="100"/>
        <v>0.22521600000000003</v>
      </c>
      <c r="P315" s="276">
        <f t="shared" si="100"/>
        <v>0.17183333333333331</v>
      </c>
    </row>
    <row r="316" spans="1:21" s="267" customFormat="1" x14ac:dyDescent="0.3">
      <c r="A316" s="314" t="s">
        <v>237</v>
      </c>
      <c r="B316" s="315"/>
      <c r="C316" s="269">
        <f t="shared" ref="C316:P316" si="101">C27+C57+C87+C116+C145+C175+C205+C237+C266+C296</f>
        <v>8175</v>
      </c>
      <c r="D316" s="270">
        <f t="shared" si="101"/>
        <v>59.754249999999992</v>
      </c>
      <c r="E316" s="270">
        <f t="shared" si="101"/>
        <v>313.46100000000001</v>
      </c>
      <c r="F316" s="270">
        <f t="shared" si="101"/>
        <v>210.77899999999997</v>
      </c>
      <c r="G316" s="270">
        <f t="shared" si="101"/>
        <v>717.05099999999993</v>
      </c>
      <c r="H316" s="270">
        <f t="shared" si="101"/>
        <v>6062.2759999999998</v>
      </c>
      <c r="I316" s="270">
        <f t="shared" si="101"/>
        <v>4.5699999999999994</v>
      </c>
      <c r="J316" s="270">
        <f t="shared" si="101"/>
        <v>548.64599999999984</v>
      </c>
      <c r="K316" s="270">
        <f t="shared" si="101"/>
        <v>4014.95</v>
      </c>
      <c r="L316" s="270">
        <f t="shared" si="101"/>
        <v>75.507000000000005</v>
      </c>
      <c r="M316" s="270">
        <f t="shared" si="101"/>
        <v>1724.6129999999996</v>
      </c>
      <c r="N316" s="270">
        <f t="shared" si="101"/>
        <v>4762.9790000000003</v>
      </c>
      <c r="O316" s="270">
        <f t="shared" si="101"/>
        <v>1387.3799999999999</v>
      </c>
      <c r="P316" s="270">
        <f t="shared" si="101"/>
        <v>82.228999999999985</v>
      </c>
    </row>
    <row r="317" spans="1:21" s="267" customFormat="1" x14ac:dyDescent="0.3">
      <c r="A317" s="310" t="s">
        <v>40</v>
      </c>
      <c r="B317" s="311"/>
      <c r="C317" s="269">
        <f>C316/10</f>
        <v>817.5</v>
      </c>
      <c r="D317" s="270">
        <f>D316/$E$305</f>
        <v>5.9754249999999995</v>
      </c>
      <c r="E317" s="270">
        <f t="shared" ref="E317:P317" si="102">E316/$E$305</f>
        <v>31.3461</v>
      </c>
      <c r="F317" s="270">
        <f t="shared" si="102"/>
        <v>21.077899999999996</v>
      </c>
      <c r="G317" s="270">
        <f t="shared" si="102"/>
        <v>71.705099999999987</v>
      </c>
      <c r="H317" s="270">
        <f t="shared" si="102"/>
        <v>606.22759999999994</v>
      </c>
      <c r="I317" s="270">
        <f t="shared" si="102"/>
        <v>0.45699999999999996</v>
      </c>
      <c r="J317" s="270">
        <f t="shared" si="102"/>
        <v>54.864599999999982</v>
      </c>
      <c r="K317" s="270">
        <f t="shared" si="102"/>
        <v>401.495</v>
      </c>
      <c r="L317" s="270">
        <f t="shared" si="102"/>
        <v>7.5507000000000009</v>
      </c>
      <c r="M317" s="270">
        <f t="shared" si="102"/>
        <v>172.46129999999997</v>
      </c>
      <c r="N317" s="270">
        <f t="shared" si="102"/>
        <v>476.29790000000003</v>
      </c>
      <c r="O317" s="270">
        <f t="shared" si="102"/>
        <v>138.738</v>
      </c>
      <c r="P317" s="270">
        <f t="shared" si="102"/>
        <v>8.2228999999999992</v>
      </c>
    </row>
    <row r="318" spans="1:21" s="267" customFormat="1" x14ac:dyDescent="0.3">
      <c r="A318" s="310" t="s">
        <v>5</v>
      </c>
      <c r="B318" s="311"/>
      <c r="C318" s="279"/>
      <c r="D318" s="270"/>
      <c r="E318" s="273">
        <f>4*E317/$H$317</f>
        <v>0.20682727081379998</v>
      </c>
      <c r="F318" s="273">
        <f t="shared" ref="F318:G318" si="103">4*F317/$H$317</f>
        <v>0.13907581904881927</v>
      </c>
      <c r="G318" s="273">
        <f t="shared" si="103"/>
        <v>0.4731232956071284</v>
      </c>
      <c r="H318" s="275"/>
      <c r="I318" s="275"/>
      <c r="J318" s="275"/>
      <c r="K318" s="275"/>
      <c r="L318" s="275"/>
      <c r="M318" s="275"/>
      <c r="N318" s="275"/>
      <c r="O318" s="275"/>
      <c r="P318" s="275"/>
    </row>
    <row r="319" spans="1:21" s="267" customFormat="1" x14ac:dyDescent="0.3">
      <c r="A319" s="310" t="s">
        <v>288</v>
      </c>
      <c r="B319" s="311"/>
      <c r="C319" s="279"/>
      <c r="D319" s="270"/>
      <c r="E319" s="276">
        <f>E317/E327</f>
        <v>0.33346914893617019</v>
      </c>
      <c r="F319" s="276">
        <f t="shared" ref="F319:P319" si="104">F317/F327</f>
        <v>0.30996911764705876</v>
      </c>
      <c r="G319" s="276">
        <f t="shared" si="104"/>
        <v>0.27161022727272721</v>
      </c>
      <c r="H319" s="276">
        <f t="shared" si="104"/>
        <v>0.29629892473118274</v>
      </c>
      <c r="I319" s="276">
        <f t="shared" si="104"/>
        <v>0.3808333333333333</v>
      </c>
      <c r="J319" s="276">
        <f t="shared" si="104"/>
        <v>0.91440999999999972</v>
      </c>
      <c r="K319" s="276">
        <f t="shared" si="104"/>
        <v>0.57356428571428575</v>
      </c>
      <c r="L319" s="276">
        <f t="shared" si="104"/>
        <v>0.75507000000000013</v>
      </c>
      <c r="M319" s="276">
        <f t="shared" si="104"/>
        <v>0.15678299999999998</v>
      </c>
      <c r="N319" s="276">
        <f t="shared" si="104"/>
        <v>0.43299809090909092</v>
      </c>
      <c r="O319" s="276">
        <f t="shared" si="104"/>
        <v>0.554952</v>
      </c>
      <c r="P319" s="276">
        <f t="shared" si="104"/>
        <v>0.68524166666666664</v>
      </c>
    </row>
    <row r="320" spans="1:21" s="267" customFormat="1" x14ac:dyDescent="0.3">
      <c r="A320" s="314" t="s">
        <v>262</v>
      </c>
      <c r="B320" s="315"/>
      <c r="C320" s="269">
        <f t="shared" ref="C320:P320" si="105">C32+C62+C92+C121+C150+C180+C210+C242+C271+C301</f>
        <v>2600</v>
      </c>
      <c r="D320" s="270">
        <f t="shared" si="105"/>
        <v>21.4025</v>
      </c>
      <c r="E320" s="270">
        <f t="shared" si="105"/>
        <v>62.960000000000008</v>
      </c>
      <c r="F320" s="270">
        <f t="shared" si="105"/>
        <v>62.11999999999999</v>
      </c>
      <c r="G320" s="270">
        <f t="shared" si="105"/>
        <v>256.83</v>
      </c>
      <c r="H320" s="270">
        <f t="shared" si="105"/>
        <v>1921.6400000000003</v>
      </c>
      <c r="I320" s="270">
        <f t="shared" si="105"/>
        <v>1.0799999999999998</v>
      </c>
      <c r="J320" s="270">
        <f t="shared" si="105"/>
        <v>416.06</v>
      </c>
      <c r="K320" s="270">
        <f t="shared" si="105"/>
        <v>493.12000000000006</v>
      </c>
      <c r="L320" s="270">
        <f t="shared" si="105"/>
        <v>24.230000000000004</v>
      </c>
      <c r="M320" s="270">
        <f t="shared" si="105"/>
        <v>1769.8799999999997</v>
      </c>
      <c r="N320" s="270">
        <f t="shared" si="105"/>
        <v>1482.64</v>
      </c>
      <c r="O320" s="270">
        <f t="shared" si="105"/>
        <v>563.04000000000008</v>
      </c>
      <c r="P320" s="270">
        <f t="shared" si="105"/>
        <v>20.619999999999997</v>
      </c>
    </row>
    <row r="321" spans="1:16" s="267" customFormat="1" x14ac:dyDescent="0.3">
      <c r="A321" s="310" t="s">
        <v>263</v>
      </c>
      <c r="B321" s="311"/>
      <c r="C321" s="269">
        <f>C320/10</f>
        <v>260</v>
      </c>
      <c r="D321" s="270">
        <f t="shared" ref="D321" si="106">D320/10</f>
        <v>2.14025</v>
      </c>
      <c r="E321" s="270">
        <f>E320/$E$305</f>
        <v>6.2960000000000012</v>
      </c>
      <c r="F321" s="270">
        <f t="shared" ref="F321:P321" si="107">F320/$E$305</f>
        <v>6.2119999999999989</v>
      </c>
      <c r="G321" s="270">
        <f t="shared" si="107"/>
        <v>25.683</v>
      </c>
      <c r="H321" s="270">
        <f t="shared" si="107"/>
        <v>192.16400000000004</v>
      </c>
      <c r="I321" s="270">
        <f t="shared" si="107"/>
        <v>0.10799999999999998</v>
      </c>
      <c r="J321" s="270">
        <f t="shared" si="107"/>
        <v>41.606000000000002</v>
      </c>
      <c r="K321" s="270">
        <f t="shared" si="107"/>
        <v>49.312000000000005</v>
      </c>
      <c r="L321" s="270">
        <f t="shared" si="107"/>
        <v>2.4230000000000005</v>
      </c>
      <c r="M321" s="270">
        <f t="shared" si="107"/>
        <v>176.98799999999997</v>
      </c>
      <c r="N321" s="270">
        <f t="shared" si="107"/>
        <v>148.26400000000001</v>
      </c>
      <c r="O321" s="270">
        <f t="shared" si="107"/>
        <v>56.304000000000009</v>
      </c>
      <c r="P321" s="270">
        <f t="shared" si="107"/>
        <v>2.0619999999999998</v>
      </c>
    </row>
    <row r="322" spans="1:16" s="267" customFormat="1" x14ac:dyDescent="0.3">
      <c r="A322" s="310" t="s">
        <v>5</v>
      </c>
      <c r="B322" s="311"/>
      <c r="C322" s="279"/>
      <c r="D322" s="270"/>
      <c r="E322" s="273">
        <f>4*E320/$H$320</f>
        <v>0.13105472408983992</v>
      </c>
      <c r="F322" s="273">
        <f t="shared" ref="F322:G322" si="108">4*F320/$H$320</f>
        <v>0.129306217605795</v>
      </c>
      <c r="G322" s="273">
        <f t="shared" si="108"/>
        <v>0.5346058574967214</v>
      </c>
      <c r="H322" s="275"/>
      <c r="I322" s="275"/>
      <c r="J322" s="275"/>
      <c r="K322" s="275"/>
      <c r="L322" s="275"/>
      <c r="M322" s="275"/>
      <c r="N322" s="275"/>
      <c r="O322" s="275"/>
      <c r="P322" s="275"/>
    </row>
    <row r="323" spans="1:16" s="267" customFormat="1" x14ac:dyDescent="0.3">
      <c r="A323" s="310" t="s">
        <v>288</v>
      </c>
      <c r="B323" s="311"/>
      <c r="C323" s="280"/>
      <c r="D323" s="272"/>
      <c r="E323" s="276">
        <f>E321/E327</f>
        <v>6.6978723404255328E-2</v>
      </c>
      <c r="F323" s="276">
        <f t="shared" ref="F323:P323" si="109">F321/F327</f>
        <v>9.1352941176470567E-2</v>
      </c>
      <c r="G323" s="276">
        <f t="shared" si="109"/>
        <v>9.7284090909090903E-2</v>
      </c>
      <c r="H323" s="276">
        <f t="shared" si="109"/>
        <v>9.3921798631476067E-2</v>
      </c>
      <c r="I323" s="276">
        <f t="shared" si="109"/>
        <v>0.09</v>
      </c>
      <c r="J323" s="276">
        <f t="shared" si="109"/>
        <v>0.69343333333333335</v>
      </c>
      <c r="K323" s="276">
        <f t="shared" si="109"/>
        <v>7.0445714285714292E-2</v>
      </c>
      <c r="L323" s="276">
        <f t="shared" si="109"/>
        <v>0.24230000000000004</v>
      </c>
      <c r="M323" s="276">
        <f t="shared" si="109"/>
        <v>0.1608981818181818</v>
      </c>
      <c r="N323" s="276">
        <f t="shared" si="109"/>
        <v>0.13478545454545454</v>
      </c>
      <c r="O323" s="276">
        <f t="shared" si="109"/>
        <v>0.22521600000000003</v>
      </c>
      <c r="P323" s="276">
        <f t="shared" si="109"/>
        <v>0.17183333333333331</v>
      </c>
    </row>
    <row r="324" spans="1:16" s="267" customFormat="1" x14ac:dyDescent="0.3">
      <c r="A324" s="314" t="s">
        <v>41</v>
      </c>
      <c r="B324" s="315"/>
      <c r="C324" s="271">
        <f>C308+C312+C316+C320</f>
        <v>19642</v>
      </c>
      <c r="D324" s="272">
        <f>D308+D312+D316+D320</f>
        <v>146.94575</v>
      </c>
      <c r="E324" s="272">
        <f t="shared" ref="E324:P324" si="110">E308+E312+E316+E320</f>
        <v>687.78200000000015</v>
      </c>
      <c r="F324" s="272">
        <f t="shared" si="110"/>
        <v>512.99399999999991</v>
      </c>
      <c r="G324" s="272">
        <f t="shared" si="110"/>
        <v>1763.3489999999997</v>
      </c>
      <c r="H324" s="272">
        <f t="shared" si="110"/>
        <v>14678.347999999998</v>
      </c>
      <c r="I324" s="272">
        <f t="shared" si="110"/>
        <v>10.383999999999999</v>
      </c>
      <c r="J324" s="272">
        <f t="shared" si="110"/>
        <v>1855.9929999999999</v>
      </c>
      <c r="K324" s="272">
        <f t="shared" si="110"/>
        <v>6718.9579999999996</v>
      </c>
      <c r="L324" s="272">
        <f t="shared" si="110"/>
        <v>163.41500000000002</v>
      </c>
      <c r="M324" s="272">
        <f t="shared" si="110"/>
        <v>7802.6939999999977</v>
      </c>
      <c r="N324" s="272">
        <f t="shared" si="110"/>
        <v>11988.499</v>
      </c>
      <c r="O324" s="272">
        <f t="shared" si="110"/>
        <v>3685.59</v>
      </c>
      <c r="P324" s="272">
        <f t="shared" si="110"/>
        <v>187.07799999999997</v>
      </c>
    </row>
    <row r="325" spans="1:16" s="267" customFormat="1" x14ac:dyDescent="0.3">
      <c r="A325" s="310" t="s">
        <v>42</v>
      </c>
      <c r="B325" s="311"/>
      <c r="C325" s="271">
        <f>C324/10</f>
        <v>1964.2</v>
      </c>
      <c r="D325" s="272">
        <f>D324/10</f>
        <v>14.694575</v>
      </c>
      <c r="E325" s="272">
        <f t="shared" ref="E325:P325" si="111">E324/10</f>
        <v>68.778200000000012</v>
      </c>
      <c r="F325" s="272">
        <f t="shared" si="111"/>
        <v>51.299399999999991</v>
      </c>
      <c r="G325" s="272">
        <f t="shared" si="111"/>
        <v>176.33489999999998</v>
      </c>
      <c r="H325" s="272">
        <f t="shared" si="111"/>
        <v>1467.8347999999999</v>
      </c>
      <c r="I325" s="272">
        <f t="shared" si="111"/>
        <v>1.0383999999999998</v>
      </c>
      <c r="J325" s="272">
        <f t="shared" si="111"/>
        <v>185.5993</v>
      </c>
      <c r="K325" s="272">
        <f t="shared" si="111"/>
        <v>671.89580000000001</v>
      </c>
      <c r="L325" s="272">
        <f t="shared" si="111"/>
        <v>16.341500000000003</v>
      </c>
      <c r="M325" s="272">
        <f t="shared" si="111"/>
        <v>780.26939999999979</v>
      </c>
      <c r="N325" s="272">
        <f t="shared" si="111"/>
        <v>1198.8498999999999</v>
      </c>
      <c r="O325" s="272">
        <f t="shared" si="111"/>
        <v>368.55900000000003</v>
      </c>
      <c r="P325" s="272">
        <f t="shared" si="111"/>
        <v>18.707799999999999</v>
      </c>
    </row>
    <row r="326" spans="1:16" s="267" customFormat="1" x14ac:dyDescent="0.3">
      <c r="A326" s="310" t="s">
        <v>5</v>
      </c>
      <c r="B326" s="311"/>
      <c r="C326" s="271"/>
      <c r="D326" s="272"/>
      <c r="E326" s="273">
        <f>4*E325/$H$325</f>
        <v>0.18742763150185571</v>
      </c>
      <c r="F326" s="273">
        <f t="shared" ref="F326:G326" si="112">4*F325/$H$325</f>
        <v>0.13979611329558339</v>
      </c>
      <c r="G326" s="273">
        <f t="shared" si="112"/>
        <v>0.48053064282165814</v>
      </c>
      <c r="H326" s="275"/>
      <c r="I326" s="275"/>
      <c r="J326" s="275"/>
      <c r="K326" s="275"/>
      <c r="L326" s="275"/>
      <c r="M326" s="275"/>
      <c r="N326" s="275"/>
      <c r="O326" s="275"/>
      <c r="P326" s="275"/>
    </row>
    <row r="327" spans="1:16" s="267" customFormat="1" x14ac:dyDescent="0.3">
      <c r="A327" s="312" t="s">
        <v>289</v>
      </c>
      <c r="B327" s="313"/>
      <c r="C327" s="280"/>
      <c r="D327" s="281"/>
      <c r="E327" s="282">
        <v>94</v>
      </c>
      <c r="F327" s="282">
        <v>68</v>
      </c>
      <c r="G327" s="282">
        <v>264</v>
      </c>
      <c r="H327" s="282">
        <v>2046</v>
      </c>
      <c r="I327" s="283">
        <v>1.2</v>
      </c>
      <c r="J327" s="283">
        <v>60</v>
      </c>
      <c r="K327" s="283">
        <v>700</v>
      </c>
      <c r="L327" s="283">
        <v>10</v>
      </c>
      <c r="M327" s="283">
        <v>1100</v>
      </c>
      <c r="N327" s="283">
        <v>1100</v>
      </c>
      <c r="O327" s="283">
        <v>250</v>
      </c>
      <c r="P327" s="283">
        <v>12</v>
      </c>
    </row>
    <row r="328" spans="1:16" s="267" customFormat="1" x14ac:dyDescent="0.3">
      <c r="A328" s="310"/>
      <c r="B328" s="311"/>
      <c r="C328" s="280"/>
      <c r="D328" s="272"/>
      <c r="E328" s="284"/>
      <c r="F328" s="284"/>
      <c r="G328" s="284"/>
      <c r="H328" s="284"/>
      <c r="I328" s="284"/>
      <c r="J328" s="284"/>
      <c r="K328" s="284"/>
      <c r="L328" s="284"/>
      <c r="M328" s="284"/>
      <c r="N328" s="284"/>
      <c r="O328" s="284"/>
      <c r="P328" s="284"/>
    </row>
    <row r="329" spans="1:16" s="267" customFormat="1" x14ac:dyDescent="0.3">
      <c r="A329" s="310" t="s">
        <v>288</v>
      </c>
      <c r="B329" s="311"/>
      <c r="C329" s="280"/>
      <c r="D329" s="272"/>
      <c r="E329" s="276">
        <f>E325/E327</f>
        <v>0.73168297872340438</v>
      </c>
      <c r="F329" s="276">
        <f t="shared" ref="F329:P329" si="113">F325/F327</f>
        <v>0.75440294117647044</v>
      </c>
      <c r="G329" s="276">
        <f t="shared" si="113"/>
        <v>0.66793522727272714</v>
      </c>
      <c r="H329" s="276">
        <f t="shared" si="113"/>
        <v>0.71741681329423257</v>
      </c>
      <c r="I329" s="276">
        <f t="shared" si="113"/>
        <v>0.86533333333333318</v>
      </c>
      <c r="J329" s="276">
        <f t="shared" si="113"/>
        <v>3.0933216666666667</v>
      </c>
      <c r="K329" s="276">
        <f t="shared" si="113"/>
        <v>0.9598511428571429</v>
      </c>
      <c r="L329" s="276">
        <f t="shared" si="113"/>
        <v>1.6341500000000004</v>
      </c>
      <c r="M329" s="276">
        <f t="shared" si="113"/>
        <v>0.70933581818181801</v>
      </c>
      <c r="N329" s="276">
        <f t="shared" si="113"/>
        <v>1.0898635454545453</v>
      </c>
      <c r="O329" s="276">
        <f t="shared" si="113"/>
        <v>1.4742360000000001</v>
      </c>
      <c r="P329" s="276">
        <f t="shared" si="113"/>
        <v>1.5589833333333332</v>
      </c>
    </row>
  </sheetData>
  <mergeCells count="211">
    <mergeCell ref="A313:B313"/>
    <mergeCell ref="A314:B314"/>
    <mergeCell ref="A315:B315"/>
    <mergeCell ref="A316:B316"/>
    <mergeCell ref="A317:B317"/>
    <mergeCell ref="A318:B318"/>
    <mergeCell ref="A308:B308"/>
    <mergeCell ref="A309:B309"/>
    <mergeCell ref="A325:B325"/>
    <mergeCell ref="A310:B310"/>
    <mergeCell ref="A311:B311"/>
    <mergeCell ref="A312:B312"/>
    <mergeCell ref="A326:B326"/>
    <mergeCell ref="A327:B327"/>
    <mergeCell ref="A328:B328"/>
    <mergeCell ref="A329:B329"/>
    <mergeCell ref="A319:B319"/>
    <mergeCell ref="A320:B320"/>
    <mergeCell ref="A321:B321"/>
    <mergeCell ref="A322:B322"/>
    <mergeCell ref="A323:B323"/>
    <mergeCell ref="A324:B324"/>
    <mergeCell ref="D306:D307"/>
    <mergeCell ref="E306:G306"/>
    <mergeCell ref="H306:H307"/>
    <mergeCell ref="I306:L306"/>
    <mergeCell ref="A306:B307"/>
    <mergeCell ref="C306:C307"/>
    <mergeCell ref="M306:P306"/>
    <mergeCell ref="A290:P290"/>
    <mergeCell ref="A296:B296"/>
    <mergeCell ref="A297:P297"/>
    <mergeCell ref="A301:B301"/>
    <mergeCell ref="A302:B302"/>
    <mergeCell ref="A303:B303"/>
    <mergeCell ref="I274:L274"/>
    <mergeCell ref="M274:P274"/>
    <mergeCell ref="A276:P276"/>
    <mergeCell ref="A284:B284"/>
    <mergeCell ref="A285:P285"/>
    <mergeCell ref="A289:B289"/>
    <mergeCell ref="D274:D275"/>
    <mergeCell ref="A274:A275"/>
    <mergeCell ref="B274:B275"/>
    <mergeCell ref="C274:C275"/>
    <mergeCell ref="E274:G274"/>
    <mergeCell ref="H274:H275"/>
    <mergeCell ref="A259:P259"/>
    <mergeCell ref="A266:B266"/>
    <mergeCell ref="A267:P267"/>
    <mergeCell ref="A271:B271"/>
    <mergeCell ref="A272:B272"/>
    <mergeCell ref="A273:H273"/>
    <mergeCell ref="I245:L245"/>
    <mergeCell ref="M245:P245"/>
    <mergeCell ref="A247:P247"/>
    <mergeCell ref="A253:B253"/>
    <mergeCell ref="A254:P254"/>
    <mergeCell ref="A258:B258"/>
    <mergeCell ref="D245:D246"/>
    <mergeCell ref="A245:A246"/>
    <mergeCell ref="B245:B246"/>
    <mergeCell ref="C245:C246"/>
    <mergeCell ref="E245:G245"/>
    <mergeCell ref="H245:H246"/>
    <mergeCell ref="A229:P229"/>
    <mergeCell ref="A237:B237"/>
    <mergeCell ref="A238:P238"/>
    <mergeCell ref="A242:B242"/>
    <mergeCell ref="A243:B243"/>
    <mergeCell ref="A244:H244"/>
    <mergeCell ref="I213:L213"/>
    <mergeCell ref="M213:P213"/>
    <mergeCell ref="A215:P215"/>
    <mergeCell ref="A223:B223"/>
    <mergeCell ref="A224:P224"/>
    <mergeCell ref="A228:B228"/>
    <mergeCell ref="D213:D214"/>
    <mergeCell ref="A213:A214"/>
    <mergeCell ref="B213:B214"/>
    <mergeCell ref="C213:C214"/>
    <mergeCell ref="E213:G213"/>
    <mergeCell ref="H213:H214"/>
    <mergeCell ref="A198:P198"/>
    <mergeCell ref="A205:B205"/>
    <mergeCell ref="A206:P206"/>
    <mergeCell ref="A210:B210"/>
    <mergeCell ref="A211:B211"/>
    <mergeCell ref="A212:H212"/>
    <mergeCell ref="I183:L183"/>
    <mergeCell ref="M183:P183"/>
    <mergeCell ref="A185:P185"/>
    <mergeCell ref="A192:B192"/>
    <mergeCell ref="A193:P193"/>
    <mergeCell ref="A197:B197"/>
    <mergeCell ref="D183:D184"/>
    <mergeCell ref="A183:A184"/>
    <mergeCell ref="B183:B184"/>
    <mergeCell ref="C183:C184"/>
    <mergeCell ref="E183:G183"/>
    <mergeCell ref="H183:H184"/>
    <mergeCell ref="A168:P168"/>
    <mergeCell ref="A175:B175"/>
    <mergeCell ref="A176:P176"/>
    <mergeCell ref="A180:B180"/>
    <mergeCell ref="A181:B181"/>
    <mergeCell ref="A182:H182"/>
    <mergeCell ref="I153:L153"/>
    <mergeCell ref="M153:P153"/>
    <mergeCell ref="A155:P155"/>
    <mergeCell ref="A162:B162"/>
    <mergeCell ref="A163:P163"/>
    <mergeCell ref="A167:B167"/>
    <mergeCell ref="D153:D154"/>
    <mergeCell ref="A153:A154"/>
    <mergeCell ref="B153:B154"/>
    <mergeCell ref="C153:C154"/>
    <mergeCell ref="E153:G153"/>
    <mergeCell ref="H153:H154"/>
    <mergeCell ref="A138:P138"/>
    <mergeCell ref="A145:B145"/>
    <mergeCell ref="A146:P146"/>
    <mergeCell ref="A150:B150"/>
    <mergeCell ref="A151:B151"/>
    <mergeCell ref="A152:H152"/>
    <mergeCell ref="I124:L124"/>
    <mergeCell ref="M124:P124"/>
    <mergeCell ref="A126:P126"/>
    <mergeCell ref="A132:B132"/>
    <mergeCell ref="A133:P133"/>
    <mergeCell ref="A137:B137"/>
    <mergeCell ref="D124:D125"/>
    <mergeCell ref="A124:A125"/>
    <mergeCell ref="B124:B125"/>
    <mergeCell ref="C124:C125"/>
    <mergeCell ref="E124:G124"/>
    <mergeCell ref="H124:H125"/>
    <mergeCell ref="A109:P109"/>
    <mergeCell ref="A116:B116"/>
    <mergeCell ref="A117:P117"/>
    <mergeCell ref="A121:B121"/>
    <mergeCell ref="A122:B122"/>
    <mergeCell ref="A123:H123"/>
    <mergeCell ref="I95:L95"/>
    <mergeCell ref="M95:P95"/>
    <mergeCell ref="A97:P97"/>
    <mergeCell ref="A103:B103"/>
    <mergeCell ref="A104:P104"/>
    <mergeCell ref="A108:B108"/>
    <mergeCell ref="D95:D96"/>
    <mergeCell ref="A95:A96"/>
    <mergeCell ref="B95:B96"/>
    <mergeCell ref="C95:C96"/>
    <mergeCell ref="E95:G95"/>
    <mergeCell ref="H95:H96"/>
    <mergeCell ref="A80:P80"/>
    <mergeCell ref="A87:B87"/>
    <mergeCell ref="A88:P88"/>
    <mergeCell ref="A92:B92"/>
    <mergeCell ref="A93:B93"/>
    <mergeCell ref="A94:H94"/>
    <mergeCell ref="I65:L65"/>
    <mergeCell ref="M65:P65"/>
    <mergeCell ref="A67:P67"/>
    <mergeCell ref="A74:B74"/>
    <mergeCell ref="A75:P75"/>
    <mergeCell ref="A79:B79"/>
    <mergeCell ref="D65:D66"/>
    <mergeCell ref="A65:A66"/>
    <mergeCell ref="B65:B66"/>
    <mergeCell ref="C65:C66"/>
    <mergeCell ref="E65:G65"/>
    <mergeCell ref="H65:H66"/>
    <mergeCell ref="A1:P1"/>
    <mergeCell ref="A6:H6"/>
    <mergeCell ref="A49:P49"/>
    <mergeCell ref="A57:B57"/>
    <mergeCell ref="A58:P58"/>
    <mergeCell ref="A62:B62"/>
    <mergeCell ref="A63:B63"/>
    <mergeCell ref="A64:H64"/>
    <mergeCell ref="I35:L35"/>
    <mergeCell ref="M35:P35"/>
    <mergeCell ref="A37:P37"/>
    <mergeCell ref="A43:B43"/>
    <mergeCell ref="A44:P44"/>
    <mergeCell ref="A48:B48"/>
    <mergeCell ref="D35:D36"/>
    <mergeCell ref="A35:A36"/>
    <mergeCell ref="B35:B36"/>
    <mergeCell ref="C35:C36"/>
    <mergeCell ref="E35:G35"/>
    <mergeCell ref="H35:H36"/>
    <mergeCell ref="A20:P20"/>
    <mergeCell ref="A27:B27"/>
    <mergeCell ref="A28:P28"/>
    <mergeCell ref="A32:B32"/>
    <mergeCell ref="A33:B33"/>
    <mergeCell ref="A34:H34"/>
    <mergeCell ref="I4:L4"/>
    <mergeCell ref="M4:P4"/>
    <mergeCell ref="A7:P7"/>
    <mergeCell ref="A14:B14"/>
    <mergeCell ref="A15:P15"/>
    <mergeCell ref="A19:B19"/>
    <mergeCell ref="D4:D5"/>
    <mergeCell ref="A4:A5"/>
    <mergeCell ref="B4:B5"/>
    <mergeCell ref="C4:C5"/>
    <mergeCell ref="E4:G4"/>
    <mergeCell ref="H4:H5"/>
  </mergeCells>
  <pageMargins left="1.299212598425197" right="0.70866141732283472" top="0.74803149606299213" bottom="0.74803149606299213" header="0.31496062992125984" footer="0.31496062992125984"/>
  <pageSetup paperSize="9" scale="72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outlinePr summaryBelow="0" summaryRight="0"/>
    <pageSetUpPr autoPageBreaks="0"/>
  </sheetPr>
  <dimension ref="A1:K310"/>
  <sheetViews>
    <sheetView zoomScale="75" zoomScaleNormal="75" workbookViewId="0">
      <selection activeCell="G281" sqref="G281"/>
    </sheetView>
  </sheetViews>
  <sheetFormatPr defaultColWidth="9.109375" defaultRowHeight="13.2" x14ac:dyDescent="0.25"/>
  <cols>
    <col min="1" max="1" width="5.5546875" style="49" customWidth="1"/>
    <col min="2" max="2" width="4.109375" style="49" customWidth="1"/>
    <col min="3" max="3" width="44.5546875" style="24" customWidth="1"/>
    <col min="4" max="4" width="6.44140625" style="25" customWidth="1"/>
    <col min="5" max="5" width="4.5546875" style="55" customWidth="1"/>
    <col min="6" max="6" width="13.88671875" style="114" customWidth="1"/>
    <col min="7" max="7" width="44.88671875" style="55" customWidth="1"/>
    <col min="8" max="8" width="10.33203125" style="114" customWidth="1"/>
    <col min="9" max="9" width="5.44140625" style="55" hidden="1" customWidth="1"/>
    <col min="10" max="10" width="24.33203125" style="55" hidden="1" customWidth="1"/>
    <col min="11" max="16384" width="9.109375" style="55"/>
  </cols>
  <sheetData>
    <row r="1" spans="1:11" s="51" customFormat="1" x14ac:dyDescent="0.25">
      <c r="A1" s="47"/>
      <c r="B1" s="47"/>
      <c r="C1" s="1"/>
      <c r="D1" s="2"/>
      <c r="F1" s="52"/>
      <c r="H1" s="52"/>
    </row>
    <row r="2" spans="1:11" x14ac:dyDescent="0.25">
      <c r="A2" s="3"/>
      <c r="B2" s="3"/>
      <c r="C2" s="4"/>
      <c r="D2" s="5"/>
      <c r="E2" s="53"/>
      <c r="F2" s="54"/>
      <c r="G2" s="53"/>
      <c r="H2" s="54"/>
      <c r="I2" s="53"/>
      <c r="J2" s="53"/>
    </row>
    <row r="3" spans="1:11" ht="12" customHeight="1" x14ac:dyDescent="0.25">
      <c r="A3" s="316" t="s">
        <v>84</v>
      </c>
      <c r="B3" s="316"/>
      <c r="C3" s="339"/>
      <c r="D3" s="339"/>
      <c r="E3" s="339"/>
      <c r="F3" s="339"/>
      <c r="G3" s="339"/>
      <c r="H3" s="339"/>
    </row>
    <row r="4" spans="1:11" x14ac:dyDescent="0.25">
      <c r="A4" s="316"/>
      <c r="B4" s="316"/>
      <c r="C4" s="316"/>
      <c r="D4" s="316"/>
      <c r="E4" s="316"/>
      <c r="F4" s="316"/>
      <c r="G4" s="316"/>
      <c r="H4" s="116"/>
      <c r="I4" s="316"/>
      <c r="J4" s="316"/>
    </row>
    <row r="5" spans="1:11" x14ac:dyDescent="0.25">
      <c r="A5" s="3"/>
      <c r="B5" s="3"/>
      <c r="C5" s="123" t="s">
        <v>77</v>
      </c>
      <c r="D5" s="5"/>
      <c r="E5" s="53"/>
      <c r="F5" s="54"/>
      <c r="G5" s="123" t="s">
        <v>65</v>
      </c>
      <c r="H5" s="54"/>
      <c r="I5" s="53"/>
      <c r="J5" s="48" t="s">
        <v>239</v>
      </c>
    </row>
    <row r="6" spans="1:11" s="58" customFormat="1" x14ac:dyDescent="0.3">
      <c r="A6" s="48"/>
      <c r="B6" s="48"/>
      <c r="C6" s="3"/>
      <c r="D6" s="5"/>
      <c r="E6" s="56"/>
      <c r="F6" s="57"/>
      <c r="G6" s="56"/>
      <c r="H6" s="57"/>
      <c r="I6" s="56"/>
      <c r="J6" s="56"/>
    </row>
    <row r="7" spans="1:11" s="59" customFormat="1" ht="12.75" customHeight="1" x14ac:dyDescent="0.3">
      <c r="A7" s="317" t="s">
        <v>33</v>
      </c>
      <c r="B7" s="124"/>
      <c r="C7" s="317" t="s">
        <v>32</v>
      </c>
      <c r="D7" s="317" t="s">
        <v>0</v>
      </c>
      <c r="E7" s="340"/>
      <c r="F7" s="343"/>
      <c r="G7" s="317" t="s">
        <v>32</v>
      </c>
      <c r="H7" s="317" t="s">
        <v>0</v>
      </c>
      <c r="I7" s="317"/>
      <c r="J7" s="317" t="s">
        <v>32</v>
      </c>
    </row>
    <row r="8" spans="1:11" s="59" customFormat="1" x14ac:dyDescent="0.3">
      <c r="A8" s="318"/>
      <c r="B8" s="125"/>
      <c r="C8" s="318"/>
      <c r="D8" s="318"/>
      <c r="E8" s="341"/>
      <c r="F8" s="344"/>
      <c r="G8" s="318"/>
      <c r="H8" s="318"/>
      <c r="I8" s="318"/>
      <c r="J8" s="318"/>
    </row>
    <row r="9" spans="1:11" s="59" customFormat="1" ht="12.75" customHeight="1" x14ac:dyDescent="0.3">
      <c r="A9" s="331" t="s">
        <v>37</v>
      </c>
      <c r="B9" s="328"/>
      <c r="C9" s="328"/>
      <c r="D9" s="328"/>
      <c r="E9" s="328"/>
      <c r="F9" s="328"/>
      <c r="G9" s="328" t="s">
        <v>37</v>
      </c>
      <c r="H9" s="328"/>
    </row>
    <row r="10" spans="1:11" s="60" customFormat="1" ht="12" customHeight="1" x14ac:dyDescent="0.3">
      <c r="A10" s="342" t="s">
        <v>54</v>
      </c>
      <c r="B10" s="342"/>
      <c r="C10" s="342"/>
      <c r="D10" s="342"/>
      <c r="E10" s="342"/>
      <c r="F10" s="342"/>
      <c r="G10" s="342" t="s">
        <v>54</v>
      </c>
      <c r="H10" s="342"/>
    </row>
    <row r="11" spans="1:11" s="61" customFormat="1" ht="25.5" customHeight="1" x14ac:dyDescent="0.3">
      <c r="A11" s="6"/>
      <c r="B11" s="6"/>
      <c r="C11" s="6" t="s">
        <v>85</v>
      </c>
      <c r="D11" s="6">
        <v>230</v>
      </c>
      <c r="F11" s="127" t="s">
        <v>379</v>
      </c>
      <c r="G11" s="6" t="s">
        <v>380</v>
      </c>
      <c r="H11" s="7">
        <v>200</v>
      </c>
      <c r="I11" s="6" t="s">
        <v>79</v>
      </c>
      <c r="J11" s="6" t="s">
        <v>139</v>
      </c>
      <c r="K11" s="235"/>
    </row>
    <row r="12" spans="1:11" s="61" customFormat="1" ht="24" customHeight="1" x14ac:dyDescent="0.3">
      <c r="A12" s="6"/>
      <c r="B12" s="6"/>
      <c r="C12" s="6" t="s">
        <v>86</v>
      </c>
      <c r="D12" s="6">
        <v>40</v>
      </c>
      <c r="F12" s="32" t="s">
        <v>46</v>
      </c>
      <c r="G12" s="6" t="s">
        <v>296</v>
      </c>
      <c r="H12" s="7">
        <v>70</v>
      </c>
      <c r="I12" s="6" t="s">
        <v>46</v>
      </c>
      <c r="J12" s="6" t="s">
        <v>67</v>
      </c>
    </row>
    <row r="13" spans="1:11" s="61" customFormat="1" ht="24.6" customHeight="1" x14ac:dyDescent="0.3">
      <c r="A13" s="6"/>
      <c r="B13" s="6"/>
      <c r="C13" s="6" t="s">
        <v>88</v>
      </c>
      <c r="D13" s="6">
        <v>120</v>
      </c>
      <c r="F13" s="32"/>
      <c r="G13" s="6" t="s">
        <v>105</v>
      </c>
      <c r="H13" s="7">
        <v>100</v>
      </c>
      <c r="I13" s="6" t="s">
        <v>47</v>
      </c>
      <c r="J13" s="6" t="s">
        <v>95</v>
      </c>
    </row>
    <row r="14" spans="1:11" s="61" customFormat="1" x14ac:dyDescent="0.3">
      <c r="A14" s="6"/>
      <c r="B14" s="6"/>
      <c r="C14" s="6" t="s">
        <v>87</v>
      </c>
      <c r="D14" s="6">
        <v>200</v>
      </c>
      <c r="F14" s="127">
        <v>382</v>
      </c>
      <c r="G14" s="6" t="s">
        <v>60</v>
      </c>
      <c r="H14" s="7">
        <v>200</v>
      </c>
      <c r="I14" s="6"/>
      <c r="J14" s="6" t="s">
        <v>60</v>
      </c>
    </row>
    <row r="15" spans="1:11" s="61" customFormat="1" x14ac:dyDescent="0.3">
      <c r="A15" s="6"/>
      <c r="B15" s="6"/>
      <c r="C15" s="6" t="s">
        <v>6</v>
      </c>
      <c r="D15" s="6">
        <v>20</v>
      </c>
      <c r="F15" s="62"/>
      <c r="G15" s="6"/>
      <c r="H15" s="7"/>
      <c r="I15" s="63"/>
      <c r="J15" s="6" t="s">
        <v>105</v>
      </c>
    </row>
    <row r="16" spans="1:11" s="61" customFormat="1" ht="13.8" x14ac:dyDescent="0.3">
      <c r="A16" s="319" t="s">
        <v>78</v>
      </c>
      <c r="B16" s="324"/>
      <c r="C16" s="320"/>
      <c r="D16" s="64">
        <f>SUM(D11:D15)</f>
        <v>610</v>
      </c>
      <c r="F16" s="62"/>
      <c r="G16" s="65" t="s">
        <v>78</v>
      </c>
      <c r="H16" s="66">
        <f>SUM(H11:H15)</f>
        <v>570</v>
      </c>
      <c r="I16" s="63"/>
      <c r="J16" s="65" t="s">
        <v>78</v>
      </c>
    </row>
    <row r="17" spans="1:10" s="67" customFormat="1" ht="13.8" x14ac:dyDescent="0.3">
      <c r="D17" s="68"/>
      <c r="F17" s="69"/>
    </row>
    <row r="18" spans="1:10" s="67" customFormat="1" ht="13.5" customHeight="1" x14ac:dyDescent="0.3">
      <c r="D18" s="68"/>
      <c r="F18" s="11"/>
      <c r="G18" s="330" t="s">
        <v>56</v>
      </c>
      <c r="H18" s="330"/>
      <c r="I18" s="70"/>
      <c r="J18" s="71" t="s">
        <v>56</v>
      </c>
    </row>
    <row r="19" spans="1:10" s="67" customFormat="1" ht="13.8" x14ac:dyDescent="0.3">
      <c r="D19" s="68"/>
      <c r="F19" s="11"/>
      <c r="G19" s="6" t="s">
        <v>64</v>
      </c>
      <c r="H19" s="8">
        <v>20</v>
      </c>
      <c r="I19" s="70"/>
      <c r="J19" s="6" t="s">
        <v>64</v>
      </c>
    </row>
    <row r="20" spans="1:10" s="67" customFormat="1" ht="13.8" x14ac:dyDescent="0.3">
      <c r="D20" s="68"/>
      <c r="F20" s="11"/>
      <c r="G20" s="6" t="s">
        <v>49</v>
      </c>
      <c r="H20" s="8">
        <v>90</v>
      </c>
      <c r="I20" s="70"/>
      <c r="J20" s="6" t="s">
        <v>49</v>
      </c>
    </row>
    <row r="21" spans="1:10" s="67" customFormat="1" ht="13.8" x14ac:dyDescent="0.3">
      <c r="D21" s="68"/>
      <c r="F21" s="11"/>
      <c r="G21" s="6" t="s">
        <v>66</v>
      </c>
      <c r="H21" s="8">
        <v>150</v>
      </c>
      <c r="I21" s="70"/>
      <c r="J21" s="6" t="s">
        <v>66</v>
      </c>
    </row>
    <row r="22" spans="1:10" s="60" customFormat="1" ht="27" customHeight="1" x14ac:dyDescent="0.3">
      <c r="D22" s="72"/>
      <c r="F22" s="319" t="s">
        <v>58</v>
      </c>
      <c r="G22" s="332"/>
      <c r="H22" s="66">
        <f>SUM(H19:H21)</f>
        <v>260</v>
      </c>
      <c r="I22" s="65"/>
      <c r="J22" s="65" t="s">
        <v>58</v>
      </c>
    </row>
    <row r="23" spans="1:10" s="60" customFormat="1" ht="13.8" x14ac:dyDescent="0.3">
      <c r="A23" s="328" t="s">
        <v>8</v>
      </c>
      <c r="B23" s="328"/>
      <c r="C23" s="328"/>
      <c r="D23" s="328"/>
      <c r="E23" s="328"/>
      <c r="F23" s="328"/>
      <c r="G23" s="328" t="s">
        <v>8</v>
      </c>
      <c r="H23" s="328"/>
    </row>
    <row r="24" spans="1:10" s="61" customFormat="1" ht="32.25" customHeight="1" x14ac:dyDescent="0.25">
      <c r="A24" s="6"/>
      <c r="B24" s="6"/>
      <c r="C24" s="6" t="s">
        <v>140</v>
      </c>
      <c r="D24" s="74">
        <v>250</v>
      </c>
      <c r="F24" s="8" t="s">
        <v>283</v>
      </c>
      <c r="G24" s="6" t="s">
        <v>140</v>
      </c>
      <c r="H24" s="74">
        <v>250</v>
      </c>
      <c r="I24" s="6"/>
      <c r="J24" s="6" t="s">
        <v>140</v>
      </c>
    </row>
    <row r="25" spans="1:10" s="61" customFormat="1" x14ac:dyDescent="0.25">
      <c r="A25" s="84">
        <v>88</v>
      </c>
      <c r="B25" s="84"/>
      <c r="C25" s="6" t="s">
        <v>141</v>
      </c>
      <c r="D25" s="74">
        <v>80</v>
      </c>
      <c r="F25" s="128">
        <v>260</v>
      </c>
      <c r="G25" s="6" t="s">
        <v>290</v>
      </c>
      <c r="H25" s="74">
        <v>90</v>
      </c>
      <c r="I25" s="84">
        <v>88</v>
      </c>
      <c r="J25" s="6" t="s">
        <v>141</v>
      </c>
    </row>
    <row r="26" spans="1:10" s="61" customFormat="1" ht="39.6" x14ac:dyDescent="0.25">
      <c r="A26" s="84">
        <v>260</v>
      </c>
      <c r="B26" s="84"/>
      <c r="C26" s="6" t="s">
        <v>145</v>
      </c>
      <c r="D26" s="96">
        <v>155</v>
      </c>
      <c r="F26" s="8"/>
      <c r="G26" s="6" t="s">
        <v>381</v>
      </c>
      <c r="H26" s="96">
        <v>155</v>
      </c>
      <c r="I26" s="84">
        <v>260</v>
      </c>
      <c r="J26" s="6" t="s">
        <v>145</v>
      </c>
    </row>
    <row r="27" spans="1:10" s="61" customFormat="1" x14ac:dyDescent="0.25">
      <c r="A27" s="6"/>
      <c r="B27" s="6"/>
      <c r="C27" s="6" t="s">
        <v>142</v>
      </c>
      <c r="D27" s="74">
        <v>200</v>
      </c>
      <c r="F27" s="32"/>
      <c r="G27" s="6" t="s">
        <v>142</v>
      </c>
      <c r="H27" s="74">
        <v>200</v>
      </c>
      <c r="I27" s="6"/>
      <c r="J27" s="6" t="s">
        <v>142</v>
      </c>
    </row>
    <row r="28" spans="1:10" s="61" customFormat="1" x14ac:dyDescent="0.25">
      <c r="A28" s="6"/>
      <c r="B28" s="6"/>
      <c r="C28" s="73" t="s">
        <v>143</v>
      </c>
      <c r="D28" s="74">
        <v>200</v>
      </c>
      <c r="F28" s="127">
        <v>342</v>
      </c>
      <c r="G28" s="73" t="s">
        <v>203</v>
      </c>
      <c r="H28" s="74">
        <v>200</v>
      </c>
      <c r="I28" s="6"/>
      <c r="J28" s="73" t="s">
        <v>203</v>
      </c>
    </row>
    <row r="29" spans="1:10" s="61" customFormat="1" x14ac:dyDescent="0.25">
      <c r="A29" s="6"/>
      <c r="B29" s="6"/>
      <c r="C29" s="6" t="s">
        <v>144</v>
      </c>
      <c r="D29" s="74">
        <v>60</v>
      </c>
      <c r="F29" s="32"/>
      <c r="G29" s="6" t="s">
        <v>92</v>
      </c>
      <c r="H29" s="74">
        <v>50</v>
      </c>
      <c r="I29" s="6"/>
      <c r="J29" s="6" t="s">
        <v>92</v>
      </c>
    </row>
    <row r="30" spans="1:10" s="61" customFormat="1" x14ac:dyDescent="0.25">
      <c r="A30" s="6"/>
      <c r="B30" s="6"/>
      <c r="C30" s="6" t="s">
        <v>92</v>
      </c>
      <c r="D30" s="74">
        <v>20</v>
      </c>
      <c r="F30" s="32"/>
      <c r="G30" s="6"/>
      <c r="H30" s="74"/>
      <c r="I30" s="6"/>
      <c r="J30" s="6"/>
    </row>
    <row r="31" spans="1:10" s="61" customFormat="1" ht="13.8" x14ac:dyDescent="0.3">
      <c r="A31" s="65"/>
      <c r="B31" s="65"/>
      <c r="C31" s="65" t="s">
        <v>20</v>
      </c>
      <c r="D31" s="64">
        <f>SUM(D24:D30)</f>
        <v>965</v>
      </c>
      <c r="F31" s="62"/>
      <c r="G31" s="65" t="s">
        <v>7</v>
      </c>
      <c r="H31" s="75">
        <f>SUM(H24:H30)</f>
        <v>945</v>
      </c>
      <c r="I31" s="63"/>
      <c r="J31" s="65" t="s">
        <v>7</v>
      </c>
    </row>
    <row r="32" spans="1:10" s="67" customFormat="1" ht="13.5" customHeight="1" x14ac:dyDescent="0.3">
      <c r="D32" s="68"/>
      <c r="F32" s="69"/>
    </row>
    <row r="33" spans="1:10" s="60" customFormat="1" ht="13.8" x14ac:dyDescent="0.3">
      <c r="A33" s="328" t="s">
        <v>43</v>
      </c>
      <c r="B33" s="328"/>
      <c r="C33" s="328"/>
      <c r="D33" s="328"/>
      <c r="E33" s="328"/>
      <c r="F33" s="328"/>
      <c r="G33" s="328" t="s">
        <v>43</v>
      </c>
      <c r="H33" s="328"/>
    </row>
    <row r="34" spans="1:10" s="61" customFormat="1" x14ac:dyDescent="0.25">
      <c r="A34" s="9"/>
      <c r="B34" s="9"/>
      <c r="C34" s="9"/>
      <c r="D34" s="9"/>
      <c r="F34" s="62"/>
      <c r="G34" s="6" t="s">
        <v>69</v>
      </c>
      <c r="H34" s="8">
        <v>20</v>
      </c>
      <c r="I34" s="63"/>
      <c r="J34" s="6" t="s">
        <v>69</v>
      </c>
    </row>
    <row r="35" spans="1:10" s="61" customFormat="1" x14ac:dyDescent="0.25">
      <c r="A35" s="9"/>
      <c r="B35" s="9"/>
      <c r="C35" s="9"/>
      <c r="D35" s="9"/>
      <c r="F35" s="62"/>
      <c r="G35" s="6" t="s">
        <v>49</v>
      </c>
      <c r="H35" s="8">
        <v>90</v>
      </c>
      <c r="I35" s="63"/>
      <c r="J35" s="6" t="s">
        <v>49</v>
      </c>
    </row>
    <row r="36" spans="1:10" s="61" customFormat="1" x14ac:dyDescent="0.25">
      <c r="A36" s="9"/>
      <c r="B36" s="9"/>
      <c r="C36" s="9"/>
      <c r="D36" s="9"/>
      <c r="F36" s="62"/>
      <c r="G36" s="6" t="s">
        <v>50</v>
      </c>
      <c r="H36" s="8">
        <v>150</v>
      </c>
      <c r="I36" s="63"/>
      <c r="J36" s="6" t="s">
        <v>50</v>
      </c>
    </row>
    <row r="37" spans="1:10" s="67" customFormat="1" ht="13.8" x14ac:dyDescent="0.3">
      <c r="A37" s="76"/>
      <c r="B37" s="76"/>
      <c r="C37" s="77"/>
      <c r="D37" s="78"/>
      <c r="F37" s="11"/>
      <c r="G37" s="65" t="s">
        <v>44</v>
      </c>
      <c r="H37" s="66">
        <f>SUM(H34:H36)</f>
        <v>260</v>
      </c>
      <c r="I37" s="70"/>
      <c r="J37" s="65" t="s">
        <v>44</v>
      </c>
    </row>
    <row r="38" spans="1:10" s="79" customFormat="1" x14ac:dyDescent="0.25">
      <c r="D38" s="80"/>
      <c r="F38" s="81"/>
      <c r="H38" s="81"/>
    </row>
    <row r="39" spans="1:10" s="58" customFormat="1" ht="25.5" customHeight="1" x14ac:dyDescent="0.3">
      <c r="A39" s="331" t="s">
        <v>30</v>
      </c>
      <c r="B39" s="328"/>
      <c r="C39" s="328"/>
      <c r="D39" s="328"/>
      <c r="E39" s="328"/>
      <c r="F39" s="328"/>
      <c r="G39" s="328" t="s">
        <v>30</v>
      </c>
      <c r="H39" s="328"/>
    </row>
    <row r="40" spans="1:10" s="60" customFormat="1" ht="13.8" x14ac:dyDescent="0.3">
      <c r="A40" s="328" t="s">
        <v>54</v>
      </c>
      <c r="B40" s="328"/>
      <c r="C40" s="328"/>
      <c r="D40" s="328"/>
      <c r="E40" s="328"/>
      <c r="F40" s="328"/>
      <c r="G40" s="328" t="s">
        <v>54</v>
      </c>
      <c r="H40" s="328"/>
    </row>
    <row r="41" spans="1:10" s="61" customFormat="1" ht="26.4" x14ac:dyDescent="0.25">
      <c r="A41" s="6"/>
      <c r="B41" s="6"/>
      <c r="C41" s="6" t="s">
        <v>110</v>
      </c>
      <c r="D41" s="6">
        <v>60</v>
      </c>
      <c r="F41" s="32" t="s">
        <v>48</v>
      </c>
      <c r="G41" s="6" t="s">
        <v>70</v>
      </c>
      <c r="H41" s="8">
        <v>60</v>
      </c>
      <c r="I41" s="6" t="s">
        <v>48</v>
      </c>
      <c r="J41" s="6" t="s">
        <v>70</v>
      </c>
    </row>
    <row r="42" spans="1:10" s="61" customFormat="1" ht="39.6" x14ac:dyDescent="0.25">
      <c r="A42" s="6"/>
      <c r="B42" s="6"/>
      <c r="C42" s="6" t="s">
        <v>89</v>
      </c>
      <c r="D42" s="6">
        <v>175</v>
      </c>
      <c r="F42" s="127">
        <v>259</v>
      </c>
      <c r="G42" s="6" t="s">
        <v>291</v>
      </c>
      <c r="H42" s="8">
        <v>175</v>
      </c>
      <c r="I42" s="6" t="s">
        <v>72</v>
      </c>
      <c r="J42" s="6" t="s">
        <v>89</v>
      </c>
    </row>
    <row r="43" spans="1:10" s="61" customFormat="1" x14ac:dyDescent="0.3">
      <c r="A43" s="6"/>
      <c r="B43" s="6"/>
      <c r="C43" s="6" t="s">
        <v>90</v>
      </c>
      <c r="D43" s="6">
        <v>200</v>
      </c>
      <c r="F43" s="32"/>
      <c r="G43" s="6" t="s">
        <v>302</v>
      </c>
      <c r="H43" s="6">
        <v>200</v>
      </c>
      <c r="I43" s="6"/>
      <c r="J43" s="6" t="s">
        <v>91</v>
      </c>
    </row>
    <row r="44" spans="1:10" s="61" customFormat="1" ht="26.4" x14ac:dyDescent="0.25">
      <c r="A44" s="6"/>
      <c r="B44" s="6"/>
      <c r="C44" s="6" t="s">
        <v>93</v>
      </c>
      <c r="D44" s="6">
        <v>200</v>
      </c>
      <c r="F44" s="32"/>
      <c r="G44" s="6" t="s">
        <v>93</v>
      </c>
      <c r="H44" s="8">
        <v>200</v>
      </c>
      <c r="I44" s="6"/>
      <c r="J44" s="6" t="s">
        <v>94</v>
      </c>
    </row>
    <row r="45" spans="1:10" s="61" customFormat="1" x14ac:dyDescent="0.25">
      <c r="A45" s="6"/>
      <c r="B45" s="6"/>
      <c r="C45" s="6" t="s">
        <v>6</v>
      </c>
      <c r="D45" s="6">
        <v>25</v>
      </c>
      <c r="F45" s="32"/>
      <c r="G45" s="6" t="s">
        <v>92</v>
      </c>
      <c r="H45" s="8">
        <v>40</v>
      </c>
      <c r="I45" s="6"/>
      <c r="J45" s="6" t="s">
        <v>92</v>
      </c>
    </row>
    <row r="46" spans="1:10" s="61" customFormat="1" x14ac:dyDescent="0.25">
      <c r="A46" s="6"/>
      <c r="B46" s="6"/>
      <c r="C46" s="6" t="s">
        <v>92</v>
      </c>
      <c r="D46" s="6">
        <v>25</v>
      </c>
      <c r="F46" s="62"/>
      <c r="G46" s="6"/>
      <c r="H46" s="8"/>
      <c r="I46" s="63"/>
      <c r="J46" s="6"/>
    </row>
    <row r="47" spans="1:10" s="61" customFormat="1" ht="13.5" customHeight="1" x14ac:dyDescent="0.25">
      <c r="A47" s="319" t="s">
        <v>78</v>
      </c>
      <c r="B47" s="324"/>
      <c r="C47" s="320"/>
      <c r="D47" s="64">
        <f>SUM(D41:D46)</f>
        <v>685</v>
      </c>
      <c r="F47" s="319" t="s">
        <v>78</v>
      </c>
      <c r="G47" s="320"/>
      <c r="H47" s="8">
        <f>SUM(H41:H46)</f>
        <v>675</v>
      </c>
      <c r="I47" s="319" t="s">
        <v>78</v>
      </c>
      <c r="J47" s="320"/>
    </row>
    <row r="48" spans="1:10" s="67" customFormat="1" ht="13.8" x14ac:dyDescent="0.3">
      <c r="D48" s="68"/>
      <c r="F48" s="11"/>
      <c r="G48" s="82"/>
      <c r="H48" s="83"/>
      <c r="I48" s="70"/>
      <c r="J48" s="82"/>
    </row>
    <row r="49" spans="1:11" s="67" customFormat="1" ht="13.5" customHeight="1" x14ac:dyDescent="0.3">
      <c r="D49" s="68"/>
      <c r="F49" s="11"/>
      <c r="G49" s="330" t="s">
        <v>56</v>
      </c>
      <c r="H49" s="330"/>
      <c r="I49" s="70"/>
      <c r="J49" s="71" t="s">
        <v>56</v>
      </c>
    </row>
    <row r="50" spans="1:11" s="67" customFormat="1" ht="13.8" x14ac:dyDescent="0.3">
      <c r="A50" s="9"/>
      <c r="B50" s="9"/>
      <c r="C50" s="9"/>
      <c r="D50" s="9"/>
      <c r="F50" s="11"/>
      <c r="G50" s="6" t="s">
        <v>69</v>
      </c>
      <c r="H50" s="8">
        <v>20</v>
      </c>
      <c r="I50" s="70"/>
      <c r="J50" s="6" t="s">
        <v>69</v>
      </c>
    </row>
    <row r="51" spans="1:11" s="67" customFormat="1" ht="13.8" x14ac:dyDescent="0.3">
      <c r="A51" s="9"/>
      <c r="B51" s="9"/>
      <c r="C51" s="9"/>
      <c r="D51" s="9"/>
      <c r="F51" s="11"/>
      <c r="G51" s="6" t="s">
        <v>71</v>
      </c>
      <c r="H51" s="8">
        <v>90</v>
      </c>
      <c r="I51" s="70"/>
      <c r="J51" s="6" t="s">
        <v>71</v>
      </c>
    </row>
    <row r="52" spans="1:11" s="67" customFormat="1" ht="13.8" x14ac:dyDescent="0.3">
      <c r="A52" s="9"/>
      <c r="B52" s="9"/>
      <c r="C52" s="9"/>
      <c r="D52" s="9"/>
      <c r="F52" s="11"/>
      <c r="G52" s="6" t="s">
        <v>53</v>
      </c>
      <c r="H52" s="8">
        <v>150</v>
      </c>
      <c r="I52" s="70"/>
      <c r="J52" s="6" t="s">
        <v>53</v>
      </c>
    </row>
    <row r="53" spans="1:11" s="67" customFormat="1" ht="27" customHeight="1" x14ac:dyDescent="0.3">
      <c r="A53" s="9"/>
      <c r="B53" s="9"/>
      <c r="C53" s="9"/>
      <c r="D53" s="9"/>
      <c r="F53" s="319" t="s">
        <v>58</v>
      </c>
      <c r="G53" s="332" t="s">
        <v>58</v>
      </c>
      <c r="H53" s="66">
        <f>SUM(H50:H52)</f>
        <v>260</v>
      </c>
      <c r="I53" s="70"/>
      <c r="J53" s="65" t="s">
        <v>58</v>
      </c>
    </row>
    <row r="54" spans="1:11" s="60" customFormat="1" ht="13.8" x14ac:dyDescent="0.3">
      <c r="A54" s="328" t="s">
        <v>8</v>
      </c>
      <c r="B54" s="328"/>
      <c r="C54" s="328"/>
      <c r="D54" s="328"/>
      <c r="E54" s="328"/>
      <c r="F54" s="328"/>
      <c r="G54" s="328" t="s">
        <v>8</v>
      </c>
      <c r="H54" s="328"/>
    </row>
    <row r="55" spans="1:11" s="61" customFormat="1" x14ac:dyDescent="0.25">
      <c r="A55" s="6"/>
      <c r="B55" s="6"/>
      <c r="C55" s="6" t="s">
        <v>146</v>
      </c>
      <c r="D55" s="74">
        <v>60</v>
      </c>
      <c r="F55" s="129">
        <v>71</v>
      </c>
      <c r="G55" s="84" t="s">
        <v>328</v>
      </c>
      <c r="H55" s="74">
        <v>60</v>
      </c>
      <c r="I55" s="6"/>
      <c r="J55" s="84" t="s">
        <v>146</v>
      </c>
    </row>
    <row r="56" spans="1:11" s="61" customFormat="1" ht="26.4" x14ac:dyDescent="0.25">
      <c r="A56" s="84">
        <v>98</v>
      </c>
      <c r="B56" s="84"/>
      <c r="C56" s="6" t="s">
        <v>147</v>
      </c>
      <c r="D56" s="74">
        <v>250</v>
      </c>
      <c r="F56" s="127">
        <v>98</v>
      </c>
      <c r="G56" s="6" t="s">
        <v>204</v>
      </c>
      <c r="H56" s="74">
        <v>250</v>
      </c>
      <c r="I56" s="84">
        <v>98</v>
      </c>
      <c r="J56" s="6" t="s">
        <v>204</v>
      </c>
    </row>
    <row r="57" spans="1:11" s="61" customFormat="1" ht="12.75" customHeight="1" x14ac:dyDescent="0.25">
      <c r="A57" s="84">
        <v>227</v>
      </c>
      <c r="B57" s="84"/>
      <c r="C57" s="6" t="s">
        <v>148</v>
      </c>
      <c r="D57" s="74">
        <v>70</v>
      </c>
      <c r="F57" s="129">
        <v>227</v>
      </c>
      <c r="G57" s="6" t="s">
        <v>292</v>
      </c>
      <c r="H57" s="74">
        <v>90</v>
      </c>
      <c r="I57" s="84">
        <v>227</v>
      </c>
      <c r="J57" s="6" t="s">
        <v>148</v>
      </c>
    </row>
    <row r="58" spans="1:11" s="61" customFormat="1" ht="26.4" x14ac:dyDescent="0.25">
      <c r="A58" s="84">
        <v>312</v>
      </c>
      <c r="B58" s="84"/>
      <c r="C58" s="6" t="s">
        <v>35</v>
      </c>
      <c r="D58" s="74">
        <v>150</v>
      </c>
      <c r="F58" s="127" t="s">
        <v>382</v>
      </c>
      <c r="G58" s="6" t="s">
        <v>378</v>
      </c>
      <c r="H58" s="8">
        <v>150</v>
      </c>
      <c r="I58" s="6" t="s">
        <v>80</v>
      </c>
      <c r="J58" s="6" t="s">
        <v>134</v>
      </c>
      <c r="K58" s="235"/>
    </row>
    <row r="59" spans="1:11" s="61" customFormat="1" ht="26.4" x14ac:dyDescent="0.25">
      <c r="A59" s="84">
        <v>349</v>
      </c>
      <c r="B59" s="84"/>
      <c r="C59" s="6" t="s">
        <v>149</v>
      </c>
      <c r="D59" s="74">
        <v>200</v>
      </c>
      <c r="F59" s="127">
        <v>349</v>
      </c>
      <c r="G59" s="6" t="s">
        <v>59</v>
      </c>
      <c r="H59" s="74">
        <v>200</v>
      </c>
      <c r="I59" s="84">
        <v>349</v>
      </c>
      <c r="J59" s="6" t="s">
        <v>59</v>
      </c>
    </row>
    <row r="60" spans="1:11" s="61" customFormat="1" x14ac:dyDescent="0.25">
      <c r="A60" s="84"/>
      <c r="B60" s="84"/>
      <c r="C60" s="6" t="s">
        <v>144</v>
      </c>
      <c r="D60" s="74">
        <v>40</v>
      </c>
      <c r="F60" s="8"/>
      <c r="G60" s="6" t="s">
        <v>92</v>
      </c>
      <c r="H60" s="74">
        <v>50</v>
      </c>
      <c r="I60" s="84"/>
      <c r="J60" s="6" t="s">
        <v>92</v>
      </c>
    </row>
    <row r="61" spans="1:11" s="61" customFormat="1" x14ac:dyDescent="0.25">
      <c r="A61" s="84"/>
      <c r="B61" s="84"/>
      <c r="C61" s="6" t="s">
        <v>92</v>
      </c>
      <c r="D61" s="74">
        <v>40</v>
      </c>
      <c r="F61" s="8"/>
      <c r="G61" s="6"/>
      <c r="H61" s="74"/>
      <c r="I61" s="84"/>
      <c r="J61" s="6"/>
    </row>
    <row r="62" spans="1:11" s="61" customFormat="1" x14ac:dyDescent="0.25">
      <c r="A62" s="84"/>
      <c r="B62" s="84"/>
      <c r="C62" s="6" t="s">
        <v>150</v>
      </c>
      <c r="D62" s="50">
        <v>200</v>
      </c>
      <c r="F62" s="8"/>
      <c r="G62" s="6"/>
      <c r="H62" s="50"/>
      <c r="I62" s="84"/>
      <c r="J62" s="6" t="s">
        <v>150</v>
      </c>
    </row>
    <row r="63" spans="1:11" s="67" customFormat="1" ht="15" customHeight="1" x14ac:dyDescent="0.3">
      <c r="A63" s="321" t="s">
        <v>20</v>
      </c>
      <c r="B63" s="322"/>
      <c r="C63" s="336"/>
      <c r="D63" s="10">
        <f>SUM(D55:D62)</f>
        <v>1010</v>
      </c>
      <c r="F63" s="11" t="s">
        <v>7</v>
      </c>
      <c r="G63" s="10"/>
      <c r="H63" s="11">
        <f>SUM(H55:H62)</f>
        <v>800</v>
      </c>
      <c r="I63" s="70"/>
      <c r="J63" s="10" t="s">
        <v>7</v>
      </c>
    </row>
    <row r="64" spans="1:11" s="60" customFormat="1" ht="13.8" x14ac:dyDescent="0.3">
      <c r="A64" s="328" t="s">
        <v>43</v>
      </c>
      <c r="B64" s="328"/>
      <c r="C64" s="328"/>
      <c r="D64" s="328"/>
      <c r="E64" s="328"/>
      <c r="F64" s="328"/>
      <c r="G64" s="328" t="s">
        <v>43</v>
      </c>
      <c r="H64" s="328"/>
    </row>
    <row r="65" spans="1:10" s="61" customFormat="1" x14ac:dyDescent="0.25">
      <c r="A65" s="9"/>
      <c r="B65" s="9"/>
      <c r="C65" s="9"/>
      <c r="D65" s="9"/>
      <c r="F65" s="62"/>
      <c r="G65" s="6" t="s">
        <v>69</v>
      </c>
      <c r="H65" s="8">
        <v>20</v>
      </c>
      <c r="I65" s="63"/>
      <c r="J65" s="6" t="s">
        <v>69</v>
      </c>
    </row>
    <row r="66" spans="1:10" s="61" customFormat="1" x14ac:dyDescent="0.25">
      <c r="A66" s="9"/>
      <c r="B66" s="9"/>
      <c r="C66" s="9"/>
      <c r="D66" s="9"/>
      <c r="F66" s="62"/>
      <c r="G66" s="6" t="s">
        <v>71</v>
      </c>
      <c r="H66" s="8">
        <v>90</v>
      </c>
      <c r="I66" s="63"/>
      <c r="J66" s="6" t="s">
        <v>71</v>
      </c>
    </row>
    <row r="67" spans="1:10" s="61" customFormat="1" x14ac:dyDescent="0.25">
      <c r="A67" s="9"/>
      <c r="B67" s="9"/>
      <c r="C67" s="9"/>
      <c r="D67" s="9"/>
      <c r="F67" s="62"/>
      <c r="G67" s="6" t="s">
        <v>51</v>
      </c>
      <c r="H67" s="8">
        <v>150</v>
      </c>
      <c r="I67" s="63"/>
      <c r="J67" s="6" t="s">
        <v>51</v>
      </c>
    </row>
    <row r="68" spans="1:10" s="67" customFormat="1" ht="13.8" x14ac:dyDescent="0.3">
      <c r="A68" s="76"/>
      <c r="B68" s="76"/>
      <c r="C68" s="77"/>
      <c r="D68" s="78"/>
      <c r="F68" s="11"/>
      <c r="G68" s="65" t="s">
        <v>44</v>
      </c>
      <c r="H68" s="66">
        <f>SUM(H65:H67)</f>
        <v>260</v>
      </c>
      <c r="I68" s="70"/>
      <c r="J68" s="65" t="s">
        <v>44</v>
      </c>
    </row>
    <row r="69" spans="1:10" s="58" customFormat="1" ht="15.75" customHeight="1" x14ac:dyDescent="0.3">
      <c r="A69" s="331" t="s">
        <v>29</v>
      </c>
      <c r="B69" s="328"/>
      <c r="C69" s="328"/>
      <c r="D69" s="328"/>
      <c r="E69" s="328"/>
      <c r="F69" s="328"/>
      <c r="G69" s="328" t="s">
        <v>29</v>
      </c>
      <c r="H69" s="328"/>
    </row>
    <row r="70" spans="1:10" s="60" customFormat="1" ht="13.8" x14ac:dyDescent="0.3">
      <c r="A70" s="328" t="s">
        <v>54</v>
      </c>
      <c r="B70" s="328"/>
      <c r="C70" s="328"/>
      <c r="D70" s="328"/>
      <c r="E70" s="328"/>
      <c r="F70" s="328"/>
      <c r="G70" s="328" t="s">
        <v>54</v>
      </c>
      <c r="H70" s="328"/>
    </row>
    <row r="71" spans="1:10" s="61" customFormat="1" ht="26.4" x14ac:dyDescent="0.25">
      <c r="A71" s="6"/>
      <c r="B71" s="6"/>
      <c r="C71" s="6" t="s">
        <v>96</v>
      </c>
      <c r="D71" s="6">
        <v>80</v>
      </c>
      <c r="F71" s="127">
        <v>24</v>
      </c>
      <c r="G71" s="6" t="s">
        <v>96</v>
      </c>
      <c r="H71" s="8">
        <v>80</v>
      </c>
      <c r="I71" s="6"/>
      <c r="J71" s="6" t="s">
        <v>96</v>
      </c>
    </row>
    <row r="72" spans="1:10" s="61" customFormat="1" ht="32.25" customHeight="1" x14ac:dyDescent="0.3">
      <c r="A72" s="6"/>
      <c r="B72" s="6"/>
      <c r="C72" s="6" t="s">
        <v>97</v>
      </c>
      <c r="D72" s="6">
        <v>75</v>
      </c>
      <c r="F72" s="85" t="s">
        <v>310</v>
      </c>
      <c r="G72" s="86" t="s">
        <v>293</v>
      </c>
      <c r="H72" s="87">
        <v>110</v>
      </c>
      <c r="I72" s="6"/>
      <c r="J72" s="6" t="s">
        <v>97</v>
      </c>
    </row>
    <row r="73" spans="1:10" s="61" customFormat="1" ht="22.5" customHeight="1" x14ac:dyDescent="0.25">
      <c r="A73" s="6"/>
      <c r="B73" s="6"/>
      <c r="C73" s="6" t="s">
        <v>98</v>
      </c>
      <c r="D73" s="6">
        <v>135</v>
      </c>
      <c r="F73" s="32"/>
      <c r="G73" s="6" t="s">
        <v>300</v>
      </c>
      <c r="H73" s="8">
        <v>150</v>
      </c>
      <c r="I73" s="6"/>
      <c r="J73" s="6" t="s">
        <v>98</v>
      </c>
    </row>
    <row r="74" spans="1:10" s="61" customFormat="1" ht="26.4" x14ac:dyDescent="0.25">
      <c r="A74" s="6"/>
      <c r="B74" s="6"/>
      <c r="C74" s="6" t="s">
        <v>63</v>
      </c>
      <c r="D74" s="6">
        <v>200</v>
      </c>
      <c r="F74" s="128">
        <v>379</v>
      </c>
      <c r="G74" s="6" t="s">
        <v>99</v>
      </c>
      <c r="H74" s="8">
        <v>200</v>
      </c>
      <c r="I74" s="63"/>
      <c r="J74" s="6" t="s">
        <v>99</v>
      </c>
    </row>
    <row r="75" spans="1:10" s="61" customFormat="1" x14ac:dyDescent="0.25">
      <c r="A75" s="6"/>
      <c r="B75" s="6"/>
      <c r="C75" s="6" t="s">
        <v>6</v>
      </c>
      <c r="D75" s="6">
        <v>25</v>
      </c>
      <c r="F75" s="32"/>
      <c r="G75" s="6" t="s">
        <v>92</v>
      </c>
      <c r="H75" s="8">
        <v>40</v>
      </c>
      <c r="I75" s="6"/>
      <c r="J75" s="6" t="s">
        <v>92</v>
      </c>
    </row>
    <row r="76" spans="1:10" s="61" customFormat="1" ht="16.5" customHeight="1" x14ac:dyDescent="0.25">
      <c r="A76" s="6"/>
      <c r="B76" s="6"/>
      <c r="C76" s="6" t="s">
        <v>92</v>
      </c>
      <c r="D76" s="6">
        <v>25</v>
      </c>
      <c r="F76" s="62"/>
      <c r="G76" s="6"/>
      <c r="H76" s="8"/>
      <c r="I76" s="63"/>
      <c r="J76" s="6"/>
    </row>
    <row r="77" spans="1:10" s="61" customFormat="1" ht="21" customHeight="1" x14ac:dyDescent="0.3">
      <c r="A77" s="6"/>
      <c r="B77" s="6"/>
      <c r="C77" s="6" t="s">
        <v>100</v>
      </c>
      <c r="D77" s="6">
        <v>150</v>
      </c>
      <c r="F77" s="62"/>
      <c r="G77" s="6"/>
      <c r="H77" s="64"/>
    </row>
    <row r="78" spans="1:10" s="61" customFormat="1" ht="13.5" customHeight="1" x14ac:dyDescent="0.3">
      <c r="A78" s="333" t="s">
        <v>78</v>
      </c>
      <c r="B78" s="334"/>
      <c r="C78" s="335"/>
      <c r="D78" s="64">
        <f>SUM(D71:D77)</f>
        <v>690</v>
      </c>
      <c r="F78" s="319" t="s">
        <v>78</v>
      </c>
      <c r="G78" s="320" t="s">
        <v>78</v>
      </c>
      <c r="H78" s="64">
        <f>SUM(H71:H77)</f>
        <v>580</v>
      </c>
      <c r="I78" s="319" t="s">
        <v>78</v>
      </c>
      <c r="J78" s="320" t="s">
        <v>78</v>
      </c>
    </row>
    <row r="79" spans="1:10" s="67" customFormat="1" ht="13.8" x14ac:dyDescent="0.3">
      <c r="D79" s="68"/>
      <c r="F79" s="11"/>
      <c r="G79" s="82"/>
      <c r="H79" s="83"/>
      <c r="I79" s="70"/>
      <c r="J79" s="82"/>
    </row>
    <row r="80" spans="1:10" s="67" customFormat="1" ht="13.5" customHeight="1" x14ac:dyDescent="0.3">
      <c r="D80" s="68"/>
      <c r="F80" s="11"/>
      <c r="G80" s="329" t="s">
        <v>56</v>
      </c>
      <c r="H80" s="330"/>
      <c r="I80" s="70"/>
      <c r="J80" s="88" t="s">
        <v>56</v>
      </c>
    </row>
    <row r="81" spans="1:10" s="67" customFormat="1" ht="13.8" x14ac:dyDescent="0.3">
      <c r="D81" s="68"/>
      <c r="F81" s="11"/>
      <c r="G81" s="12" t="s">
        <v>64</v>
      </c>
      <c r="H81" s="8">
        <v>20</v>
      </c>
      <c r="I81" s="70"/>
      <c r="J81" s="12" t="s">
        <v>64</v>
      </c>
    </row>
    <row r="82" spans="1:10" s="67" customFormat="1" ht="13.8" x14ac:dyDescent="0.3">
      <c r="D82" s="68"/>
      <c r="F82" s="11"/>
      <c r="G82" s="12" t="s">
        <v>71</v>
      </c>
      <c r="H82" s="8">
        <v>90</v>
      </c>
      <c r="I82" s="70"/>
      <c r="J82" s="12" t="s">
        <v>71</v>
      </c>
    </row>
    <row r="83" spans="1:10" s="67" customFormat="1" ht="13.8" x14ac:dyDescent="0.3">
      <c r="D83" s="68"/>
      <c r="F83" s="11"/>
      <c r="G83" s="12" t="s">
        <v>50</v>
      </c>
      <c r="H83" s="8">
        <v>150</v>
      </c>
      <c r="I83" s="70"/>
      <c r="J83" s="12" t="s">
        <v>50</v>
      </c>
    </row>
    <row r="84" spans="1:10" s="67" customFormat="1" ht="27.6" x14ac:dyDescent="0.3">
      <c r="D84" s="68"/>
      <c r="F84" s="11"/>
      <c r="G84" s="89" t="s">
        <v>58</v>
      </c>
      <c r="H84" s="83">
        <f>SUM(H81:H83)</f>
        <v>260</v>
      </c>
      <c r="I84" s="70"/>
      <c r="J84" s="89" t="s">
        <v>58</v>
      </c>
    </row>
    <row r="85" spans="1:10" s="67" customFormat="1" ht="13.5" customHeight="1" x14ac:dyDescent="0.3">
      <c r="D85" s="68"/>
      <c r="F85" s="23"/>
      <c r="I85" s="90"/>
    </row>
    <row r="86" spans="1:10" s="60" customFormat="1" ht="13.8" x14ac:dyDescent="0.3">
      <c r="A86" s="328" t="s">
        <v>8</v>
      </c>
      <c r="B86" s="328"/>
      <c r="C86" s="328"/>
      <c r="D86" s="328"/>
      <c r="E86" s="328"/>
      <c r="F86" s="328"/>
      <c r="G86" s="328" t="s">
        <v>8</v>
      </c>
      <c r="H86" s="328"/>
    </row>
    <row r="87" spans="1:10" s="61" customFormat="1" ht="18" customHeight="1" x14ac:dyDescent="0.25">
      <c r="A87" s="84">
        <v>104</v>
      </c>
      <c r="B87" s="84"/>
      <c r="C87" s="6" t="s">
        <v>155</v>
      </c>
      <c r="D87" s="74">
        <v>270</v>
      </c>
      <c r="F87" s="129">
        <v>104</v>
      </c>
      <c r="G87" s="6" t="s">
        <v>155</v>
      </c>
      <c r="H87" s="74">
        <v>270</v>
      </c>
      <c r="I87" s="84">
        <v>104</v>
      </c>
      <c r="J87" s="6" t="s">
        <v>155</v>
      </c>
    </row>
    <row r="88" spans="1:10" s="61" customFormat="1" x14ac:dyDescent="0.25">
      <c r="A88" s="84">
        <v>223</v>
      </c>
      <c r="B88" s="84"/>
      <c r="C88" s="6" t="s">
        <v>151</v>
      </c>
      <c r="D88" s="74">
        <v>185</v>
      </c>
      <c r="F88" s="8" t="s">
        <v>284</v>
      </c>
      <c r="G88" s="6" t="s">
        <v>151</v>
      </c>
      <c r="H88" s="74">
        <v>185</v>
      </c>
      <c r="I88" s="84">
        <v>223</v>
      </c>
      <c r="J88" s="6" t="s">
        <v>151</v>
      </c>
    </row>
    <row r="89" spans="1:10" s="61" customFormat="1" x14ac:dyDescent="0.25">
      <c r="A89" s="84"/>
      <c r="B89" s="84"/>
      <c r="C89" s="6" t="s">
        <v>152</v>
      </c>
      <c r="D89" s="74">
        <v>35</v>
      </c>
      <c r="F89" s="8" t="s">
        <v>311</v>
      </c>
      <c r="G89" s="6" t="s">
        <v>240</v>
      </c>
      <c r="H89" s="74">
        <v>35</v>
      </c>
      <c r="I89" s="84"/>
      <c r="J89" s="6" t="s">
        <v>156</v>
      </c>
    </row>
    <row r="90" spans="1:10" s="61" customFormat="1" x14ac:dyDescent="0.25">
      <c r="A90" s="84"/>
      <c r="B90" s="126"/>
      <c r="C90" s="95" t="s">
        <v>153</v>
      </c>
      <c r="D90" s="96">
        <v>200</v>
      </c>
      <c r="F90" s="130" t="s">
        <v>312</v>
      </c>
      <c r="G90" s="95" t="s">
        <v>157</v>
      </c>
      <c r="H90" s="96">
        <v>200</v>
      </c>
      <c r="I90" s="6"/>
      <c r="J90" s="95" t="s">
        <v>157</v>
      </c>
    </row>
    <row r="91" spans="1:10" s="61" customFormat="1" x14ac:dyDescent="0.25">
      <c r="A91" s="84"/>
      <c r="B91" s="84"/>
      <c r="C91" s="6" t="s">
        <v>144</v>
      </c>
      <c r="D91" s="74">
        <v>40</v>
      </c>
      <c r="F91" s="32"/>
      <c r="G91" s="6" t="s">
        <v>92</v>
      </c>
      <c r="H91" s="74">
        <v>50</v>
      </c>
      <c r="I91" s="6"/>
      <c r="J91" s="6" t="s">
        <v>92</v>
      </c>
    </row>
    <row r="92" spans="1:10" s="61" customFormat="1" x14ac:dyDescent="0.25">
      <c r="A92" s="84"/>
      <c r="B92" s="84"/>
      <c r="C92" s="6" t="s">
        <v>92</v>
      </c>
      <c r="D92" s="74">
        <v>40</v>
      </c>
      <c r="F92" s="32"/>
      <c r="G92" s="6"/>
      <c r="H92" s="74"/>
      <c r="I92" s="6"/>
      <c r="J92" s="6"/>
    </row>
    <row r="93" spans="1:10" s="61" customFormat="1" ht="39.6" x14ac:dyDescent="0.25">
      <c r="A93" s="84"/>
      <c r="B93" s="84"/>
      <c r="C93" s="6" t="s">
        <v>154</v>
      </c>
      <c r="D93" s="74">
        <v>180</v>
      </c>
      <c r="F93" s="62"/>
      <c r="G93" s="6"/>
      <c r="H93" s="74"/>
      <c r="I93" s="63"/>
      <c r="J93" s="6" t="s">
        <v>205</v>
      </c>
    </row>
    <row r="94" spans="1:10" s="61" customFormat="1" ht="13.8" x14ac:dyDescent="0.3">
      <c r="A94" s="13" t="s">
        <v>20</v>
      </c>
      <c r="B94" s="13"/>
      <c r="C94" s="11"/>
      <c r="D94" s="14">
        <f>SUM(D87:D93)</f>
        <v>950</v>
      </c>
      <c r="F94" s="62"/>
      <c r="G94" s="15" t="s">
        <v>20</v>
      </c>
      <c r="H94" s="16">
        <f>SUM(H87:H93)</f>
        <v>740</v>
      </c>
      <c r="I94" s="63"/>
      <c r="J94" s="15" t="s">
        <v>20</v>
      </c>
    </row>
    <row r="95" spans="1:10" s="60" customFormat="1" ht="13.8" x14ac:dyDescent="0.3">
      <c r="A95" s="328" t="s">
        <v>43</v>
      </c>
      <c r="B95" s="328"/>
      <c r="C95" s="328"/>
      <c r="D95" s="328"/>
      <c r="E95" s="328"/>
      <c r="F95" s="328"/>
      <c r="G95" s="328" t="s">
        <v>43</v>
      </c>
      <c r="H95" s="328"/>
    </row>
    <row r="96" spans="1:10" s="61" customFormat="1" x14ac:dyDescent="0.25">
      <c r="A96" s="9"/>
      <c r="B96" s="9"/>
      <c r="C96" s="9"/>
      <c r="D96" s="9"/>
      <c r="F96" s="62"/>
      <c r="G96" s="12" t="s">
        <v>64</v>
      </c>
      <c r="H96" s="8">
        <v>20</v>
      </c>
      <c r="I96" s="63"/>
      <c r="J96" s="12" t="s">
        <v>64</v>
      </c>
    </row>
    <row r="97" spans="1:10" s="61" customFormat="1" x14ac:dyDescent="0.25">
      <c r="A97" s="9"/>
      <c r="B97" s="9"/>
      <c r="C97" s="9"/>
      <c r="D97" s="9"/>
      <c r="F97" s="62"/>
      <c r="G97" s="12" t="s">
        <v>49</v>
      </c>
      <c r="H97" s="8">
        <v>90</v>
      </c>
      <c r="I97" s="63"/>
      <c r="J97" s="12" t="s">
        <v>49</v>
      </c>
    </row>
    <row r="98" spans="1:10" s="61" customFormat="1" x14ac:dyDescent="0.25">
      <c r="A98" s="9"/>
      <c r="B98" s="9"/>
      <c r="C98" s="9"/>
      <c r="D98" s="9"/>
      <c r="F98" s="62"/>
      <c r="G98" s="12" t="s">
        <v>73</v>
      </c>
      <c r="H98" s="8">
        <v>150</v>
      </c>
      <c r="I98" s="63"/>
      <c r="J98" s="12" t="s">
        <v>73</v>
      </c>
    </row>
    <row r="99" spans="1:10" s="67" customFormat="1" ht="13.8" x14ac:dyDescent="0.3">
      <c r="A99" s="76"/>
      <c r="B99" s="76"/>
      <c r="C99" s="77"/>
      <c r="D99" s="78"/>
      <c r="F99" s="11"/>
      <c r="G99" s="91" t="s">
        <v>44</v>
      </c>
      <c r="H99" s="66">
        <f>SUM(H96:H98)</f>
        <v>260</v>
      </c>
      <c r="I99" s="70"/>
      <c r="J99" s="91" t="s">
        <v>44</v>
      </c>
    </row>
    <row r="100" spans="1:10" s="58" customFormat="1" x14ac:dyDescent="0.3">
      <c r="A100" s="331" t="s">
        <v>28</v>
      </c>
      <c r="B100" s="328"/>
      <c r="C100" s="328"/>
      <c r="D100" s="328"/>
      <c r="E100" s="328"/>
      <c r="F100" s="328"/>
      <c r="G100" s="328" t="s">
        <v>28</v>
      </c>
      <c r="H100" s="328"/>
    </row>
    <row r="101" spans="1:10" s="60" customFormat="1" ht="13.8" x14ac:dyDescent="0.3">
      <c r="A101" s="328" t="s">
        <v>54</v>
      </c>
      <c r="B101" s="328"/>
      <c r="C101" s="328"/>
      <c r="D101" s="328"/>
      <c r="E101" s="328"/>
      <c r="F101" s="328"/>
      <c r="G101" s="328" t="s">
        <v>54</v>
      </c>
      <c r="H101" s="328"/>
    </row>
    <row r="102" spans="1:10" s="61" customFormat="1" ht="26.4" x14ac:dyDescent="0.25">
      <c r="A102" s="6"/>
      <c r="B102" s="6"/>
      <c r="C102" s="6" t="s">
        <v>101</v>
      </c>
      <c r="D102" s="6">
        <v>80</v>
      </c>
      <c r="F102" s="32" t="s">
        <v>242</v>
      </c>
      <c r="G102" s="12" t="s">
        <v>241</v>
      </c>
      <c r="H102" s="8">
        <v>80</v>
      </c>
      <c r="I102" s="6"/>
      <c r="J102" s="12" t="s">
        <v>101</v>
      </c>
    </row>
    <row r="103" spans="1:10" s="61" customFormat="1" ht="26.4" x14ac:dyDescent="0.25">
      <c r="A103" s="6"/>
      <c r="B103" s="6"/>
      <c r="C103" s="6" t="s">
        <v>102</v>
      </c>
      <c r="D103" s="6">
        <v>110</v>
      </c>
      <c r="F103" s="131">
        <v>233</v>
      </c>
      <c r="G103" s="6" t="s">
        <v>243</v>
      </c>
      <c r="H103" s="8">
        <v>110</v>
      </c>
      <c r="I103" s="6"/>
      <c r="J103" s="12" t="s">
        <v>102</v>
      </c>
    </row>
    <row r="104" spans="1:10" s="61" customFormat="1" x14ac:dyDescent="0.25">
      <c r="A104" s="6"/>
      <c r="B104" s="6"/>
      <c r="C104" s="6" t="s">
        <v>35</v>
      </c>
      <c r="D104" s="6">
        <v>150</v>
      </c>
      <c r="F104" s="127">
        <v>125</v>
      </c>
      <c r="G104" s="12" t="s">
        <v>297</v>
      </c>
      <c r="H104" s="8">
        <v>150</v>
      </c>
      <c r="I104" s="6"/>
      <c r="J104" s="12" t="s">
        <v>36</v>
      </c>
    </row>
    <row r="105" spans="1:10" s="61" customFormat="1" x14ac:dyDescent="0.25">
      <c r="A105" s="6"/>
      <c r="B105" s="6"/>
      <c r="C105" s="6" t="s">
        <v>103</v>
      </c>
      <c r="D105" s="6">
        <v>200</v>
      </c>
      <c r="F105" s="127">
        <v>377</v>
      </c>
      <c r="G105" s="12" t="s">
        <v>61</v>
      </c>
      <c r="H105" s="8">
        <v>200</v>
      </c>
      <c r="I105" s="6"/>
      <c r="J105" s="12" t="s">
        <v>61</v>
      </c>
    </row>
    <row r="106" spans="1:10" s="61" customFormat="1" x14ac:dyDescent="0.25">
      <c r="A106" s="6"/>
      <c r="B106" s="6"/>
      <c r="C106" s="6" t="s">
        <v>92</v>
      </c>
      <c r="D106" s="6">
        <v>25</v>
      </c>
      <c r="F106" s="32"/>
      <c r="G106" s="12" t="s">
        <v>92</v>
      </c>
      <c r="H106" s="8">
        <v>50</v>
      </c>
      <c r="I106" s="6"/>
      <c r="J106" s="12" t="s">
        <v>92</v>
      </c>
    </row>
    <row r="107" spans="1:10" s="61" customFormat="1" x14ac:dyDescent="0.25">
      <c r="A107" s="6"/>
      <c r="B107" s="6"/>
      <c r="C107" s="6" t="s">
        <v>104</v>
      </c>
      <c r="D107" s="6">
        <v>50</v>
      </c>
      <c r="F107" s="62"/>
      <c r="G107" s="12"/>
      <c r="H107" s="8"/>
      <c r="I107" s="63"/>
      <c r="J107" s="12"/>
    </row>
    <row r="108" spans="1:10" s="61" customFormat="1" ht="13.8" x14ac:dyDescent="0.3">
      <c r="A108" s="13" t="s">
        <v>78</v>
      </c>
      <c r="B108" s="13"/>
      <c r="C108" s="13"/>
      <c r="D108" s="14">
        <f>SUM(D102:D107)</f>
        <v>615</v>
      </c>
      <c r="F108" s="11" t="s">
        <v>78</v>
      </c>
      <c r="G108" s="13"/>
      <c r="H108" s="11">
        <f>SUM(H102:H107)</f>
        <v>590</v>
      </c>
      <c r="I108" s="13" t="s">
        <v>78</v>
      </c>
      <c r="J108" s="13"/>
    </row>
    <row r="109" spans="1:10" s="67" customFormat="1" ht="13.5" customHeight="1" x14ac:dyDescent="0.3">
      <c r="D109" s="68"/>
      <c r="F109" s="11"/>
      <c r="H109" s="69"/>
      <c r="I109" s="70"/>
    </row>
    <row r="110" spans="1:10" s="67" customFormat="1" ht="13.5" customHeight="1" x14ac:dyDescent="0.3">
      <c r="D110" s="68"/>
      <c r="F110" s="11"/>
      <c r="G110" s="329" t="s">
        <v>56</v>
      </c>
      <c r="H110" s="330"/>
      <c r="I110" s="70"/>
      <c r="J110" s="88" t="s">
        <v>56</v>
      </c>
    </row>
    <row r="111" spans="1:10" s="67" customFormat="1" ht="13.8" x14ac:dyDescent="0.3">
      <c r="D111" s="68"/>
      <c r="F111" s="11"/>
      <c r="G111" s="12" t="s">
        <v>64</v>
      </c>
      <c r="H111" s="8">
        <v>20</v>
      </c>
      <c r="I111" s="70"/>
      <c r="J111" s="12" t="s">
        <v>64</v>
      </c>
    </row>
    <row r="112" spans="1:10" s="67" customFormat="1" ht="13.8" x14ac:dyDescent="0.3">
      <c r="D112" s="68"/>
      <c r="F112" s="11"/>
      <c r="G112" s="12" t="s">
        <v>71</v>
      </c>
      <c r="H112" s="8">
        <v>90</v>
      </c>
      <c r="I112" s="70"/>
      <c r="J112" s="12" t="s">
        <v>71</v>
      </c>
    </row>
    <row r="113" spans="1:10" s="67" customFormat="1" ht="13.8" x14ac:dyDescent="0.3">
      <c r="D113" s="68"/>
      <c r="F113" s="11"/>
      <c r="G113" s="12" t="s">
        <v>53</v>
      </c>
      <c r="H113" s="8">
        <v>150</v>
      </c>
      <c r="I113" s="70"/>
      <c r="J113" s="12" t="s">
        <v>53</v>
      </c>
    </row>
    <row r="114" spans="1:10" s="67" customFormat="1" ht="27.6" x14ac:dyDescent="0.3">
      <c r="D114" s="68"/>
      <c r="F114" s="337" t="s">
        <v>58</v>
      </c>
      <c r="G114" s="338"/>
      <c r="H114" s="66">
        <f>SUM(H111:H113)</f>
        <v>260</v>
      </c>
      <c r="I114" s="70"/>
      <c r="J114" s="65" t="s">
        <v>58</v>
      </c>
    </row>
    <row r="115" spans="1:10" s="60" customFormat="1" ht="13.8" x14ac:dyDescent="0.3">
      <c r="A115" s="328" t="s">
        <v>8</v>
      </c>
      <c r="B115" s="328"/>
      <c r="C115" s="328"/>
      <c r="D115" s="328"/>
      <c r="E115" s="328"/>
      <c r="F115" s="328"/>
      <c r="G115" s="328" t="s">
        <v>8</v>
      </c>
      <c r="H115" s="328"/>
    </row>
    <row r="116" spans="1:10" s="61" customFormat="1" ht="18.75" customHeight="1" x14ac:dyDescent="0.25">
      <c r="A116" s="84">
        <v>96</v>
      </c>
      <c r="B116" s="84"/>
      <c r="C116" s="6" t="s">
        <v>158</v>
      </c>
      <c r="D116" s="92">
        <v>250</v>
      </c>
      <c r="F116" s="127">
        <v>96</v>
      </c>
      <c r="G116" s="6" t="s">
        <v>160</v>
      </c>
      <c r="H116" s="92">
        <v>250</v>
      </c>
      <c r="I116" s="84">
        <v>96</v>
      </c>
      <c r="J116" s="6" t="s">
        <v>160</v>
      </c>
    </row>
    <row r="117" spans="1:10" s="61" customFormat="1" x14ac:dyDescent="0.25">
      <c r="A117" s="8"/>
      <c r="B117" s="8"/>
      <c r="C117" s="6" t="s">
        <v>159</v>
      </c>
      <c r="D117" s="92">
        <v>85</v>
      </c>
      <c r="F117" s="132" t="s">
        <v>314</v>
      </c>
      <c r="G117" s="6" t="s">
        <v>159</v>
      </c>
      <c r="H117" s="92">
        <v>90</v>
      </c>
      <c r="I117" s="8"/>
      <c r="J117" s="6" t="s">
        <v>159</v>
      </c>
    </row>
    <row r="118" spans="1:10" s="61" customFormat="1" x14ac:dyDescent="0.25">
      <c r="A118" s="84">
        <v>143</v>
      </c>
      <c r="B118" s="84"/>
      <c r="C118" s="6" t="s">
        <v>45</v>
      </c>
      <c r="D118" s="92">
        <v>150</v>
      </c>
      <c r="F118" s="127">
        <v>143</v>
      </c>
      <c r="G118" s="6" t="s">
        <v>45</v>
      </c>
      <c r="H118" s="92">
        <v>150</v>
      </c>
      <c r="I118" s="84">
        <v>143</v>
      </c>
      <c r="J118" s="6" t="s">
        <v>45</v>
      </c>
    </row>
    <row r="119" spans="1:10" s="61" customFormat="1" x14ac:dyDescent="0.25">
      <c r="A119" s="84"/>
      <c r="B119" s="84"/>
      <c r="C119" s="6" t="s">
        <v>108</v>
      </c>
      <c r="D119" s="92">
        <v>200</v>
      </c>
      <c r="F119" s="62"/>
      <c r="G119" s="6" t="s">
        <v>88</v>
      </c>
      <c r="H119" s="92">
        <v>200</v>
      </c>
      <c r="I119" s="84"/>
      <c r="J119" s="6" t="s">
        <v>88</v>
      </c>
    </row>
    <row r="120" spans="1:10" s="61" customFormat="1" x14ac:dyDescent="0.25">
      <c r="A120" s="84"/>
      <c r="B120" s="84"/>
      <c r="C120" s="6" t="s">
        <v>144</v>
      </c>
      <c r="D120" s="92">
        <v>40</v>
      </c>
      <c r="F120" s="8"/>
      <c r="G120" s="6" t="s">
        <v>92</v>
      </c>
      <c r="H120" s="92">
        <v>50</v>
      </c>
      <c r="I120" s="84"/>
      <c r="J120" s="6" t="s">
        <v>92</v>
      </c>
    </row>
    <row r="121" spans="1:10" s="61" customFormat="1" x14ac:dyDescent="0.25">
      <c r="A121" s="84"/>
      <c r="B121" s="84"/>
      <c r="C121" s="6" t="s">
        <v>92</v>
      </c>
      <c r="D121" s="92">
        <v>20</v>
      </c>
      <c r="F121" s="127">
        <v>349</v>
      </c>
      <c r="G121" s="6" t="s">
        <v>149</v>
      </c>
      <c r="H121" s="92">
        <v>200</v>
      </c>
      <c r="I121" s="84"/>
      <c r="J121" s="6"/>
    </row>
    <row r="122" spans="1:10" s="61" customFormat="1" x14ac:dyDescent="0.25">
      <c r="A122" s="84"/>
      <c r="B122" s="84"/>
      <c r="C122" s="6" t="s">
        <v>150</v>
      </c>
      <c r="D122" s="93">
        <v>200</v>
      </c>
      <c r="F122" s="8"/>
      <c r="G122" s="6"/>
      <c r="H122" s="93"/>
      <c r="I122" s="84"/>
      <c r="J122" s="6" t="s">
        <v>150</v>
      </c>
    </row>
    <row r="123" spans="1:10" s="67" customFormat="1" ht="13.8" x14ac:dyDescent="0.3">
      <c r="A123" s="319" t="s">
        <v>20</v>
      </c>
      <c r="B123" s="324"/>
      <c r="C123" s="320"/>
      <c r="D123" s="94">
        <f>SUM(D116:D122)</f>
        <v>945</v>
      </c>
      <c r="F123" s="11"/>
      <c r="G123" s="91" t="s">
        <v>20</v>
      </c>
      <c r="H123" s="66">
        <f>SUM(H116:H122)</f>
        <v>940</v>
      </c>
      <c r="I123" s="70"/>
      <c r="J123" s="91" t="s">
        <v>20</v>
      </c>
    </row>
    <row r="124" spans="1:10" s="60" customFormat="1" ht="13.8" x14ac:dyDescent="0.3">
      <c r="A124" s="328" t="s">
        <v>43</v>
      </c>
      <c r="B124" s="328"/>
      <c r="C124" s="328"/>
      <c r="D124" s="328"/>
      <c r="E124" s="328"/>
      <c r="F124" s="328"/>
      <c r="G124" s="328" t="s">
        <v>43</v>
      </c>
      <c r="H124" s="328"/>
    </row>
    <row r="125" spans="1:10" s="61" customFormat="1" x14ac:dyDescent="0.25">
      <c r="A125" s="9"/>
      <c r="B125" s="9"/>
      <c r="C125" s="9"/>
      <c r="D125" s="9"/>
      <c r="F125" s="62"/>
      <c r="G125" s="12" t="s">
        <v>64</v>
      </c>
      <c r="H125" s="8">
        <v>20</v>
      </c>
      <c r="I125" s="63"/>
      <c r="J125" s="12" t="s">
        <v>64</v>
      </c>
    </row>
    <row r="126" spans="1:10" s="61" customFormat="1" x14ac:dyDescent="0.25">
      <c r="A126" s="9"/>
      <c r="B126" s="9"/>
      <c r="C126" s="9"/>
      <c r="D126" s="9"/>
      <c r="F126" s="62"/>
      <c r="G126" s="12" t="s">
        <v>71</v>
      </c>
      <c r="H126" s="8">
        <v>90</v>
      </c>
      <c r="I126" s="63"/>
      <c r="J126" s="12" t="s">
        <v>71</v>
      </c>
    </row>
    <row r="127" spans="1:10" s="61" customFormat="1" x14ac:dyDescent="0.25">
      <c r="A127" s="9"/>
      <c r="B127" s="9"/>
      <c r="C127" s="9"/>
      <c r="D127" s="9"/>
      <c r="F127" s="62"/>
      <c r="G127" s="12" t="s">
        <v>51</v>
      </c>
      <c r="H127" s="8">
        <v>150</v>
      </c>
      <c r="I127" s="63"/>
      <c r="J127" s="12" t="s">
        <v>51</v>
      </c>
    </row>
    <row r="128" spans="1:10" s="67" customFormat="1" ht="13.8" x14ac:dyDescent="0.3">
      <c r="A128" s="76"/>
      <c r="B128" s="76"/>
      <c r="C128" s="77"/>
      <c r="D128" s="76"/>
      <c r="F128" s="11"/>
      <c r="G128" s="91" t="s">
        <v>44</v>
      </c>
      <c r="H128" s="66">
        <f>SUM(H125:H127)</f>
        <v>260</v>
      </c>
      <c r="I128" s="70"/>
      <c r="J128" s="91" t="s">
        <v>44</v>
      </c>
    </row>
    <row r="129" spans="1:10" s="58" customFormat="1" ht="30" customHeight="1" x14ac:dyDescent="0.3">
      <c r="A129" s="331" t="s">
        <v>27</v>
      </c>
      <c r="B129" s="328"/>
      <c r="C129" s="328"/>
      <c r="D129" s="328"/>
      <c r="E129" s="328"/>
      <c r="F129" s="328"/>
      <c r="G129" s="328" t="s">
        <v>27</v>
      </c>
      <c r="H129" s="328"/>
    </row>
    <row r="130" spans="1:10" s="60" customFormat="1" ht="13.8" x14ac:dyDescent="0.3">
      <c r="A130" s="328" t="s">
        <v>54</v>
      </c>
      <c r="B130" s="328"/>
      <c r="C130" s="328"/>
      <c r="D130" s="328"/>
      <c r="E130" s="328"/>
      <c r="F130" s="328"/>
      <c r="G130" s="328" t="s">
        <v>54</v>
      </c>
      <c r="H130" s="328"/>
    </row>
    <row r="131" spans="1:10" s="61" customFormat="1" ht="17.25" customHeight="1" x14ac:dyDescent="0.25">
      <c r="A131" s="6"/>
      <c r="B131" s="6"/>
      <c r="C131" s="6" t="s">
        <v>106</v>
      </c>
      <c r="D131" s="6">
        <v>70</v>
      </c>
      <c r="F131" s="129">
        <v>71</v>
      </c>
      <c r="G131" s="12" t="s">
        <v>111</v>
      </c>
      <c r="H131" s="8">
        <v>70</v>
      </c>
      <c r="I131" s="6"/>
      <c r="J131" s="12" t="s">
        <v>111</v>
      </c>
    </row>
    <row r="132" spans="1:10" s="61" customFormat="1" ht="16.5" customHeight="1" x14ac:dyDescent="0.25">
      <c r="A132" s="6"/>
      <c r="B132" s="6"/>
      <c r="C132" s="6" t="s">
        <v>107</v>
      </c>
      <c r="D132" s="6">
        <v>150</v>
      </c>
      <c r="F132" s="127">
        <v>213</v>
      </c>
      <c r="G132" s="12" t="s">
        <v>326</v>
      </c>
      <c r="H132" s="8">
        <v>150</v>
      </c>
      <c r="I132" s="6" t="s">
        <v>81</v>
      </c>
      <c r="J132" s="12" t="s">
        <v>75</v>
      </c>
    </row>
    <row r="133" spans="1:10" s="61" customFormat="1" x14ac:dyDescent="0.25">
      <c r="A133" s="6"/>
      <c r="B133" s="6"/>
      <c r="C133" s="6" t="s">
        <v>90</v>
      </c>
      <c r="D133" s="6">
        <v>200</v>
      </c>
      <c r="F133" s="8"/>
      <c r="G133" s="6" t="s">
        <v>302</v>
      </c>
      <c r="H133" s="6">
        <v>200</v>
      </c>
      <c r="I133" s="6"/>
      <c r="J133" s="12" t="s">
        <v>91</v>
      </c>
    </row>
    <row r="134" spans="1:10" s="61" customFormat="1" x14ac:dyDescent="0.25">
      <c r="A134" s="6"/>
      <c r="B134" s="6"/>
      <c r="C134" s="6" t="s">
        <v>6</v>
      </c>
      <c r="D134" s="6">
        <v>40</v>
      </c>
      <c r="F134" s="62"/>
      <c r="G134" s="12" t="s">
        <v>92</v>
      </c>
      <c r="H134" s="8">
        <v>40</v>
      </c>
      <c r="I134" s="63"/>
      <c r="J134" s="12" t="s">
        <v>92</v>
      </c>
    </row>
    <row r="135" spans="1:10" s="61" customFormat="1" x14ac:dyDescent="0.3">
      <c r="A135" s="6"/>
      <c r="B135" s="6"/>
      <c r="C135" s="6" t="s">
        <v>92</v>
      </c>
      <c r="D135" s="6">
        <v>25</v>
      </c>
      <c r="F135" s="62"/>
      <c r="G135" s="63"/>
      <c r="H135" s="63"/>
      <c r="I135" s="63"/>
    </row>
    <row r="136" spans="1:10" s="61" customFormat="1" x14ac:dyDescent="0.25">
      <c r="A136" s="6"/>
      <c r="B136" s="6"/>
      <c r="C136" s="6" t="s">
        <v>108</v>
      </c>
      <c r="D136" s="6">
        <v>120</v>
      </c>
      <c r="F136" s="62"/>
      <c r="G136" s="12" t="s">
        <v>109</v>
      </c>
      <c r="H136" s="8">
        <v>120</v>
      </c>
      <c r="I136" s="63"/>
      <c r="J136" s="12" t="s">
        <v>109</v>
      </c>
    </row>
    <row r="137" spans="1:10" s="67" customFormat="1" ht="13.8" x14ac:dyDescent="0.3">
      <c r="A137" s="321" t="s">
        <v>78</v>
      </c>
      <c r="B137" s="322"/>
      <c r="C137" s="323"/>
      <c r="D137" s="10">
        <f>SUM(D131:D136)</f>
        <v>605</v>
      </c>
      <c r="F137" s="11"/>
      <c r="G137" s="17" t="s">
        <v>76</v>
      </c>
      <c r="H137" s="11">
        <f>SUM(H131:H136)</f>
        <v>580</v>
      </c>
      <c r="I137" s="70"/>
      <c r="J137" s="17" t="s">
        <v>76</v>
      </c>
    </row>
    <row r="138" spans="1:10" s="67" customFormat="1" ht="13.5" customHeight="1" x14ac:dyDescent="0.3">
      <c r="D138" s="68"/>
      <c r="F138" s="11"/>
      <c r="G138" s="329" t="s">
        <v>56</v>
      </c>
      <c r="H138" s="330"/>
      <c r="I138" s="70"/>
      <c r="J138" s="88" t="s">
        <v>56</v>
      </c>
    </row>
    <row r="139" spans="1:10" s="67" customFormat="1" ht="13.8" x14ac:dyDescent="0.3">
      <c r="D139" s="68"/>
      <c r="F139" s="11"/>
      <c r="G139" s="12" t="s">
        <v>64</v>
      </c>
      <c r="H139" s="8">
        <v>20</v>
      </c>
      <c r="I139" s="70"/>
      <c r="J139" s="12" t="s">
        <v>64</v>
      </c>
    </row>
    <row r="140" spans="1:10" s="67" customFormat="1" ht="13.8" x14ac:dyDescent="0.3">
      <c r="D140" s="68"/>
      <c r="F140" s="11"/>
      <c r="G140" s="12" t="s">
        <v>71</v>
      </c>
      <c r="H140" s="8">
        <v>90</v>
      </c>
      <c r="I140" s="70"/>
      <c r="J140" s="12" t="s">
        <v>71</v>
      </c>
    </row>
    <row r="141" spans="1:10" s="67" customFormat="1" ht="13.8" x14ac:dyDescent="0.3">
      <c r="D141" s="68"/>
      <c r="F141" s="11"/>
      <c r="G141" s="12" t="s">
        <v>66</v>
      </c>
      <c r="H141" s="8">
        <v>150</v>
      </c>
      <c r="I141" s="70"/>
      <c r="J141" s="12" t="s">
        <v>66</v>
      </c>
    </row>
    <row r="142" spans="1:10" s="67" customFormat="1" ht="13.8" x14ac:dyDescent="0.3">
      <c r="D142" s="68"/>
      <c r="F142" s="11"/>
      <c r="G142" s="18" t="s">
        <v>58</v>
      </c>
      <c r="H142" s="8">
        <f>SUM(H139:H141)</f>
        <v>260</v>
      </c>
      <c r="I142" s="70"/>
      <c r="J142" s="18" t="s">
        <v>58</v>
      </c>
    </row>
    <row r="143" spans="1:10" s="60" customFormat="1" ht="13.8" x14ac:dyDescent="0.3">
      <c r="A143" s="328" t="s">
        <v>8</v>
      </c>
      <c r="B143" s="328"/>
      <c r="C143" s="328"/>
      <c r="D143" s="328"/>
      <c r="E143" s="328"/>
      <c r="F143" s="328"/>
      <c r="G143" s="328" t="s">
        <v>8</v>
      </c>
      <c r="H143" s="328"/>
    </row>
    <row r="144" spans="1:10" s="61" customFormat="1" ht="21" customHeight="1" x14ac:dyDescent="0.25">
      <c r="A144" s="84">
        <v>84</v>
      </c>
      <c r="B144" s="84"/>
      <c r="C144" s="6" t="s">
        <v>161</v>
      </c>
      <c r="D144" s="74">
        <v>250</v>
      </c>
      <c r="F144" s="127">
        <v>24</v>
      </c>
      <c r="G144" s="6" t="s">
        <v>298</v>
      </c>
      <c r="H144" s="74">
        <v>60</v>
      </c>
      <c r="I144" s="84">
        <v>84</v>
      </c>
      <c r="J144" s="6" t="s">
        <v>161</v>
      </c>
    </row>
    <row r="145" spans="1:10" s="61" customFormat="1" ht="18.75" customHeight="1" x14ac:dyDescent="0.25">
      <c r="A145" s="84">
        <v>229</v>
      </c>
      <c r="B145" s="84"/>
      <c r="C145" s="95" t="s">
        <v>162</v>
      </c>
      <c r="D145" s="96">
        <v>200</v>
      </c>
      <c r="F145" s="129">
        <v>84</v>
      </c>
      <c r="G145" s="6" t="s">
        <v>161</v>
      </c>
      <c r="H145" s="74">
        <v>250</v>
      </c>
      <c r="I145" s="84">
        <v>229</v>
      </c>
      <c r="J145" s="6" t="s">
        <v>162</v>
      </c>
    </row>
    <row r="146" spans="1:10" s="61" customFormat="1" ht="15.75" customHeight="1" x14ac:dyDescent="0.25">
      <c r="A146" s="84"/>
      <c r="B146" s="84"/>
      <c r="C146" s="95"/>
      <c r="D146" s="96"/>
      <c r="F146" s="8">
        <v>229</v>
      </c>
      <c r="G146" s="95" t="s">
        <v>162</v>
      </c>
      <c r="H146" s="96">
        <v>200</v>
      </c>
      <c r="I146" s="84"/>
      <c r="J146" s="6"/>
    </row>
    <row r="147" spans="1:10" s="61" customFormat="1" x14ac:dyDescent="0.25">
      <c r="A147" s="8">
        <v>392</v>
      </c>
      <c r="B147" s="8"/>
      <c r="C147" s="6" t="s">
        <v>163</v>
      </c>
      <c r="D147" s="74">
        <v>200</v>
      </c>
      <c r="F147" s="127">
        <v>378</v>
      </c>
      <c r="G147" s="6" t="s">
        <v>166</v>
      </c>
      <c r="H147" s="74">
        <v>200</v>
      </c>
      <c r="I147" s="8">
        <v>392</v>
      </c>
      <c r="J147" s="6" t="s">
        <v>166</v>
      </c>
    </row>
    <row r="148" spans="1:10" s="61" customFormat="1" x14ac:dyDescent="0.25">
      <c r="A148" s="84"/>
      <c r="B148" s="126"/>
      <c r="C148" s="95" t="s">
        <v>164</v>
      </c>
      <c r="D148" s="96">
        <v>80</v>
      </c>
      <c r="F148" s="8"/>
      <c r="G148" s="95" t="s">
        <v>92</v>
      </c>
      <c r="H148" s="96">
        <v>50</v>
      </c>
      <c r="I148" s="84"/>
      <c r="J148" s="95" t="s">
        <v>92</v>
      </c>
    </row>
    <row r="149" spans="1:10" s="61" customFormat="1" x14ac:dyDescent="0.25">
      <c r="A149" s="84"/>
      <c r="B149" s="84"/>
      <c r="C149" s="6" t="s">
        <v>144</v>
      </c>
      <c r="D149" s="74">
        <v>40</v>
      </c>
      <c r="F149" s="62"/>
      <c r="G149" s="63"/>
      <c r="H149" s="63"/>
      <c r="I149" s="84"/>
      <c r="J149" s="6"/>
    </row>
    <row r="150" spans="1:10" s="61" customFormat="1" x14ac:dyDescent="0.25">
      <c r="A150" s="84"/>
      <c r="B150" s="84"/>
      <c r="C150" s="6" t="s">
        <v>92</v>
      </c>
      <c r="D150" s="74">
        <v>40</v>
      </c>
      <c r="F150" s="8"/>
      <c r="G150" s="6"/>
      <c r="H150" s="74"/>
      <c r="I150" s="84"/>
      <c r="J150" s="6"/>
    </row>
    <row r="151" spans="1:10" s="61" customFormat="1" x14ac:dyDescent="0.25">
      <c r="A151" s="84"/>
      <c r="B151" s="84"/>
      <c r="C151" s="73" t="s">
        <v>165</v>
      </c>
      <c r="D151" s="74">
        <v>200</v>
      </c>
      <c r="F151" s="8"/>
      <c r="G151" s="73" t="s">
        <v>53</v>
      </c>
      <c r="H151" s="74">
        <v>200</v>
      </c>
      <c r="I151" s="84"/>
      <c r="J151" s="73"/>
    </row>
    <row r="152" spans="1:10" s="61" customFormat="1" ht="13.8" x14ac:dyDescent="0.3">
      <c r="A152" s="13" t="s">
        <v>20</v>
      </c>
      <c r="B152" s="13"/>
      <c r="C152" s="13"/>
      <c r="D152" s="14">
        <f>SUM(D144:D151)</f>
        <v>1010</v>
      </c>
      <c r="F152" s="62"/>
      <c r="G152" s="15" t="s">
        <v>20</v>
      </c>
      <c r="H152" s="19">
        <f>SUM(H145:H151)</f>
        <v>900</v>
      </c>
      <c r="I152" s="63"/>
      <c r="J152" s="15" t="s">
        <v>20</v>
      </c>
    </row>
    <row r="153" spans="1:10" s="67" customFormat="1" ht="13.8" x14ac:dyDescent="0.3">
      <c r="D153" s="68"/>
      <c r="F153" s="11"/>
      <c r="I153" s="70"/>
    </row>
    <row r="154" spans="1:10" s="60" customFormat="1" ht="13.8" x14ac:dyDescent="0.3">
      <c r="A154" s="328" t="s">
        <v>43</v>
      </c>
      <c r="B154" s="328"/>
      <c r="C154" s="328"/>
      <c r="D154" s="328"/>
      <c r="E154" s="328"/>
      <c r="F154" s="328"/>
      <c r="G154" s="328" t="s">
        <v>43</v>
      </c>
      <c r="H154" s="328"/>
    </row>
    <row r="155" spans="1:10" s="61" customFormat="1" x14ac:dyDescent="0.25">
      <c r="A155" s="9"/>
      <c r="B155" s="9"/>
      <c r="C155" s="9"/>
      <c r="D155" s="9"/>
      <c r="F155" s="62"/>
      <c r="G155" s="12" t="s">
        <v>64</v>
      </c>
      <c r="H155" s="8">
        <v>20</v>
      </c>
      <c r="I155" s="63"/>
      <c r="J155" s="12" t="s">
        <v>64</v>
      </c>
    </row>
    <row r="156" spans="1:10" s="61" customFormat="1" x14ac:dyDescent="0.25">
      <c r="A156" s="9"/>
      <c r="B156" s="9"/>
      <c r="C156" s="9"/>
      <c r="D156" s="9"/>
      <c r="F156" s="62"/>
      <c r="G156" s="12" t="s">
        <v>71</v>
      </c>
      <c r="H156" s="8">
        <v>90</v>
      </c>
      <c r="I156" s="63"/>
      <c r="J156" s="12" t="s">
        <v>71</v>
      </c>
    </row>
    <row r="157" spans="1:10" s="61" customFormat="1" x14ac:dyDescent="0.25">
      <c r="A157" s="9"/>
      <c r="B157" s="9"/>
      <c r="C157" s="9"/>
      <c r="D157" s="9"/>
      <c r="F157" s="62"/>
      <c r="G157" s="12" t="s">
        <v>50</v>
      </c>
      <c r="H157" s="8">
        <v>150</v>
      </c>
      <c r="I157" s="63"/>
      <c r="J157" s="12" t="s">
        <v>50</v>
      </c>
    </row>
    <row r="158" spans="1:10" s="67" customFormat="1" ht="13.8" x14ac:dyDescent="0.3">
      <c r="A158" s="9"/>
      <c r="B158" s="9"/>
      <c r="C158" s="9"/>
      <c r="D158" s="9"/>
      <c r="F158" s="11"/>
      <c r="G158" s="15" t="s">
        <v>44</v>
      </c>
      <c r="H158" s="11">
        <f>SUM(H155:H157)</f>
        <v>260</v>
      </c>
      <c r="I158" s="70"/>
      <c r="J158" s="15" t="s">
        <v>44</v>
      </c>
    </row>
    <row r="159" spans="1:10" s="79" customFormat="1" x14ac:dyDescent="0.25">
      <c r="A159" s="61"/>
      <c r="B159" s="61"/>
      <c r="C159" s="61"/>
      <c r="D159" s="97"/>
      <c r="F159" s="98"/>
      <c r="G159" s="20"/>
      <c r="H159" s="81"/>
      <c r="I159" s="99"/>
      <c r="J159" s="20"/>
    </row>
    <row r="160" spans="1:10" s="59" customFormat="1" ht="12.75" customHeight="1" x14ac:dyDescent="0.3">
      <c r="A160" s="331" t="s">
        <v>26</v>
      </c>
      <c r="B160" s="328"/>
      <c r="C160" s="328"/>
      <c r="D160" s="328"/>
      <c r="E160" s="328"/>
      <c r="F160" s="328"/>
      <c r="G160" s="328" t="s">
        <v>26</v>
      </c>
      <c r="H160" s="328"/>
    </row>
    <row r="161" spans="1:10" s="61" customFormat="1" x14ac:dyDescent="0.3">
      <c r="A161" s="328" t="s">
        <v>54</v>
      </c>
      <c r="B161" s="328"/>
      <c r="C161" s="328"/>
      <c r="D161" s="328"/>
      <c r="E161" s="328"/>
      <c r="F161" s="328"/>
      <c r="G161" s="328" t="s">
        <v>54</v>
      </c>
      <c r="H161" s="328"/>
    </row>
    <row r="162" spans="1:10" s="61" customFormat="1" ht="18" customHeight="1" x14ac:dyDescent="0.3">
      <c r="A162" s="6"/>
      <c r="B162" s="6"/>
      <c r="C162" s="6" t="s">
        <v>110</v>
      </c>
      <c r="D162" s="6">
        <v>60</v>
      </c>
      <c r="F162" s="129">
        <v>71</v>
      </c>
      <c r="G162" s="6" t="s">
        <v>70</v>
      </c>
      <c r="H162" s="6">
        <v>60</v>
      </c>
      <c r="I162" s="6" t="s">
        <v>82</v>
      </c>
      <c r="J162" s="12" t="s">
        <v>112</v>
      </c>
    </row>
    <row r="163" spans="1:10" s="61" customFormat="1" x14ac:dyDescent="0.25">
      <c r="A163" s="6"/>
      <c r="B163" s="6"/>
      <c r="C163" s="6" t="s">
        <v>113</v>
      </c>
      <c r="D163" s="6">
        <v>70</v>
      </c>
      <c r="F163" s="129">
        <v>269</v>
      </c>
      <c r="G163" s="12" t="s">
        <v>113</v>
      </c>
      <c r="H163" s="8">
        <v>90</v>
      </c>
      <c r="I163" s="6"/>
      <c r="J163" s="12" t="s">
        <v>113</v>
      </c>
    </row>
    <row r="164" spans="1:10" s="61" customFormat="1" x14ac:dyDescent="0.25">
      <c r="A164" s="6"/>
      <c r="B164" s="6"/>
      <c r="C164" s="6" t="s">
        <v>45</v>
      </c>
      <c r="D164" s="6">
        <v>160</v>
      </c>
      <c r="F164" s="127">
        <v>143</v>
      </c>
      <c r="G164" s="12" t="s">
        <v>45</v>
      </c>
      <c r="H164" s="8">
        <v>160</v>
      </c>
      <c r="I164" s="6"/>
      <c r="J164" s="12" t="s">
        <v>45</v>
      </c>
    </row>
    <row r="165" spans="1:10" s="61" customFormat="1" x14ac:dyDescent="0.25">
      <c r="A165" s="6"/>
      <c r="B165" s="6"/>
      <c r="C165" s="6" t="s">
        <v>52</v>
      </c>
      <c r="D165" s="6">
        <v>200</v>
      </c>
      <c r="F165" s="128">
        <v>376</v>
      </c>
      <c r="G165" s="12" t="s">
        <v>114</v>
      </c>
      <c r="H165" s="8">
        <v>200</v>
      </c>
      <c r="I165" s="6"/>
      <c r="J165" s="12" t="s">
        <v>114</v>
      </c>
    </row>
    <row r="166" spans="1:10" s="61" customFormat="1" x14ac:dyDescent="0.25">
      <c r="A166" s="6"/>
      <c r="B166" s="6"/>
      <c r="C166" s="6" t="s">
        <v>92</v>
      </c>
      <c r="D166" s="6">
        <v>25</v>
      </c>
      <c r="F166" s="32"/>
      <c r="G166" s="12" t="s">
        <v>92</v>
      </c>
      <c r="H166" s="8">
        <v>40</v>
      </c>
      <c r="I166" s="6"/>
      <c r="J166" s="12" t="s">
        <v>92</v>
      </c>
    </row>
    <row r="167" spans="1:10" s="61" customFormat="1" x14ac:dyDescent="0.3">
      <c r="A167" s="6"/>
      <c r="B167" s="6"/>
      <c r="C167" s="6" t="s">
        <v>6</v>
      </c>
      <c r="D167" s="6">
        <v>40</v>
      </c>
      <c r="F167" s="32"/>
      <c r="G167" s="6"/>
      <c r="H167" s="6"/>
      <c r="I167" s="6"/>
      <c r="J167" s="6"/>
    </row>
    <row r="168" spans="1:10" s="61" customFormat="1" x14ac:dyDescent="0.25">
      <c r="A168" s="6"/>
      <c r="B168" s="6"/>
      <c r="C168" s="6" t="s">
        <v>115</v>
      </c>
      <c r="D168" s="6">
        <v>200</v>
      </c>
      <c r="F168" s="62"/>
      <c r="G168" s="73" t="s">
        <v>53</v>
      </c>
      <c r="H168" s="74">
        <v>200</v>
      </c>
      <c r="I168" s="63"/>
      <c r="J168" s="12"/>
    </row>
    <row r="169" spans="1:10" s="60" customFormat="1" ht="13.8" x14ac:dyDescent="0.3">
      <c r="A169" s="13" t="s">
        <v>78</v>
      </c>
      <c r="B169" s="13"/>
      <c r="C169" s="11"/>
      <c r="D169" s="13">
        <f>SUM(D162:D168)</f>
        <v>755</v>
      </c>
      <c r="F169" s="66"/>
      <c r="G169" s="15" t="s">
        <v>78</v>
      </c>
      <c r="H169" s="11">
        <f>SUM(H162:H168)</f>
        <v>750</v>
      </c>
      <c r="I169" s="65"/>
      <c r="J169" s="15" t="s">
        <v>78</v>
      </c>
    </row>
    <row r="170" spans="1:10" s="60" customFormat="1" ht="13.5" customHeight="1" x14ac:dyDescent="0.3">
      <c r="A170" s="61"/>
      <c r="B170" s="61"/>
      <c r="C170" s="61"/>
      <c r="D170" s="61"/>
      <c r="F170" s="66"/>
      <c r="G170" s="329" t="s">
        <v>56</v>
      </c>
      <c r="H170" s="330"/>
      <c r="I170" s="65"/>
      <c r="J170" s="88" t="s">
        <v>56</v>
      </c>
    </row>
    <row r="171" spans="1:10" s="60" customFormat="1" ht="13.8" x14ac:dyDescent="0.25">
      <c r="A171" s="61"/>
      <c r="B171" s="61"/>
      <c r="C171" s="61"/>
      <c r="D171" s="61"/>
      <c r="F171" s="66"/>
      <c r="G171" s="12" t="s">
        <v>64</v>
      </c>
      <c r="H171" s="8">
        <v>20</v>
      </c>
      <c r="I171" s="65"/>
      <c r="J171" s="12" t="s">
        <v>64</v>
      </c>
    </row>
    <row r="172" spans="1:10" s="60" customFormat="1" ht="13.8" x14ac:dyDescent="0.25">
      <c r="A172" s="61"/>
      <c r="B172" s="61"/>
      <c r="C172" s="61"/>
      <c r="D172" s="61"/>
      <c r="F172" s="66"/>
      <c r="G172" s="12" t="s">
        <v>49</v>
      </c>
      <c r="H172" s="8">
        <v>90</v>
      </c>
      <c r="I172" s="65"/>
      <c r="J172" s="12" t="s">
        <v>49</v>
      </c>
    </row>
    <row r="173" spans="1:10" s="60" customFormat="1" ht="13.8" x14ac:dyDescent="0.25">
      <c r="A173" s="61"/>
      <c r="B173" s="61"/>
      <c r="C173" s="61"/>
      <c r="D173" s="61"/>
      <c r="F173" s="66"/>
      <c r="G173" s="12" t="s">
        <v>66</v>
      </c>
      <c r="H173" s="8">
        <v>150</v>
      </c>
      <c r="I173" s="65"/>
      <c r="J173" s="12" t="s">
        <v>66</v>
      </c>
    </row>
    <row r="174" spans="1:10" s="60" customFormat="1" ht="11.25" customHeight="1" x14ac:dyDescent="0.3">
      <c r="A174" s="61"/>
      <c r="B174" s="61"/>
      <c r="C174" s="61"/>
      <c r="D174" s="61"/>
      <c r="F174" s="66"/>
      <c r="G174" s="15" t="s">
        <v>58</v>
      </c>
      <c r="H174" s="11">
        <f>SUM(H171:H173)</f>
        <v>260</v>
      </c>
      <c r="I174" s="65"/>
      <c r="J174" s="15" t="s">
        <v>58</v>
      </c>
    </row>
    <row r="175" spans="1:10" s="61" customFormat="1" x14ac:dyDescent="0.3">
      <c r="A175" s="328" t="s">
        <v>8</v>
      </c>
      <c r="B175" s="328"/>
      <c r="C175" s="328"/>
      <c r="D175" s="328"/>
      <c r="E175" s="328"/>
      <c r="F175" s="328"/>
      <c r="G175" s="328" t="s">
        <v>8</v>
      </c>
      <c r="H175" s="328"/>
    </row>
    <row r="176" spans="1:10" s="61" customFormat="1" x14ac:dyDescent="0.25">
      <c r="A176" s="8" t="s">
        <v>167</v>
      </c>
      <c r="B176" s="8"/>
      <c r="C176" s="6" t="s">
        <v>168</v>
      </c>
      <c r="D176" s="74">
        <v>250</v>
      </c>
      <c r="F176" s="127">
        <v>99</v>
      </c>
      <c r="G176" s="6" t="s">
        <v>168</v>
      </c>
      <c r="H176" s="74">
        <v>250</v>
      </c>
      <c r="I176" s="8" t="s">
        <v>167</v>
      </c>
      <c r="J176" s="6" t="s">
        <v>168</v>
      </c>
    </row>
    <row r="177" spans="1:10" s="61" customFormat="1" x14ac:dyDescent="0.25">
      <c r="A177" s="84">
        <v>211</v>
      </c>
      <c r="B177" s="84"/>
      <c r="C177" s="6" t="s">
        <v>169</v>
      </c>
      <c r="D177" s="74">
        <v>140</v>
      </c>
      <c r="F177" s="127">
        <v>213</v>
      </c>
      <c r="G177" s="6" t="s">
        <v>244</v>
      </c>
      <c r="H177" s="74">
        <v>150</v>
      </c>
      <c r="I177" s="84">
        <v>211</v>
      </c>
      <c r="J177" s="6" t="s">
        <v>169</v>
      </c>
    </row>
    <row r="178" spans="1:10" s="61" customFormat="1" ht="18.75" customHeight="1" x14ac:dyDescent="0.25">
      <c r="A178" s="84"/>
      <c r="B178" s="84"/>
      <c r="C178" s="6" t="s">
        <v>170</v>
      </c>
      <c r="D178" s="74">
        <v>60</v>
      </c>
      <c r="F178" s="133" t="s">
        <v>323</v>
      </c>
      <c r="G178" s="136" t="s">
        <v>322</v>
      </c>
      <c r="H178" s="74">
        <v>80</v>
      </c>
      <c r="I178" s="20"/>
      <c r="J178" s="6" t="s">
        <v>170</v>
      </c>
    </row>
    <row r="179" spans="1:10" s="61" customFormat="1" ht="18.75" customHeight="1" x14ac:dyDescent="0.25">
      <c r="A179" s="84"/>
      <c r="B179" s="84"/>
      <c r="C179" s="6" t="s">
        <v>171</v>
      </c>
      <c r="D179" s="74">
        <v>180</v>
      </c>
      <c r="F179" s="8"/>
      <c r="G179" s="6"/>
      <c r="H179" s="6"/>
      <c r="I179" s="20"/>
      <c r="J179" s="6" t="s">
        <v>172</v>
      </c>
    </row>
    <row r="180" spans="1:10" s="61" customFormat="1" x14ac:dyDescent="0.25">
      <c r="A180" s="117"/>
      <c r="B180" s="117"/>
      <c r="C180" s="6" t="s">
        <v>144</v>
      </c>
      <c r="D180" s="74">
        <v>40</v>
      </c>
      <c r="F180" s="100"/>
      <c r="G180" s="6" t="s">
        <v>92</v>
      </c>
      <c r="H180" s="74">
        <v>60</v>
      </c>
      <c r="I180" s="101"/>
      <c r="J180" s="9"/>
    </row>
    <row r="181" spans="1:10" s="61" customFormat="1" ht="18.75" customHeight="1" x14ac:dyDescent="0.25">
      <c r="A181" s="84"/>
      <c r="B181" s="84"/>
      <c r="C181" s="6" t="s">
        <v>92</v>
      </c>
      <c r="D181" s="74">
        <v>20</v>
      </c>
      <c r="F181" s="62"/>
      <c r="G181" s="63"/>
      <c r="H181" s="63"/>
      <c r="I181" s="118"/>
      <c r="J181" s="118"/>
    </row>
    <row r="182" spans="1:10" s="61" customFormat="1" x14ac:dyDescent="0.25">
      <c r="A182" s="84"/>
      <c r="B182" s="84"/>
      <c r="C182" s="6" t="s">
        <v>100</v>
      </c>
      <c r="D182" s="74">
        <v>200</v>
      </c>
      <c r="F182" s="128">
        <v>342</v>
      </c>
      <c r="G182" s="63" t="s">
        <v>245</v>
      </c>
      <c r="H182" s="62">
        <v>200</v>
      </c>
      <c r="I182" s="20"/>
      <c r="J182" s="6"/>
    </row>
    <row r="183" spans="1:10" s="60" customFormat="1" ht="13.8" x14ac:dyDescent="0.3">
      <c r="A183" s="325" t="s">
        <v>20</v>
      </c>
      <c r="B183" s="326"/>
      <c r="C183" s="327"/>
      <c r="D183" s="21">
        <f>SUM(D176:D182)</f>
        <v>890</v>
      </c>
      <c r="F183" s="66"/>
      <c r="G183" s="17" t="s">
        <v>7</v>
      </c>
      <c r="H183" s="11">
        <f>SUM(H176:H182)</f>
        <v>740</v>
      </c>
      <c r="I183" s="65"/>
      <c r="J183" s="17" t="s">
        <v>7</v>
      </c>
    </row>
    <row r="184" spans="1:10" s="61" customFormat="1" x14ac:dyDescent="0.3">
      <c r="A184" s="328" t="s">
        <v>43</v>
      </c>
      <c r="B184" s="328"/>
      <c r="C184" s="328"/>
      <c r="D184" s="328"/>
      <c r="E184" s="328"/>
      <c r="F184" s="328"/>
      <c r="G184" s="328" t="s">
        <v>43</v>
      </c>
      <c r="H184" s="328"/>
    </row>
    <row r="185" spans="1:10" s="61" customFormat="1" ht="12.75" customHeight="1" x14ac:dyDescent="0.25">
      <c r="A185" s="9"/>
      <c r="B185" s="9"/>
      <c r="C185" s="9"/>
      <c r="D185" s="9"/>
      <c r="F185" s="62"/>
      <c r="G185" s="12" t="s">
        <v>69</v>
      </c>
      <c r="H185" s="8">
        <v>20</v>
      </c>
      <c r="I185" s="63"/>
      <c r="J185" s="12" t="s">
        <v>69</v>
      </c>
    </row>
    <row r="186" spans="1:10" s="61" customFormat="1" ht="12.75" customHeight="1" x14ac:dyDescent="0.25">
      <c r="A186" s="9"/>
      <c r="B186" s="9"/>
      <c r="C186" s="9"/>
      <c r="D186" s="9"/>
      <c r="F186" s="62"/>
      <c r="G186" s="12" t="s">
        <v>71</v>
      </c>
      <c r="H186" s="8">
        <v>90</v>
      </c>
      <c r="I186" s="63"/>
      <c r="J186" s="12" t="s">
        <v>71</v>
      </c>
    </row>
    <row r="187" spans="1:10" s="67" customFormat="1" ht="13.8" x14ac:dyDescent="0.3">
      <c r="A187" s="9"/>
      <c r="B187" s="9"/>
      <c r="C187" s="9"/>
      <c r="D187" s="9"/>
      <c r="F187" s="11"/>
      <c r="G187" s="12" t="s">
        <v>66</v>
      </c>
      <c r="H187" s="8">
        <v>150</v>
      </c>
      <c r="I187" s="70"/>
      <c r="J187" s="12" t="s">
        <v>66</v>
      </c>
    </row>
    <row r="188" spans="1:10" s="79" customFormat="1" ht="13.8" x14ac:dyDescent="0.3">
      <c r="A188" s="22"/>
      <c r="B188" s="22"/>
      <c r="C188" s="23"/>
      <c r="D188" s="22"/>
      <c r="F188" s="98"/>
      <c r="G188" s="15" t="s">
        <v>44</v>
      </c>
      <c r="H188" s="11">
        <f>SUM(H185:H187)</f>
        <v>260</v>
      </c>
      <c r="I188" s="99"/>
      <c r="J188" s="15" t="s">
        <v>44</v>
      </c>
    </row>
    <row r="189" spans="1:10" s="59" customFormat="1" x14ac:dyDescent="0.3">
      <c r="A189" s="331" t="s">
        <v>25</v>
      </c>
      <c r="B189" s="328"/>
      <c r="C189" s="328"/>
      <c r="D189" s="328"/>
      <c r="E189" s="328"/>
      <c r="F189" s="328"/>
      <c r="G189" s="328" t="s">
        <v>25</v>
      </c>
      <c r="H189" s="328"/>
    </row>
    <row r="190" spans="1:10" s="61" customFormat="1" x14ac:dyDescent="0.3">
      <c r="A190" s="328" t="s">
        <v>54</v>
      </c>
      <c r="B190" s="328"/>
      <c r="C190" s="328"/>
      <c r="D190" s="328"/>
      <c r="E190" s="328"/>
      <c r="F190" s="328"/>
      <c r="G190" s="328" t="s">
        <v>54</v>
      </c>
      <c r="H190" s="328"/>
    </row>
    <row r="191" spans="1:10" s="61" customFormat="1" ht="18" customHeight="1" x14ac:dyDescent="0.3">
      <c r="A191" s="6"/>
      <c r="B191" s="6"/>
      <c r="C191" s="6" t="s">
        <v>106</v>
      </c>
      <c r="D191" s="6">
        <v>70</v>
      </c>
      <c r="F191" s="129">
        <v>71</v>
      </c>
      <c r="G191" s="6" t="s">
        <v>74</v>
      </c>
      <c r="H191" s="6">
        <v>70</v>
      </c>
      <c r="I191" s="6" t="s">
        <v>48</v>
      </c>
      <c r="J191" s="12" t="s">
        <v>74</v>
      </c>
    </row>
    <row r="192" spans="1:10" s="61" customFormat="1" ht="18" customHeight="1" x14ac:dyDescent="0.3">
      <c r="A192" s="6"/>
      <c r="B192" s="6"/>
      <c r="C192" s="6" t="s">
        <v>116</v>
      </c>
      <c r="D192" s="6">
        <v>75</v>
      </c>
      <c r="F192" s="134">
        <v>235</v>
      </c>
      <c r="G192" s="6" t="s">
        <v>294</v>
      </c>
      <c r="H192" s="6">
        <v>90</v>
      </c>
      <c r="I192" s="6"/>
      <c r="J192" s="6" t="s">
        <v>116</v>
      </c>
    </row>
    <row r="193" spans="1:10" s="61" customFormat="1" ht="21.75" customHeight="1" x14ac:dyDescent="0.25">
      <c r="A193" s="6"/>
      <c r="B193" s="6"/>
      <c r="C193" s="6" t="s">
        <v>117</v>
      </c>
      <c r="D193" s="6">
        <v>170</v>
      </c>
      <c r="F193" s="127">
        <v>125</v>
      </c>
      <c r="G193" s="136" t="s">
        <v>297</v>
      </c>
      <c r="H193" s="8">
        <v>150</v>
      </c>
      <c r="I193" s="6" t="s">
        <v>118</v>
      </c>
      <c r="J193" s="12" t="s">
        <v>62</v>
      </c>
    </row>
    <row r="194" spans="1:10" s="61" customFormat="1" ht="16.5" customHeight="1" x14ac:dyDescent="0.25">
      <c r="A194" s="6"/>
      <c r="B194" s="6"/>
      <c r="C194" s="6" t="s">
        <v>119</v>
      </c>
      <c r="D194" s="6">
        <v>200</v>
      </c>
      <c r="F194" s="127">
        <v>349</v>
      </c>
      <c r="G194" s="12" t="s">
        <v>59</v>
      </c>
      <c r="H194" s="8">
        <v>200</v>
      </c>
      <c r="I194" s="6"/>
      <c r="J194" s="12" t="s">
        <v>120</v>
      </c>
    </row>
    <row r="195" spans="1:10" s="61" customFormat="1" x14ac:dyDescent="0.25">
      <c r="A195" s="6"/>
      <c r="B195" s="6"/>
      <c r="C195" s="6" t="s">
        <v>6</v>
      </c>
      <c r="D195" s="6">
        <v>40</v>
      </c>
      <c r="F195" s="32"/>
      <c r="G195" s="12" t="s">
        <v>92</v>
      </c>
      <c r="H195" s="8">
        <v>40</v>
      </c>
      <c r="I195" s="6"/>
      <c r="J195" s="12" t="s">
        <v>92</v>
      </c>
    </row>
    <row r="196" spans="1:10" s="61" customFormat="1" x14ac:dyDescent="0.25">
      <c r="A196" s="6"/>
      <c r="B196" s="6"/>
      <c r="C196" s="6" t="s">
        <v>92</v>
      </c>
      <c r="D196" s="6">
        <v>25</v>
      </c>
      <c r="F196" s="32"/>
      <c r="G196" s="12"/>
      <c r="H196" s="8"/>
      <c r="I196" s="6"/>
      <c r="J196" s="12"/>
    </row>
    <row r="197" spans="1:10" s="67" customFormat="1" ht="13.8" x14ac:dyDescent="0.3">
      <c r="A197" s="6"/>
      <c r="B197" s="6"/>
      <c r="C197" s="6" t="s">
        <v>121</v>
      </c>
      <c r="D197" s="6">
        <v>150</v>
      </c>
      <c r="F197" s="11"/>
      <c r="G197" s="12" t="s">
        <v>299</v>
      </c>
      <c r="H197" s="8">
        <v>100</v>
      </c>
      <c r="I197" s="70"/>
      <c r="J197" s="12"/>
    </row>
    <row r="198" spans="1:10" s="60" customFormat="1" ht="13.8" x14ac:dyDescent="0.3">
      <c r="A198" s="13" t="s">
        <v>78</v>
      </c>
      <c r="B198" s="13"/>
      <c r="C198" s="11"/>
      <c r="D198" s="13">
        <f>SUM(D191:D197)</f>
        <v>730</v>
      </c>
      <c r="F198" s="66"/>
      <c r="G198" s="15" t="s">
        <v>78</v>
      </c>
      <c r="H198" s="11">
        <f>SUM(H191:H197)</f>
        <v>650</v>
      </c>
      <c r="I198" s="65"/>
      <c r="J198" s="15" t="s">
        <v>78</v>
      </c>
    </row>
    <row r="199" spans="1:10" s="60" customFormat="1" ht="13.5" customHeight="1" x14ac:dyDescent="0.3">
      <c r="F199" s="66"/>
      <c r="G199" s="329" t="s">
        <v>56</v>
      </c>
      <c r="H199" s="330"/>
      <c r="I199" s="65"/>
      <c r="J199" s="88" t="s">
        <v>56</v>
      </c>
    </row>
    <row r="200" spans="1:10" s="60" customFormat="1" ht="13.8" x14ac:dyDescent="0.25">
      <c r="F200" s="66"/>
      <c r="G200" s="12" t="s">
        <v>64</v>
      </c>
      <c r="H200" s="8">
        <v>20</v>
      </c>
      <c r="I200" s="65"/>
      <c r="J200" s="12" t="s">
        <v>64</v>
      </c>
    </row>
    <row r="201" spans="1:10" s="60" customFormat="1" ht="13.8" x14ac:dyDescent="0.25">
      <c r="F201" s="66"/>
      <c r="G201" s="12" t="s">
        <v>49</v>
      </c>
      <c r="H201" s="8">
        <v>90</v>
      </c>
      <c r="I201" s="65"/>
      <c r="J201" s="12" t="s">
        <v>49</v>
      </c>
    </row>
    <row r="202" spans="1:10" s="60" customFormat="1" ht="13.8" x14ac:dyDescent="0.25">
      <c r="F202" s="66"/>
      <c r="G202" s="12" t="s">
        <v>51</v>
      </c>
      <c r="H202" s="8">
        <v>150</v>
      </c>
      <c r="I202" s="65"/>
      <c r="J202" s="12" t="s">
        <v>51</v>
      </c>
    </row>
    <row r="203" spans="1:10" s="60" customFormat="1" ht="13.8" x14ac:dyDescent="0.3">
      <c r="F203" s="66"/>
      <c r="G203" s="15" t="s">
        <v>58</v>
      </c>
      <c r="H203" s="11">
        <f>SUM(H200:H202)</f>
        <v>260</v>
      </c>
      <c r="I203" s="65"/>
      <c r="J203" s="15" t="s">
        <v>58</v>
      </c>
    </row>
    <row r="204" spans="1:10" s="61" customFormat="1" x14ac:dyDescent="0.3">
      <c r="A204" s="328" t="s">
        <v>8</v>
      </c>
      <c r="B204" s="328"/>
      <c r="C204" s="328"/>
      <c r="D204" s="328"/>
      <c r="E204" s="328"/>
      <c r="F204" s="328"/>
      <c r="G204" s="328" t="s">
        <v>8</v>
      </c>
      <c r="H204" s="328"/>
    </row>
    <row r="205" spans="1:10" s="61" customFormat="1" x14ac:dyDescent="0.25">
      <c r="A205" s="100">
        <v>81</v>
      </c>
      <c r="B205" s="100"/>
      <c r="C205" s="6" t="s">
        <v>173</v>
      </c>
      <c r="D205" s="74">
        <v>250</v>
      </c>
      <c r="F205" s="8" t="s">
        <v>316</v>
      </c>
      <c r="G205" s="6" t="s">
        <v>173</v>
      </c>
      <c r="H205" s="74">
        <v>250</v>
      </c>
      <c r="I205" s="8">
        <v>81</v>
      </c>
      <c r="J205" s="6" t="s">
        <v>173</v>
      </c>
    </row>
    <row r="206" spans="1:10" s="61" customFormat="1" x14ac:dyDescent="0.25">
      <c r="A206" s="84" t="s">
        <v>174</v>
      </c>
      <c r="B206" s="126"/>
      <c r="C206" s="95" t="s">
        <v>175</v>
      </c>
      <c r="D206" s="96">
        <v>80</v>
      </c>
      <c r="F206" s="129" t="s">
        <v>315</v>
      </c>
      <c r="G206" s="95" t="s">
        <v>175</v>
      </c>
      <c r="H206" s="96">
        <v>90</v>
      </c>
      <c r="I206" s="84" t="s">
        <v>174</v>
      </c>
      <c r="J206" s="95" t="s">
        <v>175</v>
      </c>
    </row>
    <row r="207" spans="1:10" s="61" customFormat="1" ht="16.5" customHeight="1" x14ac:dyDescent="0.25">
      <c r="A207" s="84"/>
      <c r="B207" s="84"/>
      <c r="C207" s="6" t="s">
        <v>177</v>
      </c>
      <c r="D207" s="74">
        <v>155</v>
      </c>
      <c r="F207" s="8"/>
      <c r="G207" s="138" t="s">
        <v>383</v>
      </c>
      <c r="H207" s="74">
        <v>155</v>
      </c>
      <c r="I207" s="84"/>
      <c r="J207" s="6" t="s">
        <v>178</v>
      </c>
    </row>
    <row r="208" spans="1:10" s="61" customFormat="1" ht="18.75" customHeight="1" x14ac:dyDescent="0.25">
      <c r="A208" s="84"/>
      <c r="B208" s="84"/>
      <c r="C208" s="6" t="s">
        <v>176</v>
      </c>
      <c r="D208" s="74">
        <v>200</v>
      </c>
      <c r="F208" s="127">
        <v>349</v>
      </c>
      <c r="G208" s="6" t="s">
        <v>59</v>
      </c>
      <c r="H208" s="74">
        <v>200</v>
      </c>
      <c r="I208" s="84"/>
      <c r="J208" s="6" t="s">
        <v>120</v>
      </c>
    </row>
    <row r="209" spans="1:10" s="61" customFormat="1" x14ac:dyDescent="0.25">
      <c r="A209" s="84"/>
      <c r="B209" s="84"/>
      <c r="C209" s="6" t="s">
        <v>142</v>
      </c>
      <c r="D209" s="74">
        <v>200</v>
      </c>
      <c r="F209" s="8"/>
      <c r="G209" s="6" t="s">
        <v>142</v>
      </c>
      <c r="H209" s="74">
        <v>200</v>
      </c>
      <c r="I209" s="84"/>
      <c r="J209" s="6" t="s">
        <v>142</v>
      </c>
    </row>
    <row r="210" spans="1:10" s="61" customFormat="1" x14ac:dyDescent="0.25">
      <c r="A210" s="112"/>
      <c r="B210" s="112"/>
      <c r="C210" s="6" t="s">
        <v>144</v>
      </c>
      <c r="D210" s="96">
        <v>60</v>
      </c>
      <c r="F210" s="8"/>
      <c r="G210" s="6" t="s">
        <v>92</v>
      </c>
      <c r="H210" s="96">
        <v>60</v>
      </c>
      <c r="I210" s="84"/>
      <c r="J210" s="6" t="s">
        <v>92</v>
      </c>
    </row>
    <row r="211" spans="1:10" s="61" customFormat="1" x14ac:dyDescent="0.25">
      <c r="A211" s="84"/>
      <c r="B211" s="84"/>
      <c r="C211" s="6" t="s">
        <v>92</v>
      </c>
      <c r="D211" s="74">
        <v>20</v>
      </c>
      <c r="F211" s="8"/>
      <c r="G211" s="6"/>
      <c r="H211" s="74"/>
      <c r="I211" s="84"/>
      <c r="J211" s="6"/>
    </row>
    <row r="212" spans="1:10" s="67" customFormat="1" ht="12.75" customHeight="1" x14ac:dyDescent="0.3">
      <c r="A212" s="13" t="s">
        <v>20</v>
      </c>
      <c r="B212" s="13"/>
      <c r="C212" s="11"/>
      <c r="D212" s="13">
        <f>SUM(D205:D211)</f>
        <v>965</v>
      </c>
      <c r="F212" s="11"/>
      <c r="G212" s="15" t="s">
        <v>20</v>
      </c>
      <c r="H212" s="19">
        <f>SUM(H205:H211)</f>
        <v>955</v>
      </c>
      <c r="I212" s="70"/>
      <c r="J212" s="15" t="s">
        <v>20</v>
      </c>
    </row>
    <row r="213" spans="1:10" s="60" customFormat="1" ht="13.8" x14ac:dyDescent="0.3">
      <c r="F213" s="66"/>
      <c r="I213" s="65"/>
    </row>
    <row r="214" spans="1:10" s="61" customFormat="1" x14ac:dyDescent="0.3">
      <c r="A214" s="328" t="s">
        <v>43</v>
      </c>
      <c r="B214" s="328"/>
      <c r="C214" s="328"/>
      <c r="D214" s="328"/>
      <c r="E214" s="328"/>
      <c r="F214" s="328"/>
      <c r="G214" s="328" t="s">
        <v>43</v>
      </c>
      <c r="H214" s="328"/>
    </row>
    <row r="215" spans="1:10" s="61" customFormat="1" ht="26.4" x14ac:dyDescent="0.25">
      <c r="A215" s="9"/>
      <c r="B215" s="9"/>
      <c r="C215" s="9"/>
      <c r="D215" s="9"/>
      <c r="F215" s="62"/>
      <c r="G215" s="12" t="s">
        <v>57</v>
      </c>
      <c r="H215" s="8">
        <v>20</v>
      </c>
      <c r="I215" s="63"/>
      <c r="J215" s="12" t="s">
        <v>57</v>
      </c>
    </row>
    <row r="216" spans="1:10" s="61" customFormat="1" x14ac:dyDescent="0.25">
      <c r="A216" s="9"/>
      <c r="B216" s="9"/>
      <c r="C216" s="9"/>
      <c r="D216" s="9"/>
      <c r="F216" s="62"/>
      <c r="G216" s="12" t="s">
        <v>49</v>
      </c>
      <c r="H216" s="8">
        <v>90</v>
      </c>
      <c r="I216" s="63"/>
      <c r="J216" s="12" t="s">
        <v>49</v>
      </c>
    </row>
    <row r="217" spans="1:10" s="67" customFormat="1" ht="13.8" x14ac:dyDescent="0.3">
      <c r="A217" s="9"/>
      <c r="B217" s="9"/>
      <c r="C217" s="9"/>
      <c r="D217" s="9"/>
      <c r="F217" s="11"/>
      <c r="G217" s="12" t="s">
        <v>51</v>
      </c>
      <c r="H217" s="8">
        <v>150</v>
      </c>
      <c r="I217" s="70"/>
      <c r="J217" s="12" t="s">
        <v>51</v>
      </c>
    </row>
    <row r="218" spans="1:10" s="79" customFormat="1" ht="13.8" x14ac:dyDescent="0.3">
      <c r="A218" s="22"/>
      <c r="B218" s="22"/>
      <c r="C218" s="23"/>
      <c r="D218" s="22"/>
      <c r="F218" s="98"/>
      <c r="G218" s="15" t="s">
        <v>44</v>
      </c>
      <c r="H218" s="11">
        <f>SUM(H215:H217)</f>
        <v>260</v>
      </c>
      <c r="I218" s="99"/>
      <c r="J218" s="15" t="s">
        <v>44</v>
      </c>
    </row>
    <row r="219" spans="1:10" s="58" customFormat="1" x14ac:dyDescent="0.25">
      <c r="F219" s="102"/>
      <c r="G219" s="20"/>
      <c r="H219" s="103"/>
      <c r="I219" s="104"/>
      <c r="J219" s="20"/>
    </row>
    <row r="220" spans="1:10" s="59" customFormat="1" x14ac:dyDescent="0.3">
      <c r="A220" s="331" t="s">
        <v>24</v>
      </c>
      <c r="B220" s="328"/>
      <c r="C220" s="328"/>
      <c r="D220" s="328"/>
      <c r="E220" s="328"/>
      <c r="F220" s="328"/>
      <c r="G220" s="328" t="s">
        <v>24</v>
      </c>
      <c r="H220" s="328"/>
    </row>
    <row r="221" spans="1:10" s="61" customFormat="1" x14ac:dyDescent="0.3">
      <c r="A221" s="328" t="s">
        <v>54</v>
      </c>
      <c r="B221" s="328"/>
      <c r="C221" s="328"/>
      <c r="D221" s="328"/>
      <c r="E221" s="328"/>
      <c r="F221" s="328"/>
      <c r="G221" s="328" t="s">
        <v>54</v>
      </c>
      <c r="H221" s="328"/>
    </row>
    <row r="222" spans="1:10" s="61" customFormat="1" ht="28.5" customHeight="1" x14ac:dyDescent="0.25">
      <c r="A222" s="6"/>
      <c r="B222" s="6"/>
      <c r="C222" s="105" t="s">
        <v>225</v>
      </c>
      <c r="D222" s="106">
        <v>80</v>
      </c>
      <c r="F222" s="128">
        <v>45</v>
      </c>
      <c r="G222" s="105" t="s">
        <v>225</v>
      </c>
      <c r="H222" s="106">
        <v>80</v>
      </c>
      <c r="I222" s="6"/>
      <c r="J222" s="12" t="s">
        <v>122</v>
      </c>
    </row>
    <row r="223" spans="1:10" s="61" customFormat="1" ht="18.75" customHeight="1" x14ac:dyDescent="0.3">
      <c r="A223" s="6"/>
      <c r="B223" s="6"/>
      <c r="C223" s="6" t="s">
        <v>124</v>
      </c>
      <c r="D223" s="6">
        <v>110</v>
      </c>
      <c r="F223" s="32" t="s">
        <v>317</v>
      </c>
      <c r="G223" s="6" t="s">
        <v>124</v>
      </c>
      <c r="H223" s="6">
        <v>110</v>
      </c>
      <c r="I223" s="6"/>
      <c r="J223" s="6" t="s">
        <v>124</v>
      </c>
    </row>
    <row r="224" spans="1:10" s="61" customFormat="1" ht="22.5" customHeight="1" x14ac:dyDescent="0.3">
      <c r="A224" s="6"/>
      <c r="B224" s="6"/>
      <c r="C224" s="6" t="s">
        <v>125</v>
      </c>
      <c r="D224" s="6">
        <v>155</v>
      </c>
      <c r="F224" s="32"/>
      <c r="G224" s="6" t="s">
        <v>125</v>
      </c>
      <c r="H224" s="6">
        <v>155</v>
      </c>
      <c r="I224" s="6"/>
      <c r="J224" s="6" t="s">
        <v>125</v>
      </c>
    </row>
    <row r="225" spans="1:10" s="61" customFormat="1" x14ac:dyDescent="0.25">
      <c r="A225" s="6"/>
      <c r="B225" s="6"/>
      <c r="C225" s="6" t="s">
        <v>90</v>
      </c>
      <c r="D225" s="6">
        <v>200</v>
      </c>
      <c r="F225" s="8"/>
      <c r="G225" s="136" t="s">
        <v>302</v>
      </c>
      <c r="H225" s="8">
        <v>200</v>
      </c>
      <c r="I225" s="6"/>
      <c r="J225" s="12" t="s">
        <v>91</v>
      </c>
    </row>
    <row r="226" spans="1:10" s="61" customFormat="1" x14ac:dyDescent="0.3">
      <c r="A226" s="6"/>
      <c r="B226" s="6"/>
      <c r="C226" s="6" t="s">
        <v>92</v>
      </c>
      <c r="D226" s="6">
        <v>25</v>
      </c>
      <c r="F226" s="32"/>
      <c r="G226" s="63" t="s">
        <v>92</v>
      </c>
      <c r="H226" s="62">
        <v>40</v>
      </c>
      <c r="I226" s="6"/>
      <c r="J226" s="63" t="s">
        <v>92</v>
      </c>
    </row>
    <row r="227" spans="1:10" s="61" customFormat="1" x14ac:dyDescent="0.25">
      <c r="A227" s="6"/>
      <c r="B227" s="6"/>
      <c r="C227" s="6" t="s">
        <v>6</v>
      </c>
      <c r="D227" s="6">
        <v>40</v>
      </c>
      <c r="F227" s="62"/>
      <c r="G227" s="12"/>
      <c r="H227" s="8"/>
      <c r="I227" s="63"/>
      <c r="J227" s="12"/>
    </row>
    <row r="228" spans="1:10" s="61" customFormat="1" ht="19.5" customHeight="1" x14ac:dyDescent="0.25">
      <c r="A228" s="6"/>
      <c r="B228" s="6"/>
      <c r="C228" s="6" t="s">
        <v>126</v>
      </c>
      <c r="D228" s="6">
        <v>25</v>
      </c>
      <c r="F228" s="62"/>
      <c r="G228" s="12"/>
      <c r="H228" s="8"/>
      <c r="I228" s="63"/>
      <c r="J228" s="12"/>
    </row>
    <row r="229" spans="1:10" s="67" customFormat="1" ht="13.8" x14ac:dyDescent="0.3">
      <c r="A229" s="13" t="s">
        <v>78</v>
      </c>
      <c r="B229" s="13"/>
      <c r="C229" s="11"/>
      <c r="D229" s="13">
        <f>SUM(D222:D228)</f>
        <v>635</v>
      </c>
      <c r="F229" s="11"/>
      <c r="G229" s="15" t="s">
        <v>78</v>
      </c>
      <c r="H229" s="11">
        <f>SUM(H222:H228)</f>
        <v>585</v>
      </c>
      <c r="I229" s="70"/>
      <c r="J229" s="15" t="s">
        <v>78</v>
      </c>
    </row>
    <row r="230" spans="1:10" s="60" customFormat="1" ht="13.8" x14ac:dyDescent="0.3">
      <c r="F230" s="66"/>
      <c r="I230" s="65"/>
    </row>
    <row r="231" spans="1:10" s="60" customFormat="1" ht="13.5" customHeight="1" x14ac:dyDescent="0.3">
      <c r="F231" s="66"/>
      <c r="G231" s="329" t="s">
        <v>56</v>
      </c>
      <c r="H231" s="330"/>
      <c r="I231" s="65"/>
      <c r="J231" s="88" t="s">
        <v>56</v>
      </c>
    </row>
    <row r="232" spans="1:10" s="60" customFormat="1" ht="13.8" x14ac:dyDescent="0.25">
      <c r="F232" s="66"/>
      <c r="G232" s="12" t="s">
        <v>64</v>
      </c>
      <c r="H232" s="8">
        <v>20</v>
      </c>
      <c r="I232" s="65"/>
      <c r="J232" s="12" t="s">
        <v>64</v>
      </c>
    </row>
    <row r="233" spans="1:10" s="60" customFormat="1" ht="13.8" x14ac:dyDescent="0.25">
      <c r="F233" s="66"/>
      <c r="G233" s="12" t="s">
        <v>49</v>
      </c>
      <c r="H233" s="8">
        <v>90</v>
      </c>
      <c r="I233" s="65"/>
      <c r="J233" s="12" t="s">
        <v>49</v>
      </c>
    </row>
    <row r="234" spans="1:10" s="60" customFormat="1" ht="13.8" x14ac:dyDescent="0.25">
      <c r="F234" s="66"/>
      <c r="G234" s="12" t="s">
        <v>66</v>
      </c>
      <c r="H234" s="8">
        <v>150</v>
      </c>
      <c r="I234" s="65"/>
      <c r="J234" s="12" t="s">
        <v>66</v>
      </c>
    </row>
    <row r="235" spans="1:10" s="60" customFormat="1" ht="13.8" x14ac:dyDescent="0.3">
      <c r="F235" s="66"/>
      <c r="G235" s="15" t="s">
        <v>58</v>
      </c>
      <c r="H235" s="11">
        <f>SUM(H232:H234)</f>
        <v>260</v>
      </c>
      <c r="I235" s="65"/>
      <c r="J235" s="15" t="s">
        <v>58</v>
      </c>
    </row>
    <row r="236" spans="1:10" s="61" customFormat="1" x14ac:dyDescent="0.3">
      <c r="A236" s="328" t="s">
        <v>8</v>
      </c>
      <c r="B236" s="328"/>
      <c r="C236" s="328"/>
      <c r="D236" s="328"/>
      <c r="E236" s="328"/>
      <c r="F236" s="328"/>
      <c r="G236" s="328" t="s">
        <v>8</v>
      </c>
      <c r="H236" s="328"/>
    </row>
    <row r="237" spans="1:10" s="61" customFormat="1" x14ac:dyDescent="0.25">
      <c r="A237" s="107"/>
      <c r="B237" s="107"/>
      <c r="C237" s="6" t="s">
        <v>179</v>
      </c>
      <c r="D237" s="74">
        <v>60</v>
      </c>
      <c r="F237" s="129">
        <v>71</v>
      </c>
      <c r="G237" s="6" t="s">
        <v>328</v>
      </c>
      <c r="H237" s="74">
        <v>60</v>
      </c>
      <c r="I237" s="107"/>
      <c r="J237" s="6" t="s">
        <v>179</v>
      </c>
    </row>
    <row r="238" spans="1:10" s="61" customFormat="1" ht="26.4" x14ac:dyDescent="0.25">
      <c r="A238" s="108" t="s">
        <v>180</v>
      </c>
      <c r="B238" s="108"/>
      <c r="C238" s="109" t="s">
        <v>206</v>
      </c>
      <c r="D238" s="96">
        <v>250</v>
      </c>
      <c r="F238" s="127">
        <v>102</v>
      </c>
      <c r="G238" s="136" t="s">
        <v>308</v>
      </c>
      <c r="H238" s="96">
        <v>250</v>
      </c>
      <c r="I238" s="108" t="s">
        <v>180</v>
      </c>
      <c r="J238" s="109" t="s">
        <v>206</v>
      </c>
    </row>
    <row r="239" spans="1:10" s="61" customFormat="1" ht="24" customHeight="1" x14ac:dyDescent="0.25">
      <c r="A239" s="84">
        <v>234</v>
      </c>
      <c r="B239" s="84"/>
      <c r="C239" s="6" t="s">
        <v>182</v>
      </c>
      <c r="D239" s="74">
        <v>80</v>
      </c>
      <c r="F239" s="127">
        <v>234</v>
      </c>
      <c r="G239" s="6" t="s">
        <v>295</v>
      </c>
      <c r="H239" s="74">
        <v>90</v>
      </c>
      <c r="I239" s="84">
        <v>234</v>
      </c>
      <c r="J239" s="6" t="s">
        <v>182</v>
      </c>
    </row>
    <row r="240" spans="1:10" s="61" customFormat="1" ht="18" customHeight="1" x14ac:dyDescent="0.25">
      <c r="A240" s="84">
        <v>125</v>
      </c>
      <c r="B240" s="84"/>
      <c r="C240" s="95" t="s">
        <v>184</v>
      </c>
      <c r="D240" s="96">
        <v>145</v>
      </c>
      <c r="F240" s="127">
        <v>125</v>
      </c>
      <c r="G240" s="95" t="s">
        <v>324</v>
      </c>
      <c r="H240" s="8">
        <v>150</v>
      </c>
      <c r="I240" s="6" t="s">
        <v>185</v>
      </c>
      <c r="J240" s="12" t="s">
        <v>186</v>
      </c>
    </row>
    <row r="241" spans="1:10" s="61" customFormat="1" ht="15.75" customHeight="1" x14ac:dyDescent="0.25">
      <c r="A241" s="84">
        <v>397</v>
      </c>
      <c r="B241" s="84"/>
      <c r="C241" s="6" t="s">
        <v>183</v>
      </c>
      <c r="D241" s="74">
        <v>200</v>
      </c>
      <c r="F241" s="127">
        <v>349</v>
      </c>
      <c r="G241" s="6" t="s">
        <v>59</v>
      </c>
      <c r="H241" s="74">
        <v>200</v>
      </c>
      <c r="I241" s="84"/>
      <c r="J241" s="6" t="s">
        <v>59</v>
      </c>
    </row>
    <row r="242" spans="1:10" s="61" customFormat="1" x14ac:dyDescent="0.25">
      <c r="A242" s="84"/>
      <c r="B242" s="84"/>
      <c r="C242" s="6" t="s">
        <v>144</v>
      </c>
      <c r="D242" s="96">
        <v>60</v>
      </c>
      <c r="F242" s="8"/>
      <c r="G242" s="6" t="s">
        <v>92</v>
      </c>
      <c r="H242" s="74">
        <v>50</v>
      </c>
      <c r="I242" s="84"/>
      <c r="J242" s="6" t="s">
        <v>187</v>
      </c>
    </row>
    <row r="243" spans="1:10" s="61" customFormat="1" x14ac:dyDescent="0.25">
      <c r="A243" s="84"/>
      <c r="B243" s="84"/>
      <c r="C243" s="6" t="s">
        <v>92</v>
      </c>
      <c r="D243" s="74">
        <v>40</v>
      </c>
      <c r="F243" s="8"/>
      <c r="G243" s="6"/>
      <c r="H243" s="74"/>
      <c r="I243" s="84"/>
      <c r="J243" s="6"/>
    </row>
    <row r="244" spans="1:10" s="61" customFormat="1" x14ac:dyDescent="0.25">
      <c r="A244" s="84"/>
      <c r="B244" s="84"/>
      <c r="C244" s="6" t="s">
        <v>150</v>
      </c>
      <c r="D244" s="74">
        <v>200</v>
      </c>
      <c r="F244" s="8"/>
      <c r="G244" s="6"/>
      <c r="H244" s="74"/>
      <c r="I244" s="84"/>
      <c r="J244" s="6" t="s">
        <v>150</v>
      </c>
    </row>
    <row r="245" spans="1:10" s="60" customFormat="1" ht="13.8" x14ac:dyDescent="0.3">
      <c r="A245" s="11" t="s">
        <v>20</v>
      </c>
      <c r="B245" s="11"/>
      <c r="C245" s="11"/>
      <c r="D245" s="6">
        <f>SUM(D237:D244)</f>
        <v>1035</v>
      </c>
      <c r="F245" s="66"/>
      <c r="G245" s="17" t="s">
        <v>7</v>
      </c>
      <c r="H245" s="11">
        <f>SUM(H237:H244)</f>
        <v>800</v>
      </c>
      <c r="I245" s="65"/>
      <c r="J245" s="17" t="s">
        <v>7</v>
      </c>
    </row>
    <row r="246" spans="1:10" s="61" customFormat="1" x14ac:dyDescent="0.3">
      <c r="A246" s="328" t="s">
        <v>43</v>
      </c>
      <c r="B246" s="328"/>
      <c r="C246" s="328"/>
      <c r="D246" s="328"/>
      <c r="E246" s="328"/>
      <c r="F246" s="328"/>
      <c r="G246" s="328" t="s">
        <v>43</v>
      </c>
      <c r="H246" s="328"/>
    </row>
    <row r="247" spans="1:10" s="61" customFormat="1" x14ac:dyDescent="0.25">
      <c r="A247" s="9"/>
      <c r="B247" s="9"/>
      <c r="C247" s="9"/>
      <c r="D247" s="9"/>
      <c r="F247" s="62"/>
      <c r="G247" s="12" t="s">
        <v>69</v>
      </c>
      <c r="H247" s="8">
        <v>20</v>
      </c>
      <c r="I247" s="63"/>
      <c r="J247" s="12" t="s">
        <v>69</v>
      </c>
    </row>
    <row r="248" spans="1:10" s="61" customFormat="1" x14ac:dyDescent="0.25">
      <c r="A248" s="9"/>
      <c r="B248" s="9"/>
      <c r="C248" s="9"/>
      <c r="D248" s="9"/>
      <c r="F248" s="62"/>
      <c r="G248" s="12" t="s">
        <v>71</v>
      </c>
      <c r="H248" s="8">
        <v>90</v>
      </c>
      <c r="I248" s="63"/>
      <c r="J248" s="12" t="s">
        <v>71</v>
      </c>
    </row>
    <row r="249" spans="1:10" s="67" customFormat="1" ht="13.8" x14ac:dyDescent="0.3">
      <c r="A249" s="9"/>
      <c r="B249" s="9"/>
      <c r="C249" s="9"/>
      <c r="D249" s="9"/>
      <c r="F249" s="11"/>
      <c r="G249" s="12" t="s">
        <v>50</v>
      </c>
      <c r="H249" s="8">
        <v>150</v>
      </c>
      <c r="I249" s="70"/>
      <c r="J249" s="12" t="s">
        <v>50</v>
      </c>
    </row>
    <row r="250" spans="1:10" s="79" customFormat="1" ht="13.8" x14ac:dyDescent="0.3">
      <c r="A250" s="22"/>
      <c r="B250" s="22"/>
      <c r="C250" s="23"/>
      <c r="D250" s="22"/>
      <c r="F250" s="98"/>
      <c r="G250" s="15" t="s">
        <v>44</v>
      </c>
      <c r="H250" s="11">
        <f>SUM(H247:H249)</f>
        <v>260</v>
      </c>
      <c r="I250" s="99"/>
      <c r="J250" s="15" t="s">
        <v>44</v>
      </c>
    </row>
    <row r="251" spans="1:10" s="59" customFormat="1" ht="19.5" customHeight="1" x14ac:dyDescent="0.3">
      <c r="A251" s="331" t="s">
        <v>23</v>
      </c>
      <c r="B251" s="328"/>
      <c r="C251" s="328"/>
      <c r="D251" s="328"/>
      <c r="E251" s="328"/>
      <c r="F251" s="328"/>
      <c r="G251" s="328" t="s">
        <v>23</v>
      </c>
      <c r="H251" s="328"/>
    </row>
    <row r="252" spans="1:10" s="61" customFormat="1" x14ac:dyDescent="0.3">
      <c r="A252" s="328" t="s">
        <v>54</v>
      </c>
      <c r="B252" s="328"/>
      <c r="C252" s="328"/>
      <c r="D252" s="328"/>
      <c r="E252" s="328"/>
      <c r="F252" s="328"/>
      <c r="G252" s="328" t="s">
        <v>54</v>
      </c>
      <c r="H252" s="328"/>
    </row>
    <row r="253" spans="1:10" s="61" customFormat="1" ht="25.5" customHeight="1" x14ac:dyDescent="0.3">
      <c r="A253" s="110"/>
      <c r="B253" s="110"/>
      <c r="C253" s="6" t="s">
        <v>128</v>
      </c>
      <c r="D253" s="6">
        <v>175</v>
      </c>
      <c r="E253" s="111"/>
      <c r="F253" s="127" t="s">
        <v>318</v>
      </c>
      <c r="G253" s="6" t="s">
        <v>122</v>
      </c>
      <c r="H253" s="6">
        <v>175</v>
      </c>
      <c r="I253" s="110"/>
      <c r="J253" s="6" t="s">
        <v>122</v>
      </c>
    </row>
    <row r="254" spans="1:10" s="61" customFormat="1" x14ac:dyDescent="0.3">
      <c r="A254" s="110"/>
      <c r="B254" s="110"/>
      <c r="C254" s="6" t="s">
        <v>87</v>
      </c>
      <c r="D254" s="6">
        <v>200</v>
      </c>
      <c r="E254" s="111"/>
      <c r="F254" s="127">
        <v>382</v>
      </c>
      <c r="G254" s="6" t="s">
        <v>60</v>
      </c>
      <c r="H254" s="6">
        <v>200</v>
      </c>
      <c r="I254" s="110"/>
      <c r="J254" s="6" t="s">
        <v>60</v>
      </c>
    </row>
    <row r="255" spans="1:10" s="61" customFormat="1" x14ac:dyDescent="0.25">
      <c r="A255" s="110"/>
      <c r="B255" s="110"/>
      <c r="C255" s="6" t="s">
        <v>6</v>
      </c>
      <c r="D255" s="6">
        <v>40</v>
      </c>
      <c r="E255" s="111"/>
      <c r="F255" s="102"/>
      <c r="G255" s="6" t="s">
        <v>92</v>
      </c>
      <c r="H255" s="8">
        <v>50</v>
      </c>
      <c r="I255" s="110"/>
      <c r="J255" s="6" t="s">
        <v>92</v>
      </c>
    </row>
    <row r="256" spans="1:10" s="61" customFormat="1" ht="16.5" customHeight="1" x14ac:dyDescent="0.25">
      <c r="A256" s="6"/>
      <c r="B256" s="6"/>
      <c r="C256" s="6" t="s">
        <v>129</v>
      </c>
      <c r="D256" s="6">
        <v>180</v>
      </c>
      <c r="F256" s="32"/>
      <c r="G256" s="6" t="s">
        <v>93</v>
      </c>
      <c r="H256" s="8">
        <v>180</v>
      </c>
      <c r="I256" s="6"/>
      <c r="J256" s="6" t="s">
        <v>207</v>
      </c>
    </row>
    <row r="257" spans="1:10" s="60" customFormat="1" ht="13.8" x14ac:dyDescent="0.3">
      <c r="A257" s="13" t="s">
        <v>78</v>
      </c>
      <c r="B257" s="13"/>
      <c r="C257" s="11"/>
      <c r="D257" s="13">
        <f>SUM(D253:D256)</f>
        <v>595</v>
      </c>
      <c r="F257" s="66"/>
      <c r="G257" s="15" t="s">
        <v>78</v>
      </c>
      <c r="H257" s="11">
        <f>SUM(H253:H256)</f>
        <v>605</v>
      </c>
      <c r="I257" s="65"/>
      <c r="J257" s="15" t="s">
        <v>78</v>
      </c>
    </row>
    <row r="258" spans="1:10" s="60" customFormat="1" ht="13.5" customHeight="1" x14ac:dyDescent="0.3">
      <c r="F258" s="66"/>
      <c r="G258" s="329" t="s">
        <v>56</v>
      </c>
      <c r="H258" s="330"/>
      <c r="I258" s="65"/>
      <c r="J258" s="88" t="s">
        <v>56</v>
      </c>
    </row>
    <row r="259" spans="1:10" s="60" customFormat="1" ht="13.8" x14ac:dyDescent="0.25">
      <c r="F259" s="66"/>
      <c r="G259" s="12" t="s">
        <v>64</v>
      </c>
      <c r="H259" s="8">
        <v>20</v>
      </c>
      <c r="I259" s="65"/>
      <c r="J259" s="12" t="s">
        <v>64</v>
      </c>
    </row>
    <row r="260" spans="1:10" s="60" customFormat="1" ht="13.8" x14ac:dyDescent="0.25">
      <c r="F260" s="66"/>
      <c r="G260" s="12" t="s">
        <v>49</v>
      </c>
      <c r="H260" s="8">
        <v>90</v>
      </c>
      <c r="I260" s="65"/>
      <c r="J260" s="12" t="s">
        <v>49</v>
      </c>
    </row>
    <row r="261" spans="1:10" s="60" customFormat="1" ht="13.8" x14ac:dyDescent="0.25">
      <c r="F261" s="66"/>
      <c r="G261" s="12" t="s">
        <v>53</v>
      </c>
      <c r="H261" s="8">
        <v>150</v>
      </c>
      <c r="I261" s="65"/>
      <c r="J261" s="12" t="s">
        <v>53</v>
      </c>
    </row>
    <row r="262" spans="1:10" s="60" customFormat="1" ht="13.8" x14ac:dyDescent="0.3">
      <c r="F262" s="66"/>
      <c r="G262" s="15" t="s">
        <v>58</v>
      </c>
      <c r="H262" s="11">
        <f>SUM(H259:H261)</f>
        <v>260</v>
      </c>
      <c r="I262" s="65"/>
      <c r="J262" s="15" t="s">
        <v>58</v>
      </c>
    </row>
    <row r="263" spans="1:10" s="61" customFormat="1" ht="12.75" customHeight="1" x14ac:dyDescent="0.3">
      <c r="A263" s="328" t="s">
        <v>8</v>
      </c>
      <c r="B263" s="328"/>
      <c r="C263" s="328"/>
      <c r="D263" s="328"/>
      <c r="E263" s="328"/>
      <c r="F263" s="328"/>
      <c r="G263" s="328" t="s">
        <v>8</v>
      </c>
      <c r="H263" s="328"/>
    </row>
    <row r="264" spans="1:10" s="61" customFormat="1" x14ac:dyDescent="0.25">
      <c r="A264" s="8" t="s">
        <v>188</v>
      </c>
      <c r="B264" s="8"/>
      <c r="C264" s="6" t="s">
        <v>189</v>
      </c>
      <c r="D264" s="74">
        <v>250</v>
      </c>
      <c r="F264" s="127">
        <v>99</v>
      </c>
      <c r="G264" s="6" t="s">
        <v>189</v>
      </c>
      <c r="H264" s="74">
        <v>250</v>
      </c>
      <c r="I264" s="8" t="s">
        <v>188</v>
      </c>
      <c r="J264" s="6" t="s">
        <v>189</v>
      </c>
    </row>
    <row r="265" spans="1:10" s="61" customFormat="1" ht="21.75" customHeight="1" x14ac:dyDescent="0.25">
      <c r="A265" s="8">
        <v>267</v>
      </c>
      <c r="B265" s="8"/>
      <c r="C265" s="6" t="s">
        <v>190</v>
      </c>
      <c r="D265" s="74">
        <v>75</v>
      </c>
      <c r="F265" s="129">
        <v>267</v>
      </c>
      <c r="G265" s="6" t="s">
        <v>321</v>
      </c>
      <c r="H265" s="74">
        <v>90</v>
      </c>
      <c r="I265" s="8">
        <v>267</v>
      </c>
      <c r="J265" s="6" t="s">
        <v>190</v>
      </c>
    </row>
    <row r="266" spans="1:10" s="61" customFormat="1" ht="21" customHeight="1" x14ac:dyDescent="0.25">
      <c r="A266" s="84"/>
      <c r="B266" s="84"/>
      <c r="C266" s="6" t="s">
        <v>196</v>
      </c>
      <c r="D266" s="96">
        <v>155</v>
      </c>
      <c r="F266" s="8"/>
      <c r="G266" s="6" t="s">
        <v>196</v>
      </c>
      <c r="H266" s="74">
        <v>155</v>
      </c>
      <c r="I266" s="84"/>
      <c r="J266" s="6" t="s">
        <v>145</v>
      </c>
    </row>
    <row r="267" spans="1:10" s="61" customFormat="1" ht="24" customHeight="1" x14ac:dyDescent="0.25">
      <c r="A267" s="113" t="s">
        <v>191</v>
      </c>
      <c r="B267" s="113"/>
      <c r="C267" s="6" t="s">
        <v>192</v>
      </c>
      <c r="D267" s="74">
        <v>200</v>
      </c>
      <c r="F267" s="135" t="s">
        <v>319</v>
      </c>
      <c r="G267" s="6" t="s">
        <v>194</v>
      </c>
      <c r="H267" s="74">
        <v>200</v>
      </c>
      <c r="I267" s="113" t="s">
        <v>191</v>
      </c>
      <c r="J267" s="6" t="s">
        <v>194</v>
      </c>
    </row>
    <row r="268" spans="1:10" s="61" customFormat="1" x14ac:dyDescent="0.25">
      <c r="A268" s="84"/>
      <c r="B268" s="84"/>
      <c r="C268" s="6" t="s">
        <v>144</v>
      </c>
      <c r="D268" s="74">
        <v>40</v>
      </c>
      <c r="F268" s="8"/>
      <c r="G268" s="6" t="s">
        <v>92</v>
      </c>
      <c r="H268" s="74">
        <v>50</v>
      </c>
      <c r="I268" s="84"/>
      <c r="J268" s="6" t="s">
        <v>92</v>
      </c>
    </row>
    <row r="269" spans="1:10" s="61" customFormat="1" x14ac:dyDescent="0.25">
      <c r="A269" s="84"/>
      <c r="B269" s="84"/>
      <c r="C269" s="6" t="s">
        <v>92</v>
      </c>
      <c r="D269" s="74">
        <v>20</v>
      </c>
      <c r="F269" s="8"/>
      <c r="G269" s="6"/>
      <c r="H269" s="74"/>
      <c r="I269" s="84"/>
      <c r="J269" s="6"/>
    </row>
    <row r="270" spans="1:10" s="67" customFormat="1" ht="26.4" x14ac:dyDescent="0.3">
      <c r="A270" s="84"/>
      <c r="B270" s="84"/>
      <c r="C270" s="6" t="s">
        <v>193</v>
      </c>
      <c r="D270" s="74">
        <v>180</v>
      </c>
      <c r="F270" s="8"/>
      <c r="G270" s="6"/>
      <c r="H270" s="74"/>
      <c r="I270" s="84"/>
      <c r="J270" s="6" t="s">
        <v>195</v>
      </c>
    </row>
    <row r="271" spans="1:10" s="60" customFormat="1" ht="13.8" x14ac:dyDescent="0.3">
      <c r="A271" s="321" t="s">
        <v>20</v>
      </c>
      <c r="B271" s="322"/>
      <c r="C271" s="323"/>
      <c r="D271" s="10">
        <f>SUM(D264:D270)</f>
        <v>920</v>
      </c>
      <c r="F271" s="66"/>
      <c r="G271" s="17" t="s">
        <v>7</v>
      </c>
      <c r="H271" s="11">
        <f>SUM(H264:H270)</f>
        <v>745</v>
      </c>
      <c r="I271" s="65"/>
      <c r="J271" s="17" t="s">
        <v>7</v>
      </c>
    </row>
    <row r="272" spans="1:10" s="61" customFormat="1" x14ac:dyDescent="0.3">
      <c r="A272" s="328" t="s">
        <v>43</v>
      </c>
      <c r="B272" s="328"/>
      <c r="C272" s="328"/>
      <c r="D272" s="328"/>
      <c r="E272" s="328"/>
      <c r="F272" s="328"/>
      <c r="G272" s="328" t="s">
        <v>43</v>
      </c>
      <c r="H272" s="328"/>
    </row>
    <row r="273" spans="1:10" s="61" customFormat="1" x14ac:dyDescent="0.25">
      <c r="A273" s="9"/>
      <c r="B273" s="9"/>
      <c r="C273" s="9"/>
      <c r="D273" s="9"/>
      <c r="F273" s="62"/>
      <c r="G273" s="12" t="s">
        <v>64</v>
      </c>
      <c r="H273" s="8">
        <v>20</v>
      </c>
      <c r="I273" s="63"/>
      <c r="J273" s="12" t="s">
        <v>64</v>
      </c>
    </row>
    <row r="274" spans="1:10" s="61" customFormat="1" x14ac:dyDescent="0.25">
      <c r="A274" s="9"/>
      <c r="B274" s="9"/>
      <c r="C274" s="9"/>
      <c r="D274" s="9"/>
      <c r="F274" s="62"/>
      <c r="G274" s="12" t="s">
        <v>49</v>
      </c>
      <c r="H274" s="8">
        <v>90</v>
      </c>
      <c r="I274" s="63"/>
      <c r="J274" s="12" t="s">
        <v>49</v>
      </c>
    </row>
    <row r="275" spans="1:10" s="67" customFormat="1" ht="13.8" x14ac:dyDescent="0.3">
      <c r="A275" s="9"/>
      <c r="B275" s="9"/>
      <c r="C275" s="9"/>
      <c r="D275" s="9"/>
      <c r="F275" s="11"/>
      <c r="G275" s="12" t="s">
        <v>51</v>
      </c>
      <c r="H275" s="8">
        <v>150</v>
      </c>
      <c r="I275" s="70"/>
      <c r="J275" s="12" t="s">
        <v>51</v>
      </c>
    </row>
    <row r="276" spans="1:10" s="79" customFormat="1" ht="13.8" x14ac:dyDescent="0.3">
      <c r="A276" s="22"/>
      <c r="B276" s="22"/>
      <c r="C276" s="23"/>
      <c r="D276" s="22"/>
      <c r="F276" s="98"/>
      <c r="G276" s="15" t="s">
        <v>44</v>
      </c>
      <c r="H276" s="11">
        <f>SUM(H273:H275)</f>
        <v>260</v>
      </c>
      <c r="I276" s="99"/>
      <c r="J276" s="15" t="s">
        <v>44</v>
      </c>
    </row>
    <row r="277" spans="1:10" s="59" customFormat="1" ht="19.5" customHeight="1" x14ac:dyDescent="0.3">
      <c r="A277" s="331" t="s">
        <v>22</v>
      </c>
      <c r="B277" s="328"/>
      <c r="C277" s="328"/>
      <c r="D277" s="328"/>
      <c r="E277" s="328"/>
      <c r="F277" s="328"/>
      <c r="G277" s="328" t="s">
        <v>22</v>
      </c>
      <c r="H277" s="328"/>
    </row>
    <row r="278" spans="1:10" s="61" customFormat="1" x14ac:dyDescent="0.3">
      <c r="A278" s="328" t="s">
        <v>54</v>
      </c>
      <c r="B278" s="328"/>
      <c r="C278" s="328"/>
      <c r="D278" s="328"/>
      <c r="E278" s="328"/>
      <c r="F278" s="328"/>
      <c r="G278" s="328" t="s">
        <v>54</v>
      </c>
      <c r="H278" s="328"/>
    </row>
    <row r="279" spans="1:10" s="61" customFormat="1" ht="15.75" customHeight="1" x14ac:dyDescent="0.25">
      <c r="A279" s="6"/>
      <c r="B279" s="6"/>
      <c r="C279" s="6" t="s">
        <v>285</v>
      </c>
      <c r="D279" s="6">
        <v>70</v>
      </c>
      <c r="F279" s="129">
        <v>71</v>
      </c>
      <c r="G279" s="6" t="s">
        <v>112</v>
      </c>
      <c r="H279" s="8">
        <v>70</v>
      </c>
      <c r="I279" s="6"/>
      <c r="J279" s="6" t="s">
        <v>112</v>
      </c>
    </row>
    <row r="280" spans="1:10" s="61" customFormat="1" ht="31.5" customHeight="1" x14ac:dyDescent="0.3">
      <c r="A280" s="6" t="s">
        <v>131</v>
      </c>
      <c r="B280" s="6"/>
      <c r="C280" s="6" t="s">
        <v>130</v>
      </c>
      <c r="D280" s="6">
        <v>115</v>
      </c>
      <c r="F280" s="32" t="s">
        <v>320</v>
      </c>
      <c r="G280" s="6" t="s">
        <v>130</v>
      </c>
      <c r="H280" s="6">
        <v>115</v>
      </c>
      <c r="I280" s="6" t="s">
        <v>131</v>
      </c>
      <c r="J280" s="6" t="s">
        <v>130</v>
      </c>
    </row>
    <row r="281" spans="1:10" s="61" customFormat="1" ht="21" customHeight="1" x14ac:dyDescent="0.25">
      <c r="A281" s="6" t="s">
        <v>132</v>
      </c>
      <c r="B281" s="6"/>
      <c r="C281" s="6" t="s">
        <v>133</v>
      </c>
      <c r="D281" s="6">
        <v>115</v>
      </c>
      <c r="F281" s="127" t="s">
        <v>325</v>
      </c>
      <c r="G281" s="138" t="s">
        <v>378</v>
      </c>
      <c r="H281" s="8">
        <v>150</v>
      </c>
      <c r="I281" s="6" t="s">
        <v>80</v>
      </c>
      <c r="J281" s="12" t="s">
        <v>68</v>
      </c>
    </row>
    <row r="282" spans="1:10" s="61" customFormat="1" ht="16.5" customHeight="1" x14ac:dyDescent="0.3">
      <c r="A282" s="6" t="s">
        <v>137</v>
      </c>
      <c r="B282" s="6"/>
      <c r="C282" s="6" t="s">
        <v>135</v>
      </c>
      <c r="D282" s="6">
        <v>200</v>
      </c>
      <c r="F282" s="128">
        <v>379</v>
      </c>
      <c r="G282" s="6" t="s">
        <v>138</v>
      </c>
      <c r="H282" s="6">
        <v>200</v>
      </c>
      <c r="I282" s="6" t="s">
        <v>137</v>
      </c>
      <c r="J282" s="6" t="s">
        <v>138</v>
      </c>
    </row>
    <row r="283" spans="1:10" s="61" customFormat="1" x14ac:dyDescent="0.25">
      <c r="A283" s="6"/>
      <c r="B283" s="6"/>
      <c r="C283" s="6" t="s">
        <v>92</v>
      </c>
      <c r="D283" s="6">
        <v>25</v>
      </c>
      <c r="F283" s="32"/>
      <c r="G283" s="12" t="s">
        <v>92</v>
      </c>
      <c r="H283" s="8">
        <v>40</v>
      </c>
      <c r="I283" s="6"/>
      <c r="J283" s="12" t="s">
        <v>92</v>
      </c>
    </row>
    <row r="284" spans="1:10" s="61" customFormat="1" x14ac:dyDescent="0.25">
      <c r="A284" s="6"/>
      <c r="B284" s="6"/>
      <c r="C284" s="6" t="s">
        <v>6</v>
      </c>
      <c r="D284" s="6">
        <v>40</v>
      </c>
      <c r="F284" s="32"/>
      <c r="G284" s="12"/>
      <c r="H284" s="8"/>
      <c r="I284" s="6"/>
      <c r="J284" s="12"/>
    </row>
    <row r="285" spans="1:10" s="61" customFormat="1" x14ac:dyDescent="0.3">
      <c r="A285" s="6"/>
      <c r="B285" s="6"/>
      <c r="C285" s="6" t="s">
        <v>136</v>
      </c>
      <c r="D285" s="6">
        <v>120</v>
      </c>
      <c r="F285" s="62"/>
      <c r="G285" s="6" t="s">
        <v>109</v>
      </c>
      <c r="H285" s="6">
        <v>100</v>
      </c>
      <c r="I285" s="63"/>
      <c r="J285" s="6" t="s">
        <v>136</v>
      </c>
    </row>
    <row r="286" spans="1:10" s="60" customFormat="1" ht="13.8" x14ac:dyDescent="0.3">
      <c r="A286" s="13" t="s">
        <v>78</v>
      </c>
      <c r="B286" s="13"/>
      <c r="C286" s="11"/>
      <c r="D286" s="13">
        <f>SUM(D279:D285)</f>
        <v>685</v>
      </c>
      <c r="F286" s="66"/>
      <c r="G286" s="15" t="s">
        <v>78</v>
      </c>
      <c r="H286" s="11">
        <f>SUM(H279:H285)</f>
        <v>675</v>
      </c>
      <c r="I286" s="65"/>
      <c r="J286" s="15" t="s">
        <v>78</v>
      </c>
    </row>
    <row r="287" spans="1:10" s="60" customFormat="1" ht="13.5" customHeight="1" x14ac:dyDescent="0.3">
      <c r="F287" s="66"/>
      <c r="G287" s="329" t="s">
        <v>56</v>
      </c>
      <c r="H287" s="330"/>
      <c r="I287" s="65"/>
      <c r="J287" s="88" t="s">
        <v>56</v>
      </c>
    </row>
    <row r="288" spans="1:10" s="60" customFormat="1" ht="13.8" x14ac:dyDescent="0.25">
      <c r="F288" s="66"/>
      <c r="G288" s="12" t="s">
        <v>64</v>
      </c>
      <c r="H288" s="8">
        <v>20</v>
      </c>
      <c r="I288" s="65"/>
      <c r="J288" s="12" t="s">
        <v>64</v>
      </c>
    </row>
    <row r="289" spans="1:10" s="60" customFormat="1" ht="13.8" x14ac:dyDescent="0.25">
      <c r="F289" s="66"/>
      <c r="G289" s="12" t="s">
        <v>71</v>
      </c>
      <c r="H289" s="8">
        <v>90</v>
      </c>
      <c r="I289" s="65"/>
      <c r="J289" s="12" t="s">
        <v>71</v>
      </c>
    </row>
    <row r="290" spans="1:10" s="60" customFormat="1" ht="13.8" x14ac:dyDescent="0.25">
      <c r="F290" s="66"/>
      <c r="G290" s="12" t="s">
        <v>66</v>
      </c>
      <c r="H290" s="8">
        <v>150</v>
      </c>
      <c r="I290" s="65"/>
      <c r="J290" s="12" t="s">
        <v>66</v>
      </c>
    </row>
    <row r="291" spans="1:10" s="60" customFormat="1" ht="13.8" x14ac:dyDescent="0.3">
      <c r="F291" s="66"/>
      <c r="G291" s="15" t="s">
        <v>58</v>
      </c>
      <c r="H291" s="11">
        <f>SUM(H288:H290)</f>
        <v>260</v>
      </c>
      <c r="I291" s="65"/>
      <c r="J291" s="15" t="s">
        <v>58</v>
      </c>
    </row>
    <row r="292" spans="1:10" s="61" customFormat="1" x14ac:dyDescent="0.3">
      <c r="A292" s="328" t="s">
        <v>8</v>
      </c>
      <c r="B292" s="328"/>
      <c r="C292" s="328"/>
      <c r="D292" s="328"/>
      <c r="E292" s="328"/>
      <c r="F292" s="328"/>
      <c r="G292" s="328" t="s">
        <v>8</v>
      </c>
      <c r="H292" s="328"/>
    </row>
    <row r="293" spans="1:10" s="61" customFormat="1" ht="18" customHeight="1" x14ac:dyDescent="0.25">
      <c r="A293" s="84">
        <v>82</v>
      </c>
      <c r="B293" s="84"/>
      <c r="C293" s="6" t="s">
        <v>197</v>
      </c>
      <c r="D293" s="74">
        <v>250</v>
      </c>
      <c r="F293" s="129" t="s">
        <v>327</v>
      </c>
      <c r="G293" s="6" t="s">
        <v>197</v>
      </c>
      <c r="H293" s="74">
        <v>250</v>
      </c>
      <c r="I293" s="84">
        <v>82</v>
      </c>
      <c r="J293" s="6" t="s">
        <v>197</v>
      </c>
    </row>
    <row r="294" spans="1:10" s="61" customFormat="1" ht="15.75" customHeight="1" x14ac:dyDescent="0.25">
      <c r="A294" s="84">
        <v>250</v>
      </c>
      <c r="B294" s="84"/>
      <c r="C294" s="6" t="s">
        <v>198</v>
      </c>
      <c r="D294" s="74">
        <v>70</v>
      </c>
      <c r="F294" s="128">
        <v>291</v>
      </c>
      <c r="G294" s="6" t="s">
        <v>83</v>
      </c>
      <c r="H294" s="8">
        <v>250</v>
      </c>
      <c r="I294" s="119"/>
      <c r="J294" s="119"/>
    </row>
    <row r="295" spans="1:10" s="61" customFormat="1" ht="20.25" customHeight="1" x14ac:dyDescent="0.25">
      <c r="A295" s="120"/>
      <c r="B295" s="120"/>
      <c r="C295" s="121" t="s">
        <v>199</v>
      </c>
      <c r="D295" s="122">
        <v>50</v>
      </c>
      <c r="F295" s="127">
        <v>349</v>
      </c>
      <c r="G295" s="6" t="s">
        <v>208</v>
      </c>
      <c r="H295" s="8">
        <v>200</v>
      </c>
      <c r="I295" s="63"/>
      <c r="J295" s="35" t="s">
        <v>208</v>
      </c>
    </row>
    <row r="296" spans="1:10" s="61" customFormat="1" x14ac:dyDescent="0.25">
      <c r="A296" s="112">
        <v>205</v>
      </c>
      <c r="B296" s="112"/>
      <c r="C296" s="95" t="s">
        <v>202</v>
      </c>
      <c r="D296" s="96">
        <v>130</v>
      </c>
      <c r="F296" s="62"/>
      <c r="G296" s="63"/>
      <c r="H296" s="63"/>
      <c r="I296" s="6"/>
      <c r="J296" s="63" t="s">
        <v>92</v>
      </c>
    </row>
    <row r="297" spans="1:10" s="61" customFormat="1" x14ac:dyDescent="0.25">
      <c r="A297" s="100"/>
      <c r="B297" s="100"/>
      <c r="C297" s="6" t="s">
        <v>200</v>
      </c>
      <c r="D297" s="74">
        <v>35</v>
      </c>
      <c r="F297" s="32"/>
      <c r="G297" s="6"/>
      <c r="H297" s="74"/>
      <c r="I297" s="6"/>
      <c r="J297" s="6" t="s">
        <v>150</v>
      </c>
    </row>
    <row r="298" spans="1:10" s="61" customFormat="1" x14ac:dyDescent="0.25">
      <c r="A298" s="112"/>
      <c r="B298" s="112"/>
      <c r="C298" s="6" t="s">
        <v>144</v>
      </c>
      <c r="D298" s="96">
        <v>60</v>
      </c>
      <c r="F298" s="32"/>
      <c r="G298" s="63" t="s">
        <v>92</v>
      </c>
      <c r="H298" s="62">
        <v>50</v>
      </c>
      <c r="I298" s="6"/>
      <c r="J298" s="12"/>
    </row>
    <row r="299" spans="1:10" s="61" customFormat="1" x14ac:dyDescent="0.25">
      <c r="A299" s="100"/>
      <c r="B299" s="100"/>
      <c r="C299" s="6" t="s">
        <v>201</v>
      </c>
      <c r="D299" s="74">
        <v>20</v>
      </c>
      <c r="F299" s="62"/>
      <c r="G299" s="12"/>
      <c r="H299" s="8"/>
      <c r="I299" s="63"/>
      <c r="J299" s="12"/>
    </row>
    <row r="300" spans="1:10" s="67" customFormat="1" ht="13.8" x14ac:dyDescent="0.3">
      <c r="A300" s="84"/>
      <c r="B300" s="84"/>
      <c r="C300" s="6" t="s">
        <v>150</v>
      </c>
      <c r="D300" s="74">
        <v>200</v>
      </c>
      <c r="F300" s="11"/>
      <c r="G300" s="6"/>
      <c r="H300" s="74"/>
      <c r="I300" s="70"/>
      <c r="J300" s="12"/>
    </row>
    <row r="301" spans="1:10" s="60" customFormat="1" ht="13.8" x14ac:dyDescent="0.3">
      <c r="A301" s="321" t="s">
        <v>20</v>
      </c>
      <c r="B301" s="322"/>
      <c r="C301" s="323"/>
      <c r="D301" s="10">
        <f>SUM(D293:D300)</f>
        <v>815</v>
      </c>
      <c r="F301" s="66"/>
      <c r="G301" s="17" t="s">
        <v>7</v>
      </c>
      <c r="H301" s="11">
        <f>SUM(H293:H300)</f>
        <v>750</v>
      </c>
      <c r="I301" s="65"/>
      <c r="J301" s="17" t="s">
        <v>7</v>
      </c>
    </row>
    <row r="302" spans="1:10" s="61" customFormat="1" x14ac:dyDescent="0.3">
      <c r="A302" s="328" t="s">
        <v>43</v>
      </c>
      <c r="B302" s="328"/>
      <c r="C302" s="328"/>
      <c r="D302" s="328"/>
      <c r="E302" s="328"/>
      <c r="F302" s="328"/>
      <c r="G302" s="328" t="s">
        <v>43</v>
      </c>
      <c r="H302" s="328"/>
    </row>
    <row r="303" spans="1:10" s="61" customFormat="1" x14ac:dyDescent="0.25">
      <c r="A303" s="9"/>
      <c r="B303" s="9"/>
      <c r="C303" s="9"/>
      <c r="D303" s="9"/>
      <c r="F303" s="62"/>
      <c r="G303" s="12" t="s">
        <v>64</v>
      </c>
      <c r="H303" s="8">
        <v>20</v>
      </c>
      <c r="I303" s="63"/>
      <c r="J303" s="12" t="s">
        <v>64</v>
      </c>
    </row>
    <row r="304" spans="1:10" s="61" customFormat="1" x14ac:dyDescent="0.25">
      <c r="A304" s="9"/>
      <c r="B304" s="9"/>
      <c r="C304" s="9"/>
      <c r="D304" s="9"/>
      <c r="F304" s="62"/>
      <c r="G304" s="12" t="s">
        <v>71</v>
      </c>
      <c r="H304" s="8">
        <v>90</v>
      </c>
      <c r="I304" s="63"/>
      <c r="J304" s="12" t="s">
        <v>71</v>
      </c>
    </row>
    <row r="305" spans="1:10" s="67" customFormat="1" ht="13.8" x14ac:dyDescent="0.3">
      <c r="A305" s="9"/>
      <c r="B305" s="9"/>
      <c r="C305" s="9"/>
      <c r="D305" s="9"/>
      <c r="F305" s="11"/>
      <c r="G305" s="12" t="s">
        <v>50</v>
      </c>
      <c r="H305" s="8">
        <v>150</v>
      </c>
      <c r="I305" s="70"/>
      <c r="J305" s="12" t="s">
        <v>50</v>
      </c>
    </row>
    <row r="306" spans="1:10" s="79" customFormat="1" ht="13.8" x14ac:dyDescent="0.3">
      <c r="A306" s="22"/>
      <c r="B306" s="22"/>
      <c r="C306" s="23"/>
      <c r="D306" s="22"/>
      <c r="F306" s="98"/>
      <c r="G306" s="15" t="s">
        <v>44</v>
      </c>
      <c r="H306" s="11">
        <f>SUM(H303:H305)</f>
        <v>260</v>
      </c>
      <c r="I306" s="99"/>
      <c r="J306" s="15" t="s">
        <v>44</v>
      </c>
    </row>
    <row r="310" spans="1:10" s="49" customFormat="1" x14ac:dyDescent="0.25">
      <c r="C310" s="24"/>
      <c r="D310" s="25"/>
      <c r="E310" s="55"/>
      <c r="F310" s="114"/>
      <c r="G310" s="55"/>
      <c r="H310" s="115"/>
      <c r="I310" s="55"/>
      <c r="J310" s="55"/>
    </row>
  </sheetData>
  <mergeCells count="80">
    <mergeCell ref="A4:C4"/>
    <mergeCell ref="D4:E4"/>
    <mergeCell ref="F4:G4"/>
    <mergeCell ref="G18:H18"/>
    <mergeCell ref="A9:H9"/>
    <mergeCell ref="H7:H8"/>
    <mergeCell ref="A7:A8"/>
    <mergeCell ref="C7:C8"/>
    <mergeCell ref="D7:D8"/>
    <mergeCell ref="G7:G8"/>
    <mergeCell ref="A10:H10"/>
    <mergeCell ref="F7:F8"/>
    <mergeCell ref="A16:C16"/>
    <mergeCell ref="A3:H3"/>
    <mergeCell ref="A214:H214"/>
    <mergeCell ref="A221:H221"/>
    <mergeCell ref="A161:H161"/>
    <mergeCell ref="A175:H175"/>
    <mergeCell ref="A184:H184"/>
    <mergeCell ref="A190:H190"/>
    <mergeCell ref="A204:H204"/>
    <mergeCell ref="A154:H154"/>
    <mergeCell ref="A100:H100"/>
    <mergeCell ref="G80:H80"/>
    <mergeCell ref="E7:E8"/>
    <mergeCell ref="A70:H70"/>
    <mergeCell ref="A95:H95"/>
    <mergeCell ref="G170:H170"/>
    <mergeCell ref="G199:H199"/>
    <mergeCell ref="A115:H115"/>
    <mergeCell ref="A101:H101"/>
    <mergeCell ref="A64:H64"/>
    <mergeCell ref="G110:H110"/>
    <mergeCell ref="F114:G114"/>
    <mergeCell ref="A86:H86"/>
    <mergeCell ref="F22:G22"/>
    <mergeCell ref="F53:G53"/>
    <mergeCell ref="A47:C47"/>
    <mergeCell ref="F47:G47"/>
    <mergeCell ref="A78:C78"/>
    <mergeCell ref="F78:G78"/>
    <mergeCell ref="A39:H39"/>
    <mergeCell ref="A69:H69"/>
    <mergeCell ref="G49:H49"/>
    <mergeCell ref="A63:C63"/>
    <mergeCell ref="A302:H302"/>
    <mergeCell ref="A277:H277"/>
    <mergeCell ref="G287:H287"/>
    <mergeCell ref="A23:H23"/>
    <mergeCell ref="A33:H33"/>
    <mergeCell ref="A54:H54"/>
    <mergeCell ref="A40:H40"/>
    <mergeCell ref="A263:H263"/>
    <mergeCell ref="A189:H189"/>
    <mergeCell ref="A220:H220"/>
    <mergeCell ref="A129:H129"/>
    <mergeCell ref="G138:H138"/>
    <mergeCell ref="A160:H160"/>
    <mergeCell ref="A124:H124"/>
    <mergeCell ref="A130:H130"/>
    <mergeCell ref="A143:H143"/>
    <mergeCell ref="A137:C137"/>
    <mergeCell ref="A123:C123"/>
    <mergeCell ref="A183:C183"/>
    <mergeCell ref="A271:C271"/>
    <mergeCell ref="A301:C301"/>
    <mergeCell ref="A272:H272"/>
    <mergeCell ref="A278:H278"/>
    <mergeCell ref="A292:H292"/>
    <mergeCell ref="G231:H231"/>
    <mergeCell ref="G258:H258"/>
    <mergeCell ref="A251:H251"/>
    <mergeCell ref="A252:H252"/>
    <mergeCell ref="A236:H236"/>
    <mergeCell ref="A246:H246"/>
    <mergeCell ref="I4:J4"/>
    <mergeCell ref="I7:I8"/>
    <mergeCell ref="J7:J8"/>
    <mergeCell ref="I47:J47"/>
    <mergeCell ref="I78:J78"/>
  </mergeCells>
  <pageMargins left="0.75" right="0.75" top="1" bottom="1" header="0.5" footer="0.5"/>
  <pageSetup paperSize="9" scale="79" orientation="portrait" r:id="rId1"/>
  <rowBreaks count="6" manualBreakCount="6">
    <brk id="53" max="16383" man="1"/>
    <brk id="99" max="16383" man="1"/>
    <brk id="123" max="16383" man="1"/>
    <brk id="158" max="16383" man="1"/>
    <brk id="188" max="16383" man="1"/>
    <brk id="2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P209"/>
  <sheetViews>
    <sheetView workbookViewId="0">
      <selection activeCell="D196" sqref="D196"/>
    </sheetView>
  </sheetViews>
  <sheetFormatPr defaultColWidth="9.109375" defaultRowHeight="17.100000000000001" customHeight="1" x14ac:dyDescent="0.25"/>
  <cols>
    <col min="1" max="1" width="8.6640625" style="26" customWidth="1"/>
    <col min="2" max="2" width="31.88671875" style="26" customWidth="1"/>
    <col min="3" max="3" width="8" style="26" customWidth="1"/>
    <col min="4" max="4" width="6.6640625" style="28" customWidth="1"/>
    <col min="5" max="5" width="9.44140625" style="29" customWidth="1"/>
    <col min="6" max="6" width="8.5546875" style="29" customWidth="1"/>
    <col min="7" max="7" width="9.109375" style="29" customWidth="1"/>
    <col min="8" max="8" width="10.109375" style="29" customWidth="1"/>
    <col min="9" max="9" width="10.5546875" style="29" bestFit="1" customWidth="1"/>
    <col min="10" max="10" width="11" style="29" customWidth="1"/>
    <col min="11" max="11" width="10" style="29" customWidth="1"/>
    <col min="12" max="13" width="11" style="29" customWidth="1"/>
    <col min="14" max="14" width="10.44140625" style="29" customWidth="1"/>
    <col min="15" max="15" width="10.33203125" style="29" customWidth="1"/>
    <col min="16" max="16" width="11.109375" style="29" customWidth="1"/>
    <col min="17" max="16384" width="9.109375" style="26"/>
  </cols>
  <sheetData>
    <row r="1" spans="1:16" ht="17.100000000000001" customHeight="1" x14ac:dyDescent="0.35">
      <c r="A1" s="360" t="s">
        <v>377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</row>
    <row r="2" spans="1:16" ht="17.100000000000001" customHeight="1" x14ac:dyDescent="0.25">
      <c r="A2" s="361" t="s">
        <v>37</v>
      </c>
      <c r="B2" s="361"/>
      <c r="C2" s="361"/>
      <c r="D2" s="361"/>
      <c r="E2" s="361"/>
      <c r="F2" s="361"/>
      <c r="G2" s="361"/>
      <c r="H2" s="361"/>
      <c r="I2" s="139"/>
      <c r="J2" s="139"/>
      <c r="K2" s="139"/>
      <c r="L2" s="139"/>
      <c r="M2" s="139"/>
      <c r="N2" s="139"/>
      <c r="O2" s="139"/>
      <c r="P2" s="139"/>
    </row>
    <row r="3" spans="1:16" ht="17.100000000000001" customHeight="1" x14ac:dyDescent="0.25">
      <c r="A3" s="362" t="s">
        <v>33</v>
      </c>
      <c r="B3" s="362" t="s">
        <v>32</v>
      </c>
      <c r="C3" s="362" t="s">
        <v>0</v>
      </c>
      <c r="D3" s="362" t="s">
        <v>55</v>
      </c>
      <c r="E3" s="356" t="s">
        <v>1</v>
      </c>
      <c r="F3" s="356"/>
      <c r="G3" s="356"/>
      <c r="H3" s="364" t="s">
        <v>31</v>
      </c>
      <c r="I3" s="356" t="s">
        <v>9</v>
      </c>
      <c r="J3" s="356"/>
      <c r="K3" s="356"/>
      <c r="L3" s="356"/>
      <c r="M3" s="357" t="s">
        <v>10</v>
      </c>
      <c r="N3" s="357"/>
      <c r="O3" s="357"/>
      <c r="P3" s="357"/>
    </row>
    <row r="4" spans="1:16" ht="17.100000000000001" customHeight="1" x14ac:dyDescent="0.25">
      <c r="A4" s="363"/>
      <c r="B4" s="363"/>
      <c r="C4" s="363"/>
      <c r="D4" s="363"/>
      <c r="E4" s="140" t="s">
        <v>2</v>
      </c>
      <c r="F4" s="140" t="s">
        <v>3</v>
      </c>
      <c r="G4" s="140" t="s">
        <v>4</v>
      </c>
      <c r="H4" s="365"/>
      <c r="I4" s="140" t="s">
        <v>11</v>
      </c>
      <c r="J4" s="140" t="s">
        <v>12</v>
      </c>
      <c r="K4" s="140" t="s">
        <v>13</v>
      </c>
      <c r="L4" s="140" t="s">
        <v>14</v>
      </c>
      <c r="M4" s="140" t="s">
        <v>15</v>
      </c>
      <c r="N4" s="140" t="s">
        <v>16</v>
      </c>
      <c r="O4" s="140" t="s">
        <v>17</v>
      </c>
      <c r="P4" s="140" t="s">
        <v>18</v>
      </c>
    </row>
    <row r="5" spans="1:16" ht="17.100000000000001" customHeight="1" x14ac:dyDescent="0.25">
      <c r="A5" s="358" t="s">
        <v>21</v>
      </c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</row>
    <row r="6" spans="1:16" ht="17.100000000000001" customHeight="1" x14ac:dyDescent="0.25">
      <c r="A6" s="141">
        <v>3</v>
      </c>
      <c r="B6" s="142" t="s">
        <v>86</v>
      </c>
      <c r="C6" s="143">
        <v>40</v>
      </c>
      <c r="D6" s="144">
        <f>G6/12</f>
        <v>1.6458333333333333</v>
      </c>
      <c r="E6" s="145">
        <v>6.23</v>
      </c>
      <c r="F6" s="145">
        <v>8.41</v>
      </c>
      <c r="G6" s="145">
        <v>19.75</v>
      </c>
      <c r="H6" s="145">
        <f>G6*4+F6*9+E6*4</f>
        <v>179.61</v>
      </c>
      <c r="I6" s="145">
        <v>5.3999999999999999E-2</v>
      </c>
      <c r="J6" s="145">
        <v>0.11</v>
      </c>
      <c r="K6" s="145">
        <v>0.62</v>
      </c>
      <c r="L6" s="145">
        <v>0.215</v>
      </c>
      <c r="M6" s="145">
        <v>137.19999999999999</v>
      </c>
      <c r="N6" s="145">
        <v>93</v>
      </c>
      <c r="O6" s="145">
        <v>10.9</v>
      </c>
      <c r="P6" s="145">
        <v>0.6</v>
      </c>
    </row>
    <row r="7" spans="1:16" ht="17.100000000000001" customHeight="1" x14ac:dyDescent="0.25">
      <c r="A7" s="146"/>
      <c r="B7" s="147" t="s">
        <v>85</v>
      </c>
      <c r="C7" s="148">
        <v>230</v>
      </c>
      <c r="D7" s="144">
        <f t="shared" ref="D7:D11" si="0">G7/12</f>
        <v>2.4440833333333334</v>
      </c>
      <c r="E7" s="145">
        <v>6.8505000000000003</v>
      </c>
      <c r="F7" s="145">
        <v>6.5880000000000001</v>
      </c>
      <c r="G7" s="145">
        <v>29.329000000000001</v>
      </c>
      <c r="H7" s="145">
        <f t="shared" ref="H7:H10" si="1">G7*4+F7*9+E7*4</f>
        <v>204.01</v>
      </c>
      <c r="I7" s="145">
        <v>9.4500000000000001E-3</v>
      </c>
      <c r="J7" s="145">
        <v>0.189</v>
      </c>
      <c r="K7" s="145">
        <v>0.03</v>
      </c>
      <c r="L7" s="145">
        <v>1.1000000000000001</v>
      </c>
      <c r="M7" s="145">
        <v>121.63</v>
      </c>
      <c r="N7" s="145">
        <v>212.87950000000001</v>
      </c>
      <c r="O7" s="145">
        <v>5.0925000000000002</v>
      </c>
      <c r="P7" s="145">
        <v>7.350000000000001E-2</v>
      </c>
    </row>
    <row r="8" spans="1:16" ht="17.100000000000001" customHeight="1" x14ac:dyDescent="0.25">
      <c r="A8" s="141">
        <v>382</v>
      </c>
      <c r="B8" s="142" t="s">
        <v>87</v>
      </c>
      <c r="C8" s="143">
        <v>200</v>
      </c>
      <c r="D8" s="144">
        <f t="shared" si="0"/>
        <v>1.4583333333333333</v>
      </c>
      <c r="E8" s="27">
        <v>4.07</v>
      </c>
      <c r="F8" s="27">
        <v>3.5</v>
      </c>
      <c r="G8" s="27">
        <v>17.5</v>
      </c>
      <c r="H8" s="145">
        <f t="shared" si="1"/>
        <v>117.78</v>
      </c>
      <c r="I8" s="27">
        <f>0.28*0.18</f>
        <v>5.04E-2</v>
      </c>
      <c r="J8" s="27">
        <v>1.57</v>
      </c>
      <c r="K8" s="27">
        <v>0.24</v>
      </c>
      <c r="L8" s="27">
        <v>0.2</v>
      </c>
      <c r="M8" s="27">
        <v>152.19999999999999</v>
      </c>
      <c r="N8" s="27">
        <v>124.5</v>
      </c>
      <c r="O8" s="27">
        <v>21.34</v>
      </c>
      <c r="P8" s="27">
        <v>0.47</v>
      </c>
    </row>
    <row r="9" spans="1:16" ht="17.100000000000001" customHeight="1" x14ac:dyDescent="0.25">
      <c r="A9" s="141"/>
      <c r="B9" s="142" t="s">
        <v>6</v>
      </c>
      <c r="C9" s="143">
        <v>20</v>
      </c>
      <c r="D9" s="144">
        <f t="shared" si="0"/>
        <v>0.83583333333333332</v>
      </c>
      <c r="E9" s="145">
        <v>1.35</v>
      </c>
      <c r="F9" s="145">
        <v>0.17199999999999999</v>
      </c>
      <c r="G9" s="145">
        <v>10.029999999999999</v>
      </c>
      <c r="H9" s="145">
        <f t="shared" si="1"/>
        <v>47.067999999999998</v>
      </c>
      <c r="I9" s="145">
        <v>2.4E-2</v>
      </c>
      <c r="J9" s="145">
        <v>0</v>
      </c>
      <c r="K9" s="145">
        <v>0</v>
      </c>
      <c r="L9" s="145">
        <v>0.22</v>
      </c>
      <c r="M9" s="145">
        <v>4</v>
      </c>
      <c r="N9" s="145">
        <v>13</v>
      </c>
      <c r="O9" s="145">
        <v>2.8</v>
      </c>
      <c r="P9" s="145">
        <v>0.22</v>
      </c>
    </row>
    <row r="10" spans="1:16" ht="17.100000000000001" customHeight="1" x14ac:dyDescent="0.25">
      <c r="A10" s="141">
        <v>368</v>
      </c>
      <c r="B10" s="142" t="s">
        <v>88</v>
      </c>
      <c r="C10" s="143">
        <v>120</v>
      </c>
      <c r="D10" s="144">
        <f t="shared" si="0"/>
        <v>1.0666666666666667</v>
      </c>
      <c r="E10" s="27">
        <v>0.5</v>
      </c>
      <c r="F10" s="27">
        <v>0.5</v>
      </c>
      <c r="G10" s="27">
        <v>12.8</v>
      </c>
      <c r="H10" s="145">
        <f t="shared" si="1"/>
        <v>57.7</v>
      </c>
      <c r="I10" s="27">
        <v>0.04</v>
      </c>
      <c r="J10" s="27">
        <v>5</v>
      </c>
      <c r="K10" s="27">
        <v>0</v>
      </c>
      <c r="L10" s="27">
        <v>0.33</v>
      </c>
      <c r="M10" s="27">
        <v>25</v>
      </c>
      <c r="N10" s="27">
        <v>18.3</v>
      </c>
      <c r="O10" s="27">
        <v>14.16</v>
      </c>
      <c r="P10" s="27">
        <v>0.5</v>
      </c>
    </row>
    <row r="11" spans="1:16" ht="17.100000000000001" customHeight="1" x14ac:dyDescent="0.25">
      <c r="A11" s="149"/>
      <c r="B11" s="150" t="s">
        <v>76</v>
      </c>
      <c r="C11" s="151">
        <f>SUM(C6:C10)</f>
        <v>610</v>
      </c>
      <c r="D11" s="152">
        <f t="shared" si="0"/>
        <v>7.4507500000000002</v>
      </c>
      <c r="E11" s="153">
        <f t="shared" ref="E11:P11" si="2">SUM(E6:E10)</f>
        <v>19.000500000000002</v>
      </c>
      <c r="F11" s="153">
        <f t="shared" si="2"/>
        <v>19.170000000000002</v>
      </c>
      <c r="G11" s="153">
        <f t="shared" si="2"/>
        <v>89.409000000000006</v>
      </c>
      <c r="H11" s="153">
        <f t="shared" si="2"/>
        <v>606.16800000000001</v>
      </c>
      <c r="I11" s="153">
        <f t="shared" si="2"/>
        <v>0.17785000000000001</v>
      </c>
      <c r="J11" s="153">
        <f t="shared" si="2"/>
        <v>6.8689999999999998</v>
      </c>
      <c r="K11" s="153">
        <f t="shared" si="2"/>
        <v>0.89</v>
      </c>
      <c r="L11" s="153">
        <f t="shared" si="2"/>
        <v>2.0649999999999999</v>
      </c>
      <c r="M11" s="153">
        <f t="shared" si="2"/>
        <v>440.03</v>
      </c>
      <c r="N11" s="153">
        <f t="shared" si="2"/>
        <v>461.67950000000002</v>
      </c>
      <c r="O11" s="153">
        <f t="shared" si="2"/>
        <v>54.29249999999999</v>
      </c>
      <c r="P11" s="153">
        <f t="shared" si="2"/>
        <v>1.8634999999999999</v>
      </c>
    </row>
    <row r="12" spans="1:16" ht="17.100000000000001" customHeight="1" x14ac:dyDescent="0.25">
      <c r="A12" s="154"/>
      <c r="B12" s="155" t="s">
        <v>209</v>
      </c>
      <c r="C12" s="156"/>
      <c r="D12" s="156"/>
      <c r="E12" s="157">
        <v>19.25</v>
      </c>
      <c r="F12" s="157">
        <v>19.75</v>
      </c>
      <c r="G12" s="157">
        <v>83.75</v>
      </c>
      <c r="H12" s="157">
        <v>587.5</v>
      </c>
      <c r="I12" s="157">
        <v>0.3</v>
      </c>
      <c r="J12" s="157">
        <v>15</v>
      </c>
      <c r="K12" s="157">
        <v>0.17499999999999999</v>
      </c>
      <c r="L12" s="157">
        <v>2.5</v>
      </c>
      <c r="M12" s="157">
        <v>275</v>
      </c>
      <c r="N12" s="157">
        <v>412.5</v>
      </c>
      <c r="O12" s="157">
        <v>62.5</v>
      </c>
      <c r="P12" s="157">
        <v>3</v>
      </c>
    </row>
    <row r="13" spans="1:16" ht="17.100000000000001" customHeight="1" x14ac:dyDescent="0.25">
      <c r="A13" s="349" t="s">
        <v>8</v>
      </c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</row>
    <row r="14" spans="1:16" ht="17.100000000000001" customHeight="1" x14ac:dyDescent="0.25">
      <c r="A14" s="158">
        <v>88</v>
      </c>
      <c r="B14" s="159" t="s">
        <v>140</v>
      </c>
      <c r="C14" s="160">
        <v>250</v>
      </c>
      <c r="D14" s="27">
        <f>G14/12</f>
        <v>0.65833333333333333</v>
      </c>
      <c r="E14" s="161">
        <v>1.77</v>
      </c>
      <c r="F14" s="161">
        <v>4.95</v>
      </c>
      <c r="G14" s="161">
        <v>7.9</v>
      </c>
      <c r="H14" s="162">
        <f>E14*4+F14*9+G14*4</f>
        <v>83.23</v>
      </c>
      <c r="I14" s="161">
        <v>0.06</v>
      </c>
      <c r="J14" s="161">
        <v>15.78</v>
      </c>
      <c r="K14" s="161">
        <v>0</v>
      </c>
      <c r="L14" s="161">
        <v>0.5</v>
      </c>
      <c r="M14" s="161">
        <v>49.25</v>
      </c>
      <c r="N14" s="161">
        <v>49</v>
      </c>
      <c r="O14" s="161">
        <v>22.13</v>
      </c>
      <c r="P14" s="163">
        <v>0.83</v>
      </c>
    </row>
    <row r="15" spans="1:16" ht="17.100000000000001" customHeight="1" x14ac:dyDescent="0.25">
      <c r="A15" s="158">
        <v>260</v>
      </c>
      <c r="B15" s="159" t="s">
        <v>141</v>
      </c>
      <c r="C15" s="160">
        <v>80</v>
      </c>
      <c r="D15" s="27">
        <f t="shared" ref="D15:D21" si="3">G15/12</f>
        <v>0.19166666666666665</v>
      </c>
      <c r="E15" s="162">
        <v>11.64</v>
      </c>
      <c r="F15" s="162">
        <v>13.43</v>
      </c>
      <c r="G15" s="162">
        <v>2.2999999999999998</v>
      </c>
      <c r="H15" s="162">
        <f>E15*4+F15*9+G15*4</f>
        <v>176.63</v>
      </c>
      <c r="I15" s="162">
        <v>2.4E-2</v>
      </c>
      <c r="J15" s="162">
        <v>0.73</v>
      </c>
      <c r="K15" s="162">
        <v>0</v>
      </c>
      <c r="L15" s="161">
        <v>0.3</v>
      </c>
      <c r="M15" s="162">
        <v>17.440000000000001</v>
      </c>
      <c r="N15" s="162">
        <v>123.32</v>
      </c>
      <c r="O15" s="162">
        <v>17.600000000000001</v>
      </c>
      <c r="P15" s="164">
        <v>2.44</v>
      </c>
    </row>
    <row r="16" spans="1:16" ht="17.100000000000001" customHeight="1" x14ac:dyDescent="0.25">
      <c r="A16" s="165"/>
      <c r="B16" s="159" t="s">
        <v>210</v>
      </c>
      <c r="C16" s="166">
        <v>155</v>
      </c>
      <c r="D16" s="27">
        <f t="shared" si="3"/>
        <v>1.7333333333333334</v>
      </c>
      <c r="E16" s="27">
        <v>3.2</v>
      </c>
      <c r="F16" s="27">
        <v>5.2</v>
      </c>
      <c r="G16" s="27">
        <v>20.8</v>
      </c>
      <c r="H16" s="162">
        <f>E16*4+F16*9+G16*4</f>
        <v>142.80000000000001</v>
      </c>
      <c r="I16" s="27">
        <v>0.06</v>
      </c>
      <c r="J16" s="27">
        <v>0</v>
      </c>
      <c r="K16" s="27">
        <v>0</v>
      </c>
      <c r="L16" s="161">
        <f>0.68*0.46</f>
        <v>0.31280000000000002</v>
      </c>
      <c r="M16" s="27">
        <v>26.82</v>
      </c>
      <c r="N16" s="27">
        <v>111.2</v>
      </c>
      <c r="O16" s="27">
        <v>15.99</v>
      </c>
      <c r="P16" s="27">
        <v>0.57999999999999996</v>
      </c>
    </row>
    <row r="17" spans="1:16" ht="17.100000000000001" customHeight="1" x14ac:dyDescent="0.25">
      <c r="A17" s="158"/>
      <c r="B17" s="159" t="s">
        <v>142</v>
      </c>
      <c r="C17" s="160">
        <v>200</v>
      </c>
      <c r="D17" s="27">
        <f t="shared" si="3"/>
        <v>1.7333333333333334</v>
      </c>
      <c r="E17" s="27">
        <v>2.08</v>
      </c>
      <c r="F17" s="27">
        <v>0.22</v>
      </c>
      <c r="G17" s="27">
        <v>20.8</v>
      </c>
      <c r="H17" s="162">
        <f>E17*4+F17*9+G17*4</f>
        <v>93.5</v>
      </c>
      <c r="I17" s="27">
        <v>0.05</v>
      </c>
      <c r="J17" s="27">
        <v>21</v>
      </c>
      <c r="K17" s="27">
        <v>0</v>
      </c>
      <c r="L17" s="27">
        <v>1.32</v>
      </c>
      <c r="M17" s="27">
        <v>63.6</v>
      </c>
      <c r="N17" s="27">
        <v>61.2</v>
      </c>
      <c r="O17" s="27">
        <v>16.600000000000001</v>
      </c>
      <c r="P17" s="27">
        <v>1.84</v>
      </c>
    </row>
    <row r="18" spans="1:16" ht="17.100000000000001" customHeight="1" x14ac:dyDescent="0.25">
      <c r="A18" s="158"/>
      <c r="B18" s="167" t="s">
        <v>143</v>
      </c>
      <c r="C18" s="168">
        <v>200</v>
      </c>
      <c r="D18" s="27">
        <f t="shared" si="3"/>
        <v>2.1791666666666667</v>
      </c>
      <c r="E18" s="27">
        <v>1.35</v>
      </c>
      <c r="F18" s="27">
        <v>0</v>
      </c>
      <c r="G18" s="27">
        <v>26.15</v>
      </c>
      <c r="H18" s="27">
        <f>E18*4+F18*9+G18*4</f>
        <v>110</v>
      </c>
      <c r="I18" s="27">
        <v>2.7E-2</v>
      </c>
      <c r="J18" s="27">
        <v>5.8</v>
      </c>
      <c r="K18" s="27">
        <v>0</v>
      </c>
      <c r="L18" s="27">
        <v>0.28000000000000003</v>
      </c>
      <c r="M18" s="27">
        <v>19.5</v>
      </c>
      <c r="N18" s="27">
        <v>18.5</v>
      </c>
      <c r="O18" s="27">
        <v>11</v>
      </c>
      <c r="P18" s="27">
        <v>3.81</v>
      </c>
    </row>
    <row r="19" spans="1:16" ht="17.100000000000001" customHeight="1" x14ac:dyDescent="0.25">
      <c r="A19" s="158"/>
      <c r="B19" s="159" t="s">
        <v>144</v>
      </c>
      <c r="C19" s="160">
        <v>60</v>
      </c>
      <c r="D19" s="27">
        <f t="shared" si="3"/>
        <v>2.5074999999999998</v>
      </c>
      <c r="E19" s="27">
        <f>2.7*60/40</f>
        <v>4.05</v>
      </c>
      <c r="F19" s="27">
        <f>0.34*60/40</f>
        <v>0.51</v>
      </c>
      <c r="G19" s="27">
        <f>20.06*60/40</f>
        <v>30.089999999999996</v>
      </c>
      <c r="H19" s="162">
        <f t="shared" ref="H19:H20" si="4">E19*4+F19*9+G19*4</f>
        <v>141.14999999999998</v>
      </c>
      <c r="I19" s="27">
        <f>0.11*0.6</f>
        <v>6.6000000000000003E-2</v>
      </c>
      <c r="J19" s="27">
        <v>0</v>
      </c>
      <c r="K19" s="27">
        <v>0</v>
      </c>
      <c r="L19" s="27">
        <f>1.1*0.6</f>
        <v>0.66</v>
      </c>
      <c r="M19" s="27">
        <f>20*0.6</f>
        <v>12</v>
      </c>
      <c r="N19" s="27">
        <f>65*0.6</f>
        <v>39</v>
      </c>
      <c r="O19" s="27">
        <f>14*0.6</f>
        <v>8.4</v>
      </c>
      <c r="P19" s="27">
        <f>1.1*0.6</f>
        <v>0.66</v>
      </c>
    </row>
    <row r="20" spans="1:16" ht="17.100000000000001" customHeight="1" x14ac:dyDescent="0.25">
      <c r="A20" s="158"/>
      <c r="B20" s="159" t="s">
        <v>92</v>
      </c>
      <c r="C20" s="160">
        <v>20</v>
      </c>
      <c r="D20" s="27">
        <f t="shared" si="3"/>
        <v>0.6974999999999999</v>
      </c>
      <c r="E20" s="162">
        <v>1.33</v>
      </c>
      <c r="F20" s="162">
        <v>0.24</v>
      </c>
      <c r="G20" s="162">
        <v>8.3699999999999992</v>
      </c>
      <c r="H20" s="162">
        <f t="shared" si="4"/>
        <v>40.959999999999994</v>
      </c>
      <c r="I20" s="162">
        <v>0.11</v>
      </c>
      <c r="J20" s="162">
        <v>0.14000000000000001</v>
      </c>
      <c r="K20" s="162">
        <v>0</v>
      </c>
      <c r="L20" s="162">
        <v>0.11</v>
      </c>
      <c r="M20" s="162">
        <v>25.55</v>
      </c>
      <c r="N20" s="162">
        <v>43.75</v>
      </c>
      <c r="O20" s="162">
        <v>14</v>
      </c>
      <c r="P20" s="164">
        <v>0.98</v>
      </c>
    </row>
    <row r="21" spans="1:16" ht="17.100000000000001" customHeight="1" x14ac:dyDescent="0.25">
      <c r="A21" s="149"/>
      <c r="B21" s="150" t="s">
        <v>7</v>
      </c>
      <c r="C21" s="151">
        <f>SUM(C14:C20)</f>
        <v>965</v>
      </c>
      <c r="D21" s="169">
        <f t="shared" si="3"/>
        <v>9.7008333333333336</v>
      </c>
      <c r="E21" s="153">
        <f>SUM(E14:E20)</f>
        <v>25.42</v>
      </c>
      <c r="F21" s="153">
        <f t="shared" ref="F21:P21" si="5">SUM(F14:F20)</f>
        <v>24.549999999999997</v>
      </c>
      <c r="G21" s="153">
        <f t="shared" si="5"/>
        <v>116.41</v>
      </c>
      <c r="H21" s="153">
        <f t="shared" si="5"/>
        <v>788.2700000000001</v>
      </c>
      <c r="I21" s="153">
        <f t="shared" si="5"/>
        <v>0.39700000000000002</v>
      </c>
      <c r="J21" s="153">
        <f t="shared" si="5"/>
        <v>43.449999999999996</v>
      </c>
      <c r="K21" s="153">
        <f t="shared" si="5"/>
        <v>0</v>
      </c>
      <c r="L21" s="153">
        <f t="shared" si="5"/>
        <v>3.4828000000000006</v>
      </c>
      <c r="M21" s="153">
        <f t="shared" si="5"/>
        <v>214.16</v>
      </c>
      <c r="N21" s="153">
        <f t="shared" si="5"/>
        <v>445.96999999999997</v>
      </c>
      <c r="O21" s="153">
        <f t="shared" si="5"/>
        <v>105.72000000000001</v>
      </c>
      <c r="P21" s="153">
        <f t="shared" si="5"/>
        <v>11.14</v>
      </c>
    </row>
    <row r="22" spans="1:16" ht="17.100000000000001" customHeight="1" x14ac:dyDescent="0.25">
      <c r="A22" s="351" t="s">
        <v>211</v>
      </c>
      <c r="B22" s="359"/>
      <c r="C22" s="170"/>
      <c r="D22" s="170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</row>
    <row r="23" spans="1:16" ht="17.100000000000001" customHeight="1" x14ac:dyDescent="0.25">
      <c r="A23" s="349" t="s">
        <v>54</v>
      </c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</row>
    <row r="24" spans="1:16" ht="17.100000000000001" customHeight="1" x14ac:dyDescent="0.25">
      <c r="A24" s="172"/>
      <c r="B24" s="173" t="s">
        <v>110</v>
      </c>
      <c r="C24" s="174">
        <v>60</v>
      </c>
      <c r="D24" s="175">
        <f>G24/12</f>
        <v>0.22800000000000001</v>
      </c>
      <c r="E24" s="27">
        <v>0.79</v>
      </c>
      <c r="F24" s="27">
        <v>0.14399999999999999</v>
      </c>
      <c r="G24" s="27">
        <v>2.7360000000000002</v>
      </c>
      <c r="H24" s="27">
        <f>G24*4+F24*9+E24*4</f>
        <v>15.4</v>
      </c>
      <c r="I24" s="27">
        <v>4.8000000000000001E-2</v>
      </c>
      <c r="J24" s="27">
        <v>12.6</v>
      </c>
      <c r="K24" s="27">
        <v>0</v>
      </c>
      <c r="L24" s="27">
        <v>0.5</v>
      </c>
      <c r="M24" s="27">
        <v>10.08</v>
      </c>
      <c r="N24" s="27">
        <v>18.72</v>
      </c>
      <c r="O24" s="27">
        <v>14.4</v>
      </c>
      <c r="P24" s="27">
        <v>0.64800000000000002</v>
      </c>
    </row>
    <row r="25" spans="1:16" ht="17.100000000000001" customHeight="1" x14ac:dyDescent="0.25">
      <c r="A25" s="141">
        <v>259</v>
      </c>
      <c r="B25" s="142" t="s">
        <v>89</v>
      </c>
      <c r="C25" s="143">
        <v>175</v>
      </c>
      <c r="D25" s="175">
        <f t="shared" ref="D25:D30" si="6">G25/12</f>
        <v>2.1553398058252426</v>
      </c>
      <c r="E25" s="157">
        <v>17.009708737864077</v>
      </c>
      <c r="F25" s="157">
        <v>15.679611650485436</v>
      </c>
      <c r="G25" s="157">
        <v>25.864077669902912</v>
      </c>
      <c r="H25" s="27">
        <f t="shared" ref="H25:H29" si="7">G25*4+F25*9+E25*4</f>
        <v>312.61165048543688</v>
      </c>
      <c r="I25" s="157">
        <v>0.13980582524271842</v>
      </c>
      <c r="J25" s="157">
        <v>8.0970873786407758</v>
      </c>
      <c r="K25" s="157">
        <v>0</v>
      </c>
      <c r="L25" s="157">
        <v>10.067961165048542</v>
      </c>
      <c r="M25" s="157">
        <v>36.504854368932037</v>
      </c>
      <c r="N25" s="157">
        <v>215.95145631067962</v>
      </c>
      <c r="O25" s="157">
        <v>50.902912621359221</v>
      </c>
      <c r="P25" s="157">
        <v>4.6213592233009706</v>
      </c>
    </row>
    <row r="26" spans="1:16" ht="17.100000000000001" customHeight="1" x14ac:dyDescent="0.25">
      <c r="A26" s="141" t="s">
        <v>212</v>
      </c>
      <c r="B26" s="142" t="s">
        <v>90</v>
      </c>
      <c r="C26" s="143">
        <v>200</v>
      </c>
      <c r="D26" s="175">
        <f t="shared" si="6"/>
        <v>0.8666666666666667</v>
      </c>
      <c r="E26" s="145">
        <v>0.6</v>
      </c>
      <c r="F26" s="145">
        <v>0.4</v>
      </c>
      <c r="G26" s="145">
        <v>10.4</v>
      </c>
      <c r="H26" s="27">
        <f t="shared" si="7"/>
        <v>47.6</v>
      </c>
      <c r="I26" s="145">
        <v>0.02</v>
      </c>
      <c r="J26" s="145">
        <v>3.4</v>
      </c>
      <c r="K26" s="145">
        <v>0</v>
      </c>
      <c r="L26" s="145">
        <v>0.4</v>
      </c>
      <c r="M26" s="145">
        <v>21.2</v>
      </c>
      <c r="N26" s="145">
        <v>22.6</v>
      </c>
      <c r="O26" s="145">
        <v>14.6</v>
      </c>
      <c r="P26" s="145">
        <v>3.2</v>
      </c>
    </row>
    <row r="27" spans="1:16" ht="17.100000000000001" customHeight="1" x14ac:dyDescent="0.25">
      <c r="A27" s="141"/>
      <c r="B27" s="142" t="s">
        <v>6</v>
      </c>
      <c r="C27" s="143">
        <v>25</v>
      </c>
      <c r="D27" s="175">
        <f t="shared" si="6"/>
        <v>1.0447916666666666</v>
      </c>
      <c r="E27" s="157">
        <v>1.6875</v>
      </c>
      <c r="F27" s="157">
        <v>0.21499999999999997</v>
      </c>
      <c r="G27" s="157">
        <v>12.5375</v>
      </c>
      <c r="H27" s="27">
        <f t="shared" si="7"/>
        <v>58.835000000000001</v>
      </c>
      <c r="I27" s="157">
        <v>0.03</v>
      </c>
      <c r="J27" s="157">
        <v>0</v>
      </c>
      <c r="K27" s="157">
        <v>0</v>
      </c>
      <c r="L27" s="157">
        <v>0.27500000000000002</v>
      </c>
      <c r="M27" s="157">
        <v>5</v>
      </c>
      <c r="N27" s="157">
        <v>16.25</v>
      </c>
      <c r="O27" s="157">
        <v>3.5</v>
      </c>
      <c r="P27" s="157">
        <v>0.27500000000000002</v>
      </c>
    </row>
    <row r="28" spans="1:16" ht="17.100000000000001" customHeight="1" x14ac:dyDescent="0.25">
      <c r="A28" s="141"/>
      <c r="B28" s="142" t="s">
        <v>92</v>
      </c>
      <c r="C28" s="143">
        <v>25</v>
      </c>
      <c r="D28" s="175">
        <f t="shared" si="6"/>
        <v>0.87187499999999984</v>
      </c>
      <c r="E28" s="145">
        <v>1.6625000000000001</v>
      </c>
      <c r="F28" s="145">
        <v>0.3</v>
      </c>
      <c r="G28" s="145">
        <v>10.462499999999999</v>
      </c>
      <c r="H28" s="27">
        <f t="shared" si="7"/>
        <v>51.199999999999996</v>
      </c>
      <c r="I28" s="145">
        <v>0.13124999999999998</v>
      </c>
      <c r="J28" s="145">
        <v>0.17499999999999996</v>
      </c>
      <c r="K28" s="145">
        <v>0</v>
      </c>
      <c r="L28" s="145">
        <v>0.13124999999999998</v>
      </c>
      <c r="M28" s="145">
        <v>31.937499999999996</v>
      </c>
      <c r="N28" s="145">
        <v>54.6875</v>
      </c>
      <c r="O28" s="145">
        <v>17.5</v>
      </c>
      <c r="P28" s="145">
        <v>1.2249999999999999</v>
      </c>
    </row>
    <row r="29" spans="1:16" ht="17.100000000000001" customHeight="1" x14ac:dyDescent="0.25">
      <c r="A29" s="176"/>
      <c r="B29" s="142" t="s">
        <v>93</v>
      </c>
      <c r="C29" s="143">
        <v>200</v>
      </c>
      <c r="D29" s="175">
        <f t="shared" si="6"/>
        <v>0.66666666666666663</v>
      </c>
      <c r="E29" s="27">
        <f>2.9*2</f>
        <v>5.8</v>
      </c>
      <c r="F29" s="27">
        <f>2.5*2</f>
        <v>5</v>
      </c>
      <c r="G29" s="27">
        <f>4*2</f>
        <v>8</v>
      </c>
      <c r="H29" s="27">
        <f t="shared" si="7"/>
        <v>100.2</v>
      </c>
      <c r="I29" s="27">
        <f>0.04*0.75</f>
        <v>0.03</v>
      </c>
      <c r="J29" s="27">
        <v>0.54</v>
      </c>
      <c r="K29" s="27">
        <v>0.36</v>
      </c>
      <c r="L29" s="27">
        <v>0.5</v>
      </c>
      <c r="M29" s="27">
        <v>223.2</v>
      </c>
      <c r="N29" s="27">
        <v>165.6</v>
      </c>
      <c r="O29" s="27">
        <v>25.2</v>
      </c>
      <c r="P29" s="27">
        <v>0.18</v>
      </c>
    </row>
    <row r="30" spans="1:16" ht="17.100000000000001" customHeight="1" x14ac:dyDescent="0.25">
      <c r="A30" s="149"/>
      <c r="B30" s="150" t="s">
        <v>76</v>
      </c>
      <c r="C30" s="151">
        <f>SUM(C24:C29)</f>
        <v>685</v>
      </c>
      <c r="D30" s="177">
        <f t="shared" si="6"/>
        <v>5.8333398058252426</v>
      </c>
      <c r="E30" s="153">
        <f t="shared" ref="E30:P30" si="8">SUM(E24:E29)</f>
        <v>27.54970873786408</v>
      </c>
      <c r="F30" s="153">
        <f t="shared" si="8"/>
        <v>21.738611650485435</v>
      </c>
      <c r="G30" s="153">
        <f t="shared" si="8"/>
        <v>70.000077669902907</v>
      </c>
      <c r="H30" s="153">
        <f t="shared" si="8"/>
        <v>585.84665048543684</v>
      </c>
      <c r="I30" s="153">
        <f t="shared" si="8"/>
        <v>0.39905582524271843</v>
      </c>
      <c r="J30" s="153">
        <f t="shared" si="8"/>
        <v>24.812087378640772</v>
      </c>
      <c r="K30" s="153">
        <f t="shared" si="8"/>
        <v>0.36</v>
      </c>
      <c r="L30" s="153">
        <f t="shared" si="8"/>
        <v>11.874211165048543</v>
      </c>
      <c r="M30" s="153">
        <f t="shared" si="8"/>
        <v>327.92235436893202</v>
      </c>
      <c r="N30" s="153">
        <f t="shared" si="8"/>
        <v>493.8089563106796</v>
      </c>
      <c r="O30" s="153">
        <f t="shared" si="8"/>
        <v>126.10291262135922</v>
      </c>
      <c r="P30" s="153">
        <f t="shared" si="8"/>
        <v>10.149359223300969</v>
      </c>
    </row>
    <row r="31" spans="1:16" ht="17.100000000000001" customHeight="1" x14ac:dyDescent="0.25">
      <c r="A31" s="349" t="s">
        <v>8</v>
      </c>
      <c r="B31" s="353"/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3"/>
    </row>
    <row r="32" spans="1:16" ht="17.100000000000001" customHeight="1" x14ac:dyDescent="0.25">
      <c r="A32" s="178"/>
      <c r="B32" s="159" t="s">
        <v>146</v>
      </c>
      <c r="C32" s="160">
        <v>60</v>
      </c>
      <c r="D32" s="27">
        <f>G32/12</f>
        <v>9.4999999999999987E-2</v>
      </c>
      <c r="E32" s="27">
        <v>0.42</v>
      </c>
      <c r="F32" s="27">
        <v>0.06</v>
      </c>
      <c r="G32" s="27">
        <v>1.1399999999999999</v>
      </c>
      <c r="H32" s="27">
        <f>E32*4+F32*9+G32*4</f>
        <v>6.7799999999999994</v>
      </c>
      <c r="I32" s="27">
        <v>2.4E-2</v>
      </c>
      <c r="J32" s="27">
        <v>2.94</v>
      </c>
      <c r="K32" s="27">
        <v>0</v>
      </c>
      <c r="L32" s="27">
        <v>0</v>
      </c>
      <c r="M32" s="27">
        <v>10.199999999999999</v>
      </c>
      <c r="N32" s="27">
        <v>18</v>
      </c>
      <c r="O32" s="27">
        <v>8.4</v>
      </c>
      <c r="P32" s="27">
        <v>0.3</v>
      </c>
    </row>
    <row r="33" spans="1:16" ht="17.100000000000001" customHeight="1" x14ac:dyDescent="0.25">
      <c r="A33" s="158">
        <v>98</v>
      </c>
      <c r="B33" s="159" t="s">
        <v>147</v>
      </c>
      <c r="C33" s="160">
        <v>250</v>
      </c>
      <c r="D33" s="27">
        <f t="shared" ref="D33:D40" si="9">G33/12</f>
        <v>0.50749999999999995</v>
      </c>
      <c r="E33" s="162">
        <v>1.48</v>
      </c>
      <c r="F33" s="162">
        <v>4.92</v>
      </c>
      <c r="G33" s="162">
        <v>6.09</v>
      </c>
      <c r="H33" s="27">
        <f t="shared" ref="H33:H38" si="10">E33*4+F33*9+G33*4</f>
        <v>74.56</v>
      </c>
      <c r="I33" s="162">
        <v>0.04</v>
      </c>
      <c r="J33" s="162">
        <v>9.8800000000000008</v>
      </c>
      <c r="K33" s="162">
        <v>0</v>
      </c>
      <c r="L33" s="162">
        <v>0.6</v>
      </c>
      <c r="M33" s="162">
        <v>35.880000000000003</v>
      </c>
      <c r="N33" s="162">
        <v>33.630000000000003</v>
      </c>
      <c r="O33" s="162">
        <v>14.18</v>
      </c>
      <c r="P33" s="164">
        <v>0.57999999999999996</v>
      </c>
    </row>
    <row r="34" spans="1:16" ht="17.100000000000001" customHeight="1" x14ac:dyDescent="0.25">
      <c r="A34" s="158">
        <v>227</v>
      </c>
      <c r="B34" s="159" t="s">
        <v>148</v>
      </c>
      <c r="C34" s="160">
        <v>70</v>
      </c>
      <c r="D34" s="27">
        <f t="shared" si="9"/>
        <v>4.7499999999999994E-2</v>
      </c>
      <c r="E34" s="27">
        <v>12.27</v>
      </c>
      <c r="F34" s="27">
        <v>5.32</v>
      </c>
      <c r="G34" s="27">
        <v>0.56999999999999995</v>
      </c>
      <c r="H34" s="27">
        <f t="shared" si="10"/>
        <v>99.240000000000009</v>
      </c>
      <c r="I34" s="27">
        <v>0.04</v>
      </c>
      <c r="J34" s="27">
        <v>1.2</v>
      </c>
      <c r="K34" s="27">
        <v>0.31</v>
      </c>
      <c r="L34" s="27">
        <v>1.45</v>
      </c>
      <c r="M34" s="27">
        <v>27.6</v>
      </c>
      <c r="N34" s="27">
        <v>116.5</v>
      </c>
      <c r="O34" s="27">
        <v>13.44</v>
      </c>
      <c r="P34" s="27">
        <v>0.378</v>
      </c>
    </row>
    <row r="35" spans="1:16" ht="17.100000000000001" customHeight="1" x14ac:dyDescent="0.25">
      <c r="A35" s="158">
        <v>312</v>
      </c>
      <c r="B35" s="159" t="s">
        <v>35</v>
      </c>
      <c r="C35" s="160">
        <v>150</v>
      </c>
      <c r="D35" s="27">
        <f t="shared" si="9"/>
        <v>1.7033333333333334</v>
      </c>
      <c r="E35" s="161">
        <v>3.07</v>
      </c>
      <c r="F35" s="161">
        <v>4.8</v>
      </c>
      <c r="G35" s="161">
        <v>20.440000000000001</v>
      </c>
      <c r="H35" s="27">
        <f t="shared" si="10"/>
        <v>137.24</v>
      </c>
      <c r="I35" s="161">
        <v>0.14000000000000001</v>
      </c>
      <c r="J35" s="161">
        <v>18.16</v>
      </c>
      <c r="K35" s="161">
        <v>0</v>
      </c>
      <c r="L35" s="161">
        <v>0.09</v>
      </c>
      <c r="M35" s="161">
        <v>36.97</v>
      </c>
      <c r="N35" s="161">
        <v>86.59</v>
      </c>
      <c r="O35" s="161">
        <v>27.75</v>
      </c>
      <c r="P35" s="163">
        <v>1.01</v>
      </c>
    </row>
    <row r="36" spans="1:16" ht="17.100000000000001" customHeight="1" x14ac:dyDescent="0.25">
      <c r="A36" s="158">
        <v>349</v>
      </c>
      <c r="B36" s="159" t="s">
        <v>149</v>
      </c>
      <c r="C36" s="160">
        <v>200</v>
      </c>
      <c r="D36" s="27">
        <f t="shared" si="9"/>
        <v>2.6675</v>
      </c>
      <c r="E36" s="162">
        <v>0.66</v>
      </c>
      <c r="F36" s="162">
        <v>0.09</v>
      </c>
      <c r="G36" s="162">
        <v>32.01</v>
      </c>
      <c r="H36" s="27">
        <f t="shared" si="10"/>
        <v>131.48999999999998</v>
      </c>
      <c r="I36" s="162">
        <v>0.02</v>
      </c>
      <c r="J36" s="162">
        <v>0.73</v>
      </c>
      <c r="K36" s="162">
        <v>0</v>
      </c>
      <c r="L36" s="162">
        <v>0</v>
      </c>
      <c r="M36" s="162">
        <v>32.479999999999997</v>
      </c>
      <c r="N36" s="162">
        <v>23.44</v>
      </c>
      <c r="O36" s="162">
        <v>17.46</v>
      </c>
      <c r="P36" s="164">
        <v>0.69</v>
      </c>
    </row>
    <row r="37" spans="1:16" ht="17.100000000000001" customHeight="1" x14ac:dyDescent="0.25">
      <c r="A37" s="158"/>
      <c r="B37" s="159" t="s">
        <v>144</v>
      </c>
      <c r="C37" s="160">
        <v>40</v>
      </c>
      <c r="D37" s="27">
        <f t="shared" si="9"/>
        <v>1.6716666666666666</v>
      </c>
      <c r="E37" s="27">
        <v>2.7</v>
      </c>
      <c r="F37" s="27">
        <v>0.34</v>
      </c>
      <c r="G37" s="27">
        <v>20.059999999999999</v>
      </c>
      <c r="H37" s="27">
        <f t="shared" si="10"/>
        <v>94.1</v>
      </c>
      <c r="I37" s="27">
        <v>0.04</v>
      </c>
      <c r="J37" s="27">
        <v>0</v>
      </c>
      <c r="K37" s="27">
        <v>0</v>
      </c>
      <c r="L37" s="27">
        <v>0.44</v>
      </c>
      <c r="M37" s="27">
        <v>8</v>
      </c>
      <c r="N37" s="27">
        <v>26</v>
      </c>
      <c r="O37" s="27">
        <v>5.6</v>
      </c>
      <c r="P37" s="27">
        <v>0.44</v>
      </c>
    </row>
    <row r="38" spans="1:16" ht="17.100000000000001" customHeight="1" x14ac:dyDescent="0.25">
      <c r="A38" s="158"/>
      <c r="B38" s="159" t="s">
        <v>92</v>
      </c>
      <c r="C38" s="160">
        <v>40</v>
      </c>
      <c r="D38" s="27">
        <f t="shared" si="9"/>
        <v>1.3949999999999998</v>
      </c>
      <c r="E38" s="161">
        <v>2.66</v>
      </c>
      <c r="F38" s="161">
        <v>0.48</v>
      </c>
      <c r="G38" s="161">
        <v>16.739999999999998</v>
      </c>
      <c r="H38" s="27">
        <f t="shared" si="10"/>
        <v>81.919999999999987</v>
      </c>
      <c r="I38" s="161">
        <v>0.22</v>
      </c>
      <c r="J38" s="161">
        <v>0.28000000000000003</v>
      </c>
      <c r="K38" s="161">
        <v>0</v>
      </c>
      <c r="L38" s="161">
        <v>0.22</v>
      </c>
      <c r="M38" s="161">
        <v>51.1</v>
      </c>
      <c r="N38" s="161">
        <v>87.5</v>
      </c>
      <c r="O38" s="161">
        <v>28</v>
      </c>
      <c r="P38" s="163">
        <v>1.96</v>
      </c>
    </row>
    <row r="39" spans="1:16" ht="17.100000000000001" customHeight="1" x14ac:dyDescent="0.25">
      <c r="A39" s="158"/>
      <c r="B39" s="159" t="s">
        <v>150</v>
      </c>
      <c r="C39" s="179">
        <v>200</v>
      </c>
      <c r="D39" s="27">
        <f t="shared" si="9"/>
        <v>0.79999999999999993</v>
      </c>
      <c r="E39" s="157">
        <v>5.8</v>
      </c>
      <c r="F39" s="157">
        <v>5</v>
      </c>
      <c r="G39" s="157">
        <v>9.6</v>
      </c>
      <c r="H39" s="157">
        <v>107</v>
      </c>
      <c r="I39" s="157">
        <v>0.08</v>
      </c>
      <c r="J39" s="157">
        <v>2.6</v>
      </c>
      <c r="K39" s="157">
        <v>0.4</v>
      </c>
      <c r="L39" s="157">
        <v>0.5</v>
      </c>
      <c r="M39" s="157">
        <v>240</v>
      </c>
      <c r="N39" s="157">
        <v>180</v>
      </c>
      <c r="O39" s="157">
        <v>28</v>
      </c>
      <c r="P39" s="180">
        <v>0.2</v>
      </c>
    </row>
    <row r="40" spans="1:16" ht="17.100000000000001" customHeight="1" x14ac:dyDescent="0.25">
      <c r="A40" s="181"/>
      <c r="B40" s="182" t="s">
        <v>7</v>
      </c>
      <c r="C40" s="183">
        <f>SUM(C32:C39)</f>
        <v>1010</v>
      </c>
      <c r="D40" s="169">
        <f t="shared" si="9"/>
        <v>8.8874999999999993</v>
      </c>
      <c r="E40" s="184">
        <f t="shared" ref="E40:P40" si="11">SUM(E32:E39)</f>
        <v>29.06</v>
      </c>
      <c r="F40" s="184">
        <f t="shared" si="11"/>
        <v>21.01</v>
      </c>
      <c r="G40" s="184">
        <f t="shared" si="11"/>
        <v>106.64999999999999</v>
      </c>
      <c r="H40" s="184">
        <f t="shared" si="11"/>
        <v>732.33</v>
      </c>
      <c r="I40" s="184">
        <f t="shared" si="11"/>
        <v>0.60399999999999998</v>
      </c>
      <c r="J40" s="184">
        <f t="shared" si="11"/>
        <v>35.79</v>
      </c>
      <c r="K40" s="184">
        <f t="shared" si="11"/>
        <v>0.71</v>
      </c>
      <c r="L40" s="184">
        <f t="shared" si="11"/>
        <v>3.3</v>
      </c>
      <c r="M40" s="184">
        <f t="shared" si="11"/>
        <v>442.23</v>
      </c>
      <c r="N40" s="184">
        <f t="shared" si="11"/>
        <v>571.66000000000008</v>
      </c>
      <c r="O40" s="184">
        <f t="shared" si="11"/>
        <v>142.82999999999998</v>
      </c>
      <c r="P40" s="184">
        <f t="shared" si="11"/>
        <v>5.5579999999999998</v>
      </c>
    </row>
    <row r="41" spans="1:16" ht="17.100000000000001" customHeight="1" x14ac:dyDescent="0.25">
      <c r="A41" s="351" t="s">
        <v>213</v>
      </c>
      <c r="B41" s="352"/>
      <c r="C41" s="170"/>
      <c r="D41" s="170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</row>
    <row r="42" spans="1:16" ht="17.100000000000001" customHeight="1" x14ac:dyDescent="0.25">
      <c r="A42" s="349" t="s">
        <v>54</v>
      </c>
      <c r="B42" s="353"/>
      <c r="C42" s="353"/>
      <c r="D42" s="353"/>
      <c r="E42" s="353"/>
      <c r="F42" s="353"/>
      <c r="G42" s="353"/>
      <c r="H42" s="353"/>
      <c r="I42" s="353"/>
      <c r="J42" s="353"/>
      <c r="K42" s="353"/>
      <c r="L42" s="353"/>
      <c r="M42" s="353"/>
      <c r="N42" s="353"/>
      <c r="O42" s="353"/>
      <c r="P42" s="353"/>
    </row>
    <row r="43" spans="1:16" ht="17.100000000000001" customHeight="1" x14ac:dyDescent="0.25">
      <c r="A43" s="141"/>
      <c r="B43" s="142" t="s">
        <v>96</v>
      </c>
      <c r="C43" s="143">
        <v>80</v>
      </c>
      <c r="D43" s="144">
        <f>G43/12</f>
        <v>0.30324000000000001</v>
      </c>
      <c r="E43" s="157">
        <v>1.0507000000000002</v>
      </c>
      <c r="F43" s="157">
        <v>0.19152</v>
      </c>
      <c r="G43" s="157">
        <v>3.6388800000000003</v>
      </c>
      <c r="H43" s="157">
        <f>G43*4+F43*9+E43*4</f>
        <v>20.482000000000003</v>
      </c>
      <c r="I43" s="157">
        <v>6.3840000000000008E-2</v>
      </c>
      <c r="J43" s="157">
        <v>16.757999999999999</v>
      </c>
      <c r="K43" s="157">
        <v>0</v>
      </c>
      <c r="L43" s="167">
        <v>0.66500000000000004</v>
      </c>
      <c r="M43" s="167">
        <v>13.406400000000001</v>
      </c>
      <c r="N43" s="167">
        <v>24.897600000000001</v>
      </c>
      <c r="O43" s="167">
        <v>19.152000000000001</v>
      </c>
      <c r="P43" s="167">
        <v>0.86184000000000005</v>
      </c>
    </row>
    <row r="44" spans="1:16" ht="17.100000000000001" customHeight="1" x14ac:dyDescent="0.25">
      <c r="A44" s="141">
        <v>296</v>
      </c>
      <c r="B44" s="142" t="s">
        <v>97</v>
      </c>
      <c r="C44" s="143">
        <v>75</v>
      </c>
      <c r="D44" s="144">
        <f t="shared" ref="D44:D50" si="12">G44/12</f>
        <v>0.81083333333333341</v>
      </c>
      <c r="E44" s="27">
        <v>9.5</v>
      </c>
      <c r="F44" s="27">
        <v>12.64</v>
      </c>
      <c r="G44" s="27">
        <v>9.73</v>
      </c>
      <c r="H44" s="157">
        <f t="shared" ref="H44:H49" si="13">G44*4+F44*9+E44*4</f>
        <v>190.68</v>
      </c>
      <c r="I44" s="27">
        <v>7.0000000000000007E-2</v>
      </c>
      <c r="J44" s="27">
        <v>0.51</v>
      </c>
      <c r="K44" s="27">
        <v>0.81</v>
      </c>
      <c r="L44" s="27">
        <v>2.2999999999999998</v>
      </c>
      <c r="M44" s="27">
        <v>78.2</v>
      </c>
      <c r="N44" s="27">
        <v>78.52</v>
      </c>
      <c r="O44" s="27">
        <v>16.16</v>
      </c>
      <c r="P44" s="27">
        <v>28.97</v>
      </c>
    </row>
    <row r="45" spans="1:16" ht="17.100000000000001" customHeight="1" x14ac:dyDescent="0.25">
      <c r="A45" s="185">
        <v>302</v>
      </c>
      <c r="B45" s="142" t="s">
        <v>214</v>
      </c>
      <c r="C45" s="143">
        <v>135</v>
      </c>
      <c r="D45" s="144">
        <f t="shared" si="12"/>
        <v>2.7904166666666668</v>
      </c>
      <c r="E45" s="145">
        <v>6.97</v>
      </c>
      <c r="F45" s="145">
        <v>3.5994999999999995</v>
      </c>
      <c r="G45" s="145">
        <v>33.484999999999999</v>
      </c>
      <c r="H45" s="157">
        <f t="shared" si="13"/>
        <v>194.21549999999999</v>
      </c>
      <c r="I45" s="145">
        <v>0.20699999999999999</v>
      </c>
      <c r="J45" s="145">
        <v>0</v>
      </c>
      <c r="K45" s="145">
        <v>0.4</v>
      </c>
      <c r="L45" s="145">
        <v>0.50600000000000001</v>
      </c>
      <c r="M45" s="145">
        <v>27.0825</v>
      </c>
      <c r="N45" s="145">
        <v>213.43999999999997</v>
      </c>
      <c r="O45" s="145">
        <v>142.48499999999999</v>
      </c>
      <c r="P45" s="145">
        <v>4.83</v>
      </c>
    </row>
    <row r="46" spans="1:16" ht="17.100000000000001" customHeight="1" x14ac:dyDescent="0.25">
      <c r="A46" s="141" t="s">
        <v>215</v>
      </c>
      <c r="B46" s="142" t="s">
        <v>135</v>
      </c>
      <c r="C46" s="143">
        <v>200</v>
      </c>
      <c r="D46" s="144">
        <f t="shared" si="12"/>
        <v>1.2249999999999999</v>
      </c>
      <c r="E46" s="145">
        <v>2.9</v>
      </c>
      <c r="F46" s="145">
        <v>2.5</v>
      </c>
      <c r="G46" s="145">
        <v>14.7</v>
      </c>
      <c r="H46" s="157">
        <f t="shared" si="13"/>
        <v>92.899999999999991</v>
      </c>
      <c r="I46" s="145">
        <v>0.02</v>
      </c>
      <c r="J46" s="145">
        <v>0.6</v>
      </c>
      <c r="K46" s="145">
        <v>0.1</v>
      </c>
      <c r="L46" s="145">
        <v>0.1</v>
      </c>
      <c r="M46" s="145">
        <v>120.3</v>
      </c>
      <c r="N46" s="145">
        <v>90</v>
      </c>
      <c r="O46" s="145">
        <v>14</v>
      </c>
      <c r="P46" s="145">
        <v>0.13</v>
      </c>
    </row>
    <row r="47" spans="1:16" ht="17.100000000000001" customHeight="1" x14ac:dyDescent="0.25">
      <c r="A47" s="141"/>
      <c r="B47" s="142" t="s">
        <v>6</v>
      </c>
      <c r="C47" s="143">
        <v>25</v>
      </c>
      <c r="D47" s="144">
        <f t="shared" si="12"/>
        <v>1.0447916666666666</v>
      </c>
      <c r="E47" s="157">
        <v>1.6875</v>
      </c>
      <c r="F47" s="157">
        <v>0.21499999999999997</v>
      </c>
      <c r="G47" s="157">
        <v>12.5375</v>
      </c>
      <c r="H47" s="157">
        <f t="shared" si="13"/>
        <v>58.835000000000001</v>
      </c>
      <c r="I47" s="157">
        <v>0.03</v>
      </c>
      <c r="J47" s="157">
        <v>0</v>
      </c>
      <c r="K47" s="157">
        <v>0</v>
      </c>
      <c r="L47" s="157">
        <v>0.27500000000000002</v>
      </c>
      <c r="M47" s="157">
        <v>5</v>
      </c>
      <c r="N47" s="157">
        <v>16.25</v>
      </c>
      <c r="O47" s="157">
        <v>3.5</v>
      </c>
      <c r="P47" s="157">
        <v>0.27500000000000002</v>
      </c>
    </row>
    <row r="48" spans="1:16" ht="17.100000000000001" customHeight="1" x14ac:dyDescent="0.25">
      <c r="A48" s="141"/>
      <c r="B48" s="142" t="s">
        <v>92</v>
      </c>
      <c r="C48" s="143">
        <v>25</v>
      </c>
      <c r="D48" s="144">
        <f t="shared" si="12"/>
        <v>0.87187499999999984</v>
      </c>
      <c r="E48" s="145">
        <v>1.6625000000000001</v>
      </c>
      <c r="F48" s="145">
        <v>0.3</v>
      </c>
      <c r="G48" s="145">
        <v>10.462499999999999</v>
      </c>
      <c r="H48" s="157">
        <f t="shared" si="13"/>
        <v>51.199999999999996</v>
      </c>
      <c r="I48" s="145">
        <v>0.13124999999999998</v>
      </c>
      <c r="J48" s="145">
        <v>0.17499999999999996</v>
      </c>
      <c r="K48" s="145">
        <v>0</v>
      </c>
      <c r="L48" s="145">
        <v>0.13124999999999998</v>
      </c>
      <c r="M48" s="145">
        <v>31.937499999999996</v>
      </c>
      <c r="N48" s="145">
        <v>54.6875</v>
      </c>
      <c r="O48" s="145">
        <v>17.5</v>
      </c>
      <c r="P48" s="145">
        <v>1.2249999999999999</v>
      </c>
    </row>
    <row r="49" spans="1:16" ht="17.100000000000001" customHeight="1" x14ac:dyDescent="0.25">
      <c r="A49" s="141"/>
      <c r="B49" s="142" t="s">
        <v>100</v>
      </c>
      <c r="C49" s="143">
        <v>150</v>
      </c>
      <c r="D49" s="144">
        <f t="shared" si="12"/>
        <v>1.267570281124498</v>
      </c>
      <c r="E49" s="145">
        <v>0.75301204819277112</v>
      </c>
      <c r="F49" s="145">
        <v>0</v>
      </c>
      <c r="G49" s="145">
        <v>15.210843373493976</v>
      </c>
      <c r="H49" s="157">
        <f t="shared" si="13"/>
        <v>63.855421686746986</v>
      </c>
      <c r="I49" s="145">
        <v>1.5060240963855423E-2</v>
      </c>
      <c r="J49" s="145">
        <v>3.0120481927710845</v>
      </c>
      <c r="K49" s="145">
        <v>0</v>
      </c>
      <c r="L49" s="145">
        <v>0.15060240963855423</v>
      </c>
      <c r="M49" s="145">
        <v>10.542168674698795</v>
      </c>
      <c r="N49" s="145">
        <v>10.542168674698795</v>
      </c>
      <c r="O49" s="145">
        <v>6.024096385542169</v>
      </c>
      <c r="P49" s="145">
        <v>2.1084337349397591</v>
      </c>
    </row>
    <row r="50" spans="1:16" ht="17.100000000000001" customHeight="1" x14ac:dyDescent="0.25">
      <c r="A50" s="149"/>
      <c r="B50" s="150" t="s">
        <v>76</v>
      </c>
      <c r="C50" s="151">
        <f>SUM(C43:C49)</f>
        <v>690</v>
      </c>
      <c r="D50" s="152">
        <f t="shared" si="12"/>
        <v>8.3137269477911637</v>
      </c>
      <c r="E50" s="153">
        <f t="shared" ref="E50:P50" si="14">SUM(E43:E49)</f>
        <v>24.523712048192774</v>
      </c>
      <c r="F50" s="153">
        <f t="shared" si="14"/>
        <v>19.446020000000001</v>
      </c>
      <c r="G50" s="153">
        <f t="shared" si="14"/>
        <v>99.764723373493965</v>
      </c>
      <c r="H50" s="153">
        <f t="shared" si="14"/>
        <v>672.16792168674704</v>
      </c>
      <c r="I50" s="153">
        <f t="shared" si="14"/>
        <v>0.53715024096385544</v>
      </c>
      <c r="J50" s="153">
        <f t="shared" si="14"/>
        <v>21.055048192771089</v>
      </c>
      <c r="K50" s="153">
        <f t="shared" si="14"/>
        <v>1.31</v>
      </c>
      <c r="L50" s="153">
        <f t="shared" si="14"/>
        <v>4.127852409638554</v>
      </c>
      <c r="M50" s="153">
        <f t="shared" si="14"/>
        <v>286.46856867469882</v>
      </c>
      <c r="N50" s="153">
        <f t="shared" si="14"/>
        <v>488.33726867469875</v>
      </c>
      <c r="O50" s="153">
        <f t="shared" si="14"/>
        <v>218.82109638554215</v>
      </c>
      <c r="P50" s="153">
        <f t="shared" si="14"/>
        <v>38.400273734939759</v>
      </c>
    </row>
    <row r="51" spans="1:16" ht="17.100000000000001" customHeight="1" x14ac:dyDescent="0.25">
      <c r="A51" s="349" t="s">
        <v>8</v>
      </c>
      <c r="B51" s="353"/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3"/>
      <c r="N51" s="353"/>
      <c r="O51" s="353"/>
      <c r="P51" s="353"/>
    </row>
    <row r="52" spans="1:16" ht="17.100000000000001" customHeight="1" x14ac:dyDescent="0.25">
      <c r="A52" s="186">
        <v>104</v>
      </c>
      <c r="B52" s="187" t="s">
        <v>216</v>
      </c>
      <c r="C52" s="188">
        <v>270</v>
      </c>
      <c r="D52" s="189">
        <f>G52/12</f>
        <v>1.2950000000000002</v>
      </c>
      <c r="E52" s="161">
        <f>2.19+3.99</f>
        <v>6.18</v>
      </c>
      <c r="F52" s="161">
        <f>2.78+2.74</f>
        <v>5.52</v>
      </c>
      <c r="G52" s="161">
        <f>15.39+0.15</f>
        <v>15.540000000000001</v>
      </c>
      <c r="H52" s="161">
        <f>E52*4+F52*9+G52*4</f>
        <v>136.56</v>
      </c>
      <c r="I52" s="161">
        <v>0.12</v>
      </c>
      <c r="J52" s="161">
        <v>11.07</v>
      </c>
      <c r="K52" s="161">
        <v>0</v>
      </c>
      <c r="L52" s="161">
        <v>0.5</v>
      </c>
      <c r="M52" s="161">
        <v>29.7</v>
      </c>
      <c r="N52" s="161">
        <v>72.22</v>
      </c>
      <c r="O52" s="161">
        <v>29.6</v>
      </c>
      <c r="P52" s="163">
        <v>1.1499999999999999</v>
      </c>
    </row>
    <row r="53" spans="1:16" ht="17.100000000000001" customHeight="1" x14ac:dyDescent="0.25">
      <c r="A53" s="190">
        <v>223</v>
      </c>
      <c r="B53" s="155" t="s">
        <v>151</v>
      </c>
      <c r="C53" s="156">
        <v>185</v>
      </c>
      <c r="D53" s="189">
        <f t="shared" ref="D53:D59" si="15">G53/12</f>
        <v>2.6958333333333333</v>
      </c>
      <c r="E53" s="191">
        <v>20.87</v>
      </c>
      <c r="F53" s="191">
        <v>14.36</v>
      </c>
      <c r="G53" s="191">
        <v>32.35</v>
      </c>
      <c r="H53" s="161">
        <f t="shared" ref="H53:H58" si="16">E53*4+F53*9+G53*4</f>
        <v>342.12</v>
      </c>
      <c r="I53" s="191">
        <v>7.0000000000000007E-2</v>
      </c>
      <c r="J53" s="191">
        <v>0.94</v>
      </c>
      <c r="K53" s="191">
        <v>0.88</v>
      </c>
      <c r="L53" s="162">
        <v>0.4</v>
      </c>
      <c r="M53" s="191">
        <v>184.9</v>
      </c>
      <c r="N53" s="191">
        <v>256.20999999999998</v>
      </c>
      <c r="O53" s="191">
        <v>29.3</v>
      </c>
      <c r="P53" s="191">
        <v>1.34</v>
      </c>
    </row>
    <row r="54" spans="1:16" ht="17.100000000000001" customHeight="1" x14ac:dyDescent="0.25">
      <c r="A54" s="190"/>
      <c r="B54" s="159" t="s">
        <v>152</v>
      </c>
      <c r="C54" s="160">
        <v>35</v>
      </c>
      <c r="D54" s="189">
        <f t="shared" si="15"/>
        <v>1.0025000000000002</v>
      </c>
      <c r="E54" s="161">
        <v>0.49</v>
      </c>
      <c r="F54" s="161">
        <v>1.75</v>
      </c>
      <c r="G54" s="161">
        <f>2.05+9.98</f>
        <v>12.030000000000001</v>
      </c>
      <c r="H54" s="27">
        <f t="shared" si="16"/>
        <v>65.830000000000013</v>
      </c>
      <c r="I54" s="161">
        <v>0.01</v>
      </c>
      <c r="J54" s="161">
        <v>0.01</v>
      </c>
      <c r="K54" s="161">
        <v>0.01</v>
      </c>
      <c r="L54" s="162">
        <v>0</v>
      </c>
      <c r="M54" s="161">
        <f>9.55+0.3</f>
        <v>9.8500000000000014</v>
      </c>
      <c r="N54" s="161">
        <v>7.95</v>
      </c>
      <c r="O54" s="161">
        <v>1.84</v>
      </c>
      <c r="P54" s="163">
        <f>0.07+0.03</f>
        <v>0.1</v>
      </c>
    </row>
    <row r="55" spans="1:16" ht="17.100000000000001" customHeight="1" x14ac:dyDescent="0.25">
      <c r="A55" s="190"/>
      <c r="B55" s="192" t="s">
        <v>153</v>
      </c>
      <c r="C55" s="166">
        <v>200</v>
      </c>
      <c r="D55" s="189">
        <f t="shared" si="15"/>
        <v>2.4049999999999998</v>
      </c>
      <c r="E55" s="191">
        <v>0.52</v>
      </c>
      <c r="F55" s="191">
        <v>0.18</v>
      </c>
      <c r="G55" s="191">
        <v>28.86</v>
      </c>
      <c r="H55" s="161">
        <f t="shared" si="16"/>
        <v>119.14</v>
      </c>
      <c r="I55" s="191">
        <v>1.4E-2</v>
      </c>
      <c r="J55" s="191">
        <v>27.6</v>
      </c>
      <c r="K55" s="191">
        <v>0</v>
      </c>
      <c r="L55" s="191">
        <v>0</v>
      </c>
      <c r="M55" s="191">
        <v>23.7</v>
      </c>
      <c r="N55" s="191">
        <v>18.399999999999999</v>
      </c>
      <c r="O55" s="191">
        <v>13.4</v>
      </c>
      <c r="P55" s="191">
        <v>0.71199999999999997</v>
      </c>
    </row>
    <row r="56" spans="1:16" ht="17.100000000000001" customHeight="1" x14ac:dyDescent="0.25">
      <c r="A56" s="190"/>
      <c r="B56" s="159" t="s">
        <v>144</v>
      </c>
      <c r="C56" s="156">
        <v>40</v>
      </c>
      <c r="D56" s="189">
        <f t="shared" si="15"/>
        <v>1.6716666666666666</v>
      </c>
      <c r="E56" s="193">
        <v>2.7</v>
      </c>
      <c r="F56" s="193">
        <v>0.34</v>
      </c>
      <c r="G56" s="193">
        <v>20.059999999999999</v>
      </c>
      <c r="H56" s="161">
        <f t="shared" si="16"/>
        <v>94.1</v>
      </c>
      <c r="I56" s="193">
        <v>0.04</v>
      </c>
      <c r="J56" s="193">
        <v>0</v>
      </c>
      <c r="K56" s="193">
        <v>0</v>
      </c>
      <c r="L56" s="193">
        <v>0.44</v>
      </c>
      <c r="M56" s="193">
        <v>8</v>
      </c>
      <c r="N56" s="193">
        <v>26</v>
      </c>
      <c r="O56" s="193">
        <v>5.6</v>
      </c>
      <c r="P56" s="193">
        <v>0.44</v>
      </c>
    </row>
    <row r="57" spans="1:16" ht="17.100000000000001" customHeight="1" x14ac:dyDescent="0.25">
      <c r="A57" s="158"/>
      <c r="B57" s="159" t="s">
        <v>92</v>
      </c>
      <c r="C57" s="160">
        <v>40</v>
      </c>
      <c r="D57" s="189">
        <f t="shared" si="15"/>
        <v>1.3949999999999998</v>
      </c>
      <c r="E57" s="161">
        <v>2.66</v>
      </c>
      <c r="F57" s="161">
        <v>0.48</v>
      </c>
      <c r="G57" s="161">
        <v>16.739999999999998</v>
      </c>
      <c r="H57" s="161">
        <f t="shared" si="16"/>
        <v>81.919999999999987</v>
      </c>
      <c r="I57" s="161">
        <v>0.22</v>
      </c>
      <c r="J57" s="161">
        <v>0.28000000000000003</v>
      </c>
      <c r="K57" s="161">
        <v>0</v>
      </c>
      <c r="L57" s="161">
        <v>0.22</v>
      </c>
      <c r="M57" s="161">
        <v>51.1</v>
      </c>
      <c r="N57" s="161">
        <v>87.5</v>
      </c>
      <c r="O57" s="161">
        <v>28</v>
      </c>
      <c r="P57" s="163">
        <v>1.96</v>
      </c>
    </row>
    <row r="58" spans="1:16" ht="17.100000000000001" customHeight="1" x14ac:dyDescent="0.25">
      <c r="A58" s="158"/>
      <c r="B58" s="159" t="s">
        <v>154</v>
      </c>
      <c r="C58" s="160">
        <v>180</v>
      </c>
      <c r="D58" s="189">
        <f t="shared" si="15"/>
        <v>0.59791666666666665</v>
      </c>
      <c r="E58" s="161">
        <v>4.37</v>
      </c>
      <c r="F58" s="161">
        <f>2.7*1.8</f>
        <v>4.8600000000000003</v>
      </c>
      <c r="G58" s="161">
        <v>7.1749999999999998</v>
      </c>
      <c r="H58" s="161">
        <f t="shared" si="16"/>
        <v>89.92</v>
      </c>
      <c r="I58" s="161">
        <v>3.5000000000000003E-2</v>
      </c>
      <c r="J58" s="161">
        <v>0.52</v>
      </c>
      <c r="K58" s="161">
        <v>0.35</v>
      </c>
      <c r="L58" s="161">
        <v>0.5</v>
      </c>
      <c r="M58" s="161">
        <v>217</v>
      </c>
      <c r="N58" s="161">
        <v>57.96</v>
      </c>
      <c r="O58" s="161">
        <v>24.5</v>
      </c>
      <c r="P58" s="161">
        <v>0.17499999999999999</v>
      </c>
    </row>
    <row r="59" spans="1:16" ht="17.100000000000001" customHeight="1" x14ac:dyDescent="0.25">
      <c r="A59" s="181"/>
      <c r="B59" s="182" t="s">
        <v>7</v>
      </c>
      <c r="C59" s="183">
        <f>SUM(C52:C58)+270</f>
        <v>1220</v>
      </c>
      <c r="D59" s="194">
        <f t="shared" si="15"/>
        <v>11.062916666666666</v>
      </c>
      <c r="E59" s="184">
        <f>SUM(E52:E58)</f>
        <v>37.79</v>
      </c>
      <c r="F59" s="184">
        <f t="shared" ref="F59:P59" si="17">SUM(F52:F58)</f>
        <v>27.49</v>
      </c>
      <c r="G59" s="184">
        <f t="shared" si="17"/>
        <v>132.755</v>
      </c>
      <c r="H59" s="184">
        <f t="shared" si="17"/>
        <v>929.58999999999992</v>
      </c>
      <c r="I59" s="184">
        <f t="shared" si="17"/>
        <v>0.50900000000000001</v>
      </c>
      <c r="J59" s="184">
        <f t="shared" si="17"/>
        <v>40.420000000000009</v>
      </c>
      <c r="K59" s="184">
        <f t="shared" si="17"/>
        <v>1.24</v>
      </c>
      <c r="L59" s="184">
        <f t="shared" si="17"/>
        <v>2.06</v>
      </c>
      <c r="M59" s="184">
        <f t="shared" si="17"/>
        <v>524.25</v>
      </c>
      <c r="N59" s="184">
        <f t="shared" si="17"/>
        <v>526.2399999999999</v>
      </c>
      <c r="O59" s="184">
        <f t="shared" si="17"/>
        <v>132.24</v>
      </c>
      <c r="P59" s="184">
        <f t="shared" si="17"/>
        <v>5.8769999999999998</v>
      </c>
    </row>
    <row r="60" spans="1:16" ht="17.100000000000001" customHeight="1" x14ac:dyDescent="0.25">
      <c r="A60" s="351" t="s">
        <v>217</v>
      </c>
      <c r="B60" s="352"/>
      <c r="C60" s="170"/>
      <c r="D60" s="170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</row>
    <row r="61" spans="1:16" ht="17.100000000000001" customHeight="1" x14ac:dyDescent="0.25">
      <c r="A61" s="349" t="s">
        <v>54</v>
      </c>
      <c r="B61" s="353"/>
      <c r="C61" s="353"/>
      <c r="D61" s="353"/>
      <c r="E61" s="353"/>
      <c r="F61" s="353"/>
      <c r="G61" s="353"/>
      <c r="H61" s="353"/>
      <c r="I61" s="353"/>
      <c r="J61" s="353"/>
      <c r="K61" s="353"/>
      <c r="L61" s="353"/>
      <c r="M61" s="353"/>
      <c r="N61" s="353"/>
      <c r="O61" s="353"/>
      <c r="P61" s="353"/>
    </row>
    <row r="62" spans="1:16" ht="17.100000000000001" customHeight="1" x14ac:dyDescent="0.25">
      <c r="A62" s="141"/>
      <c r="B62" s="142" t="s">
        <v>101</v>
      </c>
      <c r="C62" s="143">
        <v>80</v>
      </c>
      <c r="D62" s="189">
        <f>G62/12</f>
        <v>0.30324000000000001</v>
      </c>
      <c r="E62" s="145">
        <v>1.0507000000000002</v>
      </c>
      <c r="F62" s="145">
        <v>0.19152</v>
      </c>
      <c r="G62" s="145">
        <v>3.6388800000000003</v>
      </c>
      <c r="H62" s="145">
        <f>G62*4+F62*9+E62*4</f>
        <v>20.482000000000003</v>
      </c>
      <c r="I62" s="145">
        <v>6.3840000000000008E-2</v>
      </c>
      <c r="J62" s="145">
        <v>16.757999999999999</v>
      </c>
      <c r="K62" s="145">
        <v>0</v>
      </c>
      <c r="L62" s="145">
        <v>0.66500000000000004</v>
      </c>
      <c r="M62" s="145">
        <v>13.406400000000001</v>
      </c>
      <c r="N62" s="145">
        <v>24.897600000000001</v>
      </c>
      <c r="O62" s="145">
        <v>19.152000000000001</v>
      </c>
      <c r="P62" s="145">
        <v>0.86184000000000005</v>
      </c>
    </row>
    <row r="63" spans="1:16" ht="17.100000000000001" customHeight="1" x14ac:dyDescent="0.25">
      <c r="A63" s="141" t="s">
        <v>218</v>
      </c>
      <c r="B63" s="142" t="s">
        <v>102</v>
      </c>
      <c r="C63" s="143">
        <v>110</v>
      </c>
      <c r="D63" s="189">
        <f t="shared" ref="D63:D68" si="18">G63/12</f>
        <v>0.89166666666666661</v>
      </c>
      <c r="E63" s="157">
        <f>6.4+1.33</f>
        <v>7.73</v>
      </c>
      <c r="F63" s="157">
        <f>4.08+4.61</f>
        <v>8.6900000000000013</v>
      </c>
      <c r="G63" s="157">
        <f>5.8+4.9</f>
        <v>10.7</v>
      </c>
      <c r="H63" s="145">
        <f t="shared" ref="H63:H67" si="19">G63*4+F63*9+E63*4</f>
        <v>151.93</v>
      </c>
      <c r="I63" s="157">
        <v>5.6000000000000001E-2</v>
      </c>
      <c r="J63" s="157">
        <f>2.67+0.16</f>
        <v>2.83</v>
      </c>
      <c r="K63" s="157">
        <v>0.41</v>
      </c>
      <c r="L63" s="157">
        <v>0</v>
      </c>
      <c r="M63" s="157">
        <f>35.72+33.4</f>
        <v>69.12</v>
      </c>
      <c r="N63" s="157">
        <f>61.69+29.09</f>
        <v>90.78</v>
      </c>
      <c r="O63" s="157">
        <f>14.12+5.84</f>
        <v>19.96</v>
      </c>
      <c r="P63" s="157">
        <f>0.372+0.14</f>
        <v>0.51200000000000001</v>
      </c>
    </row>
    <row r="64" spans="1:16" ht="17.100000000000001" customHeight="1" x14ac:dyDescent="0.25">
      <c r="A64" s="141">
        <v>312</v>
      </c>
      <c r="B64" s="142" t="s">
        <v>35</v>
      </c>
      <c r="C64" s="143">
        <v>150</v>
      </c>
      <c r="D64" s="189">
        <f t="shared" si="18"/>
        <v>1.9209999999999996</v>
      </c>
      <c r="E64" s="145">
        <v>3.4577999999999998</v>
      </c>
      <c r="F64" s="145">
        <v>5.4239999999999995</v>
      </c>
      <c r="G64" s="145">
        <v>23.051999999999996</v>
      </c>
      <c r="H64" s="145">
        <f t="shared" si="19"/>
        <v>154.85519999999997</v>
      </c>
      <c r="I64" s="145">
        <v>0.15820000000000001</v>
      </c>
      <c r="J64" s="145">
        <v>20.452999999999999</v>
      </c>
      <c r="K64" s="145">
        <v>0</v>
      </c>
      <c r="L64" s="145">
        <v>0.20339999999999997</v>
      </c>
      <c r="M64" s="145">
        <v>41.696999999999996</v>
      </c>
      <c r="N64" s="145">
        <v>97.74499999999999</v>
      </c>
      <c r="O64" s="145">
        <v>31.357499999999998</v>
      </c>
      <c r="P64" s="145">
        <v>1.1413</v>
      </c>
    </row>
    <row r="65" spans="1:16" ht="17.100000000000001" customHeight="1" x14ac:dyDescent="0.25">
      <c r="A65" s="141">
        <v>377</v>
      </c>
      <c r="B65" s="142" t="s">
        <v>103</v>
      </c>
      <c r="C65" s="143">
        <v>200</v>
      </c>
      <c r="D65" s="189">
        <f t="shared" si="18"/>
        <v>0.85416666666666663</v>
      </c>
      <c r="E65" s="27">
        <v>0.13</v>
      </c>
      <c r="F65" s="27">
        <v>1.8000000000000002E-2</v>
      </c>
      <c r="G65" s="27">
        <f>15.2-4.95</f>
        <v>10.25</v>
      </c>
      <c r="H65" s="145">
        <f t="shared" si="19"/>
        <v>41.682000000000002</v>
      </c>
      <c r="I65" s="27">
        <v>0</v>
      </c>
      <c r="J65" s="27">
        <v>2.83</v>
      </c>
      <c r="K65" s="27">
        <v>0</v>
      </c>
      <c r="L65" s="27">
        <v>0.05</v>
      </c>
      <c r="M65" s="27">
        <v>14.05</v>
      </c>
      <c r="N65" s="27">
        <v>4.4000000000000004</v>
      </c>
      <c r="O65" s="27">
        <v>2.4</v>
      </c>
      <c r="P65" s="27">
        <v>0.38</v>
      </c>
    </row>
    <row r="66" spans="1:16" ht="17.100000000000001" customHeight="1" x14ac:dyDescent="0.25">
      <c r="A66" s="141"/>
      <c r="B66" s="142" t="s">
        <v>92</v>
      </c>
      <c r="C66" s="143">
        <v>25</v>
      </c>
      <c r="D66" s="189">
        <f t="shared" si="18"/>
        <v>0.87187499999999984</v>
      </c>
      <c r="E66" s="145">
        <v>1.6625000000000001</v>
      </c>
      <c r="F66" s="145">
        <v>0.3</v>
      </c>
      <c r="G66" s="145">
        <v>10.462499999999999</v>
      </c>
      <c r="H66" s="145">
        <f t="shared" si="19"/>
        <v>51.199999999999996</v>
      </c>
      <c r="I66" s="145">
        <v>0.13124999999999998</v>
      </c>
      <c r="J66" s="145">
        <v>0.17499999999999996</v>
      </c>
      <c r="K66" s="145">
        <v>0</v>
      </c>
      <c r="L66" s="145">
        <v>0.13124999999999998</v>
      </c>
      <c r="M66" s="145">
        <v>31.937499999999996</v>
      </c>
      <c r="N66" s="145">
        <v>54.6875</v>
      </c>
      <c r="O66" s="145">
        <v>17.5</v>
      </c>
      <c r="P66" s="145">
        <v>1.2249999999999999</v>
      </c>
    </row>
    <row r="67" spans="1:16" ht="17.100000000000001" customHeight="1" x14ac:dyDescent="0.25">
      <c r="A67" s="176" t="s">
        <v>212</v>
      </c>
      <c r="B67" s="142" t="s">
        <v>104</v>
      </c>
      <c r="C67" s="143">
        <v>50</v>
      </c>
      <c r="D67" s="189">
        <f t="shared" si="18"/>
        <v>1.9833333333333334</v>
      </c>
      <c r="E67" s="145">
        <v>3.1</v>
      </c>
      <c r="F67" s="27">
        <v>4.3</v>
      </c>
      <c r="G67" s="27">
        <v>23.8</v>
      </c>
      <c r="H67" s="145">
        <f t="shared" si="19"/>
        <v>146.30000000000001</v>
      </c>
      <c r="I67" s="27">
        <v>5.5E-2</v>
      </c>
      <c r="J67" s="27">
        <v>1.7</v>
      </c>
      <c r="K67" s="27">
        <v>0.62</v>
      </c>
      <c r="L67" s="27">
        <v>0.60499999999999998</v>
      </c>
      <c r="M67" s="27">
        <v>26.7</v>
      </c>
      <c r="N67" s="27">
        <v>40.4</v>
      </c>
      <c r="O67" s="27">
        <v>7.3</v>
      </c>
      <c r="P67" s="27">
        <v>0.17199999999999999</v>
      </c>
    </row>
    <row r="68" spans="1:16" ht="17.100000000000001" customHeight="1" x14ac:dyDescent="0.25">
      <c r="A68" s="149"/>
      <c r="B68" s="150" t="s">
        <v>76</v>
      </c>
      <c r="C68" s="151">
        <f>SUM(C62:C67)</f>
        <v>615</v>
      </c>
      <c r="D68" s="194">
        <f t="shared" si="18"/>
        <v>6.8252816666666662</v>
      </c>
      <c r="E68" s="153">
        <f t="shared" ref="E68:P68" si="20">SUM(E62:E67)</f>
        <v>17.131000000000004</v>
      </c>
      <c r="F68" s="153">
        <f t="shared" si="20"/>
        <v>18.923520000000003</v>
      </c>
      <c r="G68" s="153">
        <f t="shared" si="20"/>
        <v>81.903379999999999</v>
      </c>
      <c r="H68" s="153">
        <f t="shared" si="20"/>
        <v>566.44920000000002</v>
      </c>
      <c r="I68" s="153">
        <f t="shared" si="20"/>
        <v>0.46428999999999998</v>
      </c>
      <c r="J68" s="153">
        <f t="shared" si="20"/>
        <v>44.745999999999995</v>
      </c>
      <c r="K68" s="153">
        <f t="shared" si="20"/>
        <v>1.03</v>
      </c>
      <c r="L68" s="153">
        <f t="shared" si="20"/>
        <v>1.6546500000000002</v>
      </c>
      <c r="M68" s="153">
        <f t="shared" si="20"/>
        <v>196.9109</v>
      </c>
      <c r="N68" s="153">
        <f t="shared" si="20"/>
        <v>312.91009999999994</v>
      </c>
      <c r="O68" s="153">
        <f t="shared" si="20"/>
        <v>97.669499999999999</v>
      </c>
      <c r="P68" s="153">
        <f t="shared" si="20"/>
        <v>4.292139999999999</v>
      </c>
    </row>
    <row r="69" spans="1:16" ht="17.100000000000001" customHeight="1" x14ac:dyDescent="0.25">
      <c r="A69" s="349" t="s">
        <v>8</v>
      </c>
      <c r="B69" s="353"/>
      <c r="C69" s="353"/>
      <c r="D69" s="353"/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</row>
    <row r="70" spans="1:16" ht="17.100000000000001" customHeight="1" x14ac:dyDescent="0.25">
      <c r="A70" s="158">
        <v>96</v>
      </c>
      <c r="B70" s="192" t="s">
        <v>158</v>
      </c>
      <c r="C70" s="166">
        <v>250</v>
      </c>
      <c r="D70" s="189">
        <f>G70/12</f>
        <v>0.99833333333333341</v>
      </c>
      <c r="E70" s="157">
        <v>2.02</v>
      </c>
      <c r="F70" s="157">
        <v>5.09</v>
      </c>
      <c r="G70" s="157">
        <v>11.98</v>
      </c>
      <c r="H70" s="157">
        <f>E70*4+F70*9+G70*4</f>
        <v>101.81</v>
      </c>
      <c r="I70" s="157">
        <v>0.09</v>
      </c>
      <c r="J70" s="157">
        <v>8.3800000000000008</v>
      </c>
      <c r="K70" s="157">
        <v>0</v>
      </c>
      <c r="L70" s="157">
        <v>0.5</v>
      </c>
      <c r="M70" s="157">
        <v>29.15</v>
      </c>
      <c r="N70" s="157">
        <v>56.73</v>
      </c>
      <c r="O70" s="157">
        <v>24.18</v>
      </c>
      <c r="P70" s="180">
        <v>0.93</v>
      </c>
    </row>
    <row r="71" spans="1:16" ht="17.100000000000001" customHeight="1" x14ac:dyDescent="0.25">
      <c r="A71" s="158"/>
      <c r="B71" s="159" t="s">
        <v>159</v>
      </c>
      <c r="C71" s="160">
        <v>85</v>
      </c>
      <c r="D71" s="189">
        <f t="shared" ref="D71:D77" si="21">G71/12</f>
        <v>5.0000000000000001E-3</v>
      </c>
      <c r="E71" s="191">
        <v>19.3</v>
      </c>
      <c r="F71" s="191">
        <v>16</v>
      </c>
      <c r="G71" s="191">
        <v>0.06</v>
      </c>
      <c r="H71" s="157">
        <f t="shared" ref="H71:H75" si="22">E71*4+F71*9+G71*4</f>
        <v>221.44</v>
      </c>
      <c r="I71" s="191">
        <v>0.06</v>
      </c>
      <c r="J71" s="191">
        <v>2.08</v>
      </c>
      <c r="K71" s="191">
        <v>0.9</v>
      </c>
      <c r="L71" s="157">
        <v>0.3</v>
      </c>
      <c r="M71" s="191">
        <v>43.65</v>
      </c>
      <c r="N71" s="191">
        <v>149.58000000000001</v>
      </c>
      <c r="O71" s="191">
        <v>19.25</v>
      </c>
      <c r="P71" s="191">
        <v>1.71</v>
      </c>
    </row>
    <row r="72" spans="1:16" ht="17.100000000000001" customHeight="1" x14ac:dyDescent="0.25">
      <c r="A72" s="190">
        <v>143</v>
      </c>
      <c r="B72" s="155" t="s">
        <v>45</v>
      </c>
      <c r="C72" s="156">
        <v>150</v>
      </c>
      <c r="D72" s="189">
        <f t="shared" si="21"/>
        <v>1.3875</v>
      </c>
      <c r="E72" s="162">
        <v>3.29</v>
      </c>
      <c r="F72" s="162">
        <v>13.61</v>
      </c>
      <c r="G72" s="162">
        <v>16.649999999999999</v>
      </c>
      <c r="H72" s="157">
        <f t="shared" si="22"/>
        <v>202.25</v>
      </c>
      <c r="I72" s="162">
        <v>0.1</v>
      </c>
      <c r="J72" s="162">
        <v>23.49</v>
      </c>
      <c r="K72" s="162">
        <v>0.97</v>
      </c>
      <c r="L72" s="157">
        <v>1.2</v>
      </c>
      <c r="M72" s="162">
        <v>66</v>
      </c>
      <c r="N72" s="162">
        <v>75.709999999999994</v>
      </c>
      <c r="O72" s="162">
        <v>30.13</v>
      </c>
      <c r="P72" s="164">
        <v>1.24</v>
      </c>
    </row>
    <row r="73" spans="1:16" ht="17.100000000000001" customHeight="1" x14ac:dyDescent="0.25">
      <c r="A73" s="158"/>
      <c r="B73" s="159" t="s">
        <v>108</v>
      </c>
      <c r="C73" s="160">
        <v>200</v>
      </c>
      <c r="D73" s="189">
        <f t="shared" si="21"/>
        <v>2.0941666666666667</v>
      </c>
      <c r="E73" s="161">
        <v>1</v>
      </c>
      <c r="F73" s="161">
        <v>0.5</v>
      </c>
      <c r="G73" s="161">
        <v>25.13</v>
      </c>
      <c r="H73" s="157">
        <f>E73*4+F73*9+G73*4</f>
        <v>109.02</v>
      </c>
      <c r="I73" s="161">
        <v>0.08</v>
      </c>
      <c r="J73" s="161">
        <v>10</v>
      </c>
      <c r="K73" s="161">
        <v>0</v>
      </c>
      <c r="L73" s="161">
        <v>0.65</v>
      </c>
      <c r="M73" s="161">
        <v>50</v>
      </c>
      <c r="N73" s="161">
        <v>36</v>
      </c>
      <c r="O73" s="161">
        <v>28.3</v>
      </c>
      <c r="P73" s="163">
        <v>1</v>
      </c>
    </row>
    <row r="74" spans="1:16" ht="17.100000000000001" customHeight="1" x14ac:dyDescent="0.25">
      <c r="A74" s="190"/>
      <c r="B74" s="159" t="s">
        <v>144</v>
      </c>
      <c r="C74" s="156">
        <v>40</v>
      </c>
      <c r="D74" s="189">
        <f t="shared" si="21"/>
        <v>1.6716666666666666</v>
      </c>
      <c r="E74" s="193">
        <v>2.7</v>
      </c>
      <c r="F74" s="193">
        <v>0.34</v>
      </c>
      <c r="G74" s="193">
        <v>20.059999999999999</v>
      </c>
      <c r="H74" s="157">
        <f t="shared" si="22"/>
        <v>94.1</v>
      </c>
      <c r="I74" s="193">
        <v>0.04</v>
      </c>
      <c r="J74" s="193">
        <v>0</v>
      </c>
      <c r="K74" s="193">
        <v>0</v>
      </c>
      <c r="L74" s="193">
        <v>0.44</v>
      </c>
      <c r="M74" s="193">
        <v>8</v>
      </c>
      <c r="N74" s="193">
        <v>26</v>
      </c>
      <c r="O74" s="193">
        <v>5.6</v>
      </c>
      <c r="P74" s="193">
        <v>0.44</v>
      </c>
    </row>
    <row r="75" spans="1:16" ht="17.100000000000001" customHeight="1" x14ac:dyDescent="0.25">
      <c r="A75" s="158"/>
      <c r="B75" s="159" t="s">
        <v>92</v>
      </c>
      <c r="C75" s="160">
        <v>20</v>
      </c>
      <c r="D75" s="189">
        <f t="shared" si="21"/>
        <v>0.6974999999999999</v>
      </c>
      <c r="E75" s="162">
        <v>1.33</v>
      </c>
      <c r="F75" s="162">
        <v>0.24</v>
      </c>
      <c r="G75" s="162">
        <v>8.3699999999999992</v>
      </c>
      <c r="H75" s="157">
        <f t="shared" si="22"/>
        <v>40.959999999999994</v>
      </c>
      <c r="I75" s="162">
        <v>0.11</v>
      </c>
      <c r="J75" s="162">
        <v>0.14000000000000001</v>
      </c>
      <c r="K75" s="162">
        <v>0</v>
      </c>
      <c r="L75" s="162">
        <v>0.11</v>
      </c>
      <c r="M75" s="162">
        <v>25.55</v>
      </c>
      <c r="N75" s="162">
        <v>43.75</v>
      </c>
      <c r="O75" s="162">
        <v>14</v>
      </c>
      <c r="P75" s="164">
        <v>0.98</v>
      </c>
    </row>
    <row r="76" spans="1:16" ht="17.100000000000001" customHeight="1" x14ac:dyDescent="0.25">
      <c r="A76" s="158"/>
      <c r="B76" s="159" t="s">
        <v>150</v>
      </c>
      <c r="C76" s="179">
        <v>200</v>
      </c>
      <c r="D76" s="189">
        <f t="shared" si="21"/>
        <v>0.79999999999999993</v>
      </c>
      <c r="E76" s="157">
        <v>5.8</v>
      </c>
      <c r="F76" s="157">
        <v>5</v>
      </c>
      <c r="G76" s="157">
        <v>9.6</v>
      </c>
      <c r="H76" s="157">
        <v>107</v>
      </c>
      <c r="I76" s="157">
        <v>0.08</v>
      </c>
      <c r="J76" s="157">
        <v>2.6</v>
      </c>
      <c r="K76" s="157">
        <v>0.4</v>
      </c>
      <c r="L76" s="157">
        <v>0.5</v>
      </c>
      <c r="M76" s="157">
        <v>240</v>
      </c>
      <c r="N76" s="157">
        <v>180</v>
      </c>
      <c r="O76" s="157">
        <v>28</v>
      </c>
      <c r="P76" s="180">
        <v>0.2</v>
      </c>
    </row>
    <row r="77" spans="1:16" ht="17.100000000000001" customHeight="1" x14ac:dyDescent="0.25">
      <c r="A77" s="181"/>
      <c r="B77" s="182" t="s">
        <v>7</v>
      </c>
      <c r="C77" s="183">
        <f>SUM(C70:C76)</f>
        <v>945</v>
      </c>
      <c r="D77" s="194">
        <f t="shared" si="21"/>
        <v>7.6541666666666659</v>
      </c>
      <c r="E77" s="184">
        <f t="shared" ref="E77:P77" si="23">SUM(E70:E76)</f>
        <v>35.44</v>
      </c>
      <c r="F77" s="184">
        <f t="shared" si="23"/>
        <v>40.780000000000008</v>
      </c>
      <c r="G77" s="184">
        <f t="shared" si="23"/>
        <v>91.85</v>
      </c>
      <c r="H77" s="184">
        <f t="shared" si="23"/>
        <v>876.58</v>
      </c>
      <c r="I77" s="184">
        <f t="shared" si="23"/>
        <v>0.55999999999999994</v>
      </c>
      <c r="J77" s="184">
        <f t="shared" si="23"/>
        <v>46.690000000000005</v>
      </c>
      <c r="K77" s="184">
        <f t="shared" si="23"/>
        <v>2.27</v>
      </c>
      <c r="L77" s="184">
        <f t="shared" si="23"/>
        <v>3.6999999999999997</v>
      </c>
      <c r="M77" s="184">
        <f t="shared" si="23"/>
        <v>462.35</v>
      </c>
      <c r="N77" s="184">
        <f t="shared" si="23"/>
        <v>567.77</v>
      </c>
      <c r="O77" s="184">
        <f t="shared" si="23"/>
        <v>149.45999999999998</v>
      </c>
      <c r="P77" s="184">
        <f t="shared" si="23"/>
        <v>6.5000000000000009</v>
      </c>
    </row>
    <row r="78" spans="1:16" ht="17.100000000000001" customHeight="1" x14ac:dyDescent="0.25">
      <c r="A78" s="351" t="s">
        <v>219</v>
      </c>
      <c r="B78" s="352"/>
      <c r="C78" s="170"/>
      <c r="D78" s="170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</row>
    <row r="79" spans="1:16" ht="17.100000000000001" customHeight="1" x14ac:dyDescent="0.25">
      <c r="A79" s="349" t="s">
        <v>54</v>
      </c>
      <c r="B79" s="353"/>
      <c r="C79" s="353"/>
      <c r="D79" s="353"/>
      <c r="E79" s="353"/>
      <c r="F79" s="353"/>
      <c r="G79" s="353"/>
      <c r="H79" s="353"/>
      <c r="I79" s="353"/>
      <c r="J79" s="353"/>
      <c r="K79" s="353"/>
      <c r="L79" s="353"/>
      <c r="M79" s="353"/>
      <c r="N79" s="353"/>
      <c r="O79" s="353"/>
      <c r="P79" s="353"/>
    </row>
    <row r="80" spans="1:16" ht="17.100000000000001" customHeight="1" x14ac:dyDescent="0.25">
      <c r="A80" s="185"/>
      <c r="B80" s="173" t="s">
        <v>106</v>
      </c>
      <c r="C80" s="174">
        <v>70</v>
      </c>
      <c r="D80" s="175">
        <f>G80/12</f>
        <v>0.11019999999999998</v>
      </c>
      <c r="E80" s="145">
        <v>0.48719999999999997</v>
      </c>
      <c r="F80" s="145">
        <v>6.9599999999999995E-2</v>
      </c>
      <c r="G80" s="145">
        <v>1.3223999999999998</v>
      </c>
      <c r="H80" s="145">
        <f>G80*4+F80*9+E80*4</f>
        <v>7.8647999999999989</v>
      </c>
      <c r="I80" s="145">
        <v>2.3199999999999998E-2</v>
      </c>
      <c r="J80" s="145">
        <v>3.4103999999999997</v>
      </c>
      <c r="K80" s="145">
        <v>0</v>
      </c>
      <c r="L80" s="145">
        <v>6.9599999999999995E-2</v>
      </c>
      <c r="M80" s="145">
        <v>11.831999999999999</v>
      </c>
      <c r="N80" s="145">
        <v>20.88</v>
      </c>
      <c r="O80" s="145">
        <v>9.7439999999999998</v>
      </c>
      <c r="P80" s="145">
        <v>0.34799999999999998</v>
      </c>
    </row>
    <row r="81" spans="1:16" ht="17.100000000000001" customHeight="1" x14ac:dyDescent="0.25">
      <c r="A81" s="141">
        <v>212</v>
      </c>
      <c r="B81" s="142" t="s">
        <v>107</v>
      </c>
      <c r="C81" s="143">
        <v>150</v>
      </c>
      <c r="D81" s="175">
        <f t="shared" ref="D81:D86" si="24">G81/12</f>
        <v>0.22648333333333334</v>
      </c>
      <c r="E81" s="145">
        <v>15.771800000000001</v>
      </c>
      <c r="F81" s="145">
        <v>30.409400000000005</v>
      </c>
      <c r="G81" s="145">
        <v>2.7178</v>
      </c>
      <c r="H81" s="145">
        <f t="shared" ref="H81:H85" si="25">G81*4+F81*9+E81*4</f>
        <v>347.64300000000003</v>
      </c>
      <c r="I81" s="145">
        <v>0.14980000000000002</v>
      </c>
      <c r="J81" s="145">
        <v>0.21400000000000002</v>
      </c>
      <c r="K81" s="145">
        <v>2.88</v>
      </c>
      <c r="L81" s="145">
        <v>7.8</v>
      </c>
      <c r="M81" s="145">
        <v>95.444000000000003</v>
      </c>
      <c r="N81" s="145">
        <v>245.244</v>
      </c>
      <c r="O81" s="145">
        <v>20.0518</v>
      </c>
      <c r="P81" s="145">
        <v>2.7820000000000005</v>
      </c>
    </row>
    <row r="82" spans="1:16" ht="17.100000000000001" customHeight="1" x14ac:dyDescent="0.25">
      <c r="A82" s="141"/>
      <c r="B82" s="142" t="s">
        <v>90</v>
      </c>
      <c r="C82" s="143">
        <v>200</v>
      </c>
      <c r="D82" s="175">
        <f t="shared" si="24"/>
        <v>0.8666666666666667</v>
      </c>
      <c r="E82" s="145">
        <v>0.6</v>
      </c>
      <c r="F82" s="145">
        <v>0.4</v>
      </c>
      <c r="G82" s="145">
        <v>10.4</v>
      </c>
      <c r="H82" s="145">
        <f t="shared" si="25"/>
        <v>47.6</v>
      </c>
      <c r="I82" s="145">
        <v>0.02</v>
      </c>
      <c r="J82" s="145">
        <v>3.4</v>
      </c>
      <c r="K82" s="145">
        <v>0</v>
      </c>
      <c r="L82" s="145">
        <v>0.4</v>
      </c>
      <c r="M82" s="145">
        <v>21.2</v>
      </c>
      <c r="N82" s="145">
        <v>22.6</v>
      </c>
      <c r="O82" s="145">
        <v>14.6</v>
      </c>
      <c r="P82" s="145">
        <v>3.2</v>
      </c>
    </row>
    <row r="83" spans="1:16" ht="17.100000000000001" customHeight="1" x14ac:dyDescent="0.25">
      <c r="A83" s="195"/>
      <c r="B83" s="142" t="s">
        <v>6</v>
      </c>
      <c r="C83" s="143">
        <v>40</v>
      </c>
      <c r="D83" s="175">
        <f t="shared" si="24"/>
        <v>1.6716666666666666</v>
      </c>
      <c r="E83" s="145">
        <f>1.35*2</f>
        <v>2.7</v>
      </c>
      <c r="F83" s="145">
        <f>0.172*2</f>
        <v>0.34399999999999997</v>
      </c>
      <c r="G83" s="145">
        <f>10.03*2</f>
        <v>20.059999999999999</v>
      </c>
      <c r="H83" s="145">
        <f t="shared" si="25"/>
        <v>94.135999999999996</v>
      </c>
      <c r="I83" s="145">
        <v>2.4E-2</v>
      </c>
      <c r="J83" s="145">
        <v>0</v>
      </c>
      <c r="K83" s="145">
        <v>0</v>
      </c>
      <c r="L83" s="145">
        <v>0.42</v>
      </c>
      <c r="M83" s="145">
        <v>8</v>
      </c>
      <c r="N83" s="145">
        <v>26</v>
      </c>
      <c r="O83" s="145">
        <v>5.6</v>
      </c>
      <c r="P83" s="145">
        <v>0.4</v>
      </c>
    </row>
    <row r="84" spans="1:16" ht="17.100000000000001" customHeight="1" x14ac:dyDescent="0.25">
      <c r="A84" s="196"/>
      <c r="B84" s="142" t="s">
        <v>92</v>
      </c>
      <c r="C84" s="143">
        <v>25</v>
      </c>
      <c r="D84" s="175">
        <f t="shared" si="24"/>
        <v>0.87187499999999984</v>
      </c>
      <c r="E84" s="145">
        <v>1.6625000000000001</v>
      </c>
      <c r="F84" s="145">
        <v>0.3</v>
      </c>
      <c r="G84" s="145">
        <v>10.462499999999999</v>
      </c>
      <c r="H84" s="145">
        <f t="shared" si="25"/>
        <v>51.199999999999996</v>
      </c>
      <c r="I84" s="145">
        <v>0.13124999999999998</v>
      </c>
      <c r="J84" s="145">
        <v>0.17499999999999996</v>
      </c>
      <c r="K84" s="145">
        <v>0</v>
      </c>
      <c r="L84" s="145">
        <v>0.13124999999999998</v>
      </c>
      <c r="M84" s="145">
        <v>31.937499999999996</v>
      </c>
      <c r="N84" s="145">
        <v>54.6875</v>
      </c>
      <c r="O84" s="145">
        <v>17.5</v>
      </c>
      <c r="P84" s="145">
        <v>1.2249999999999999</v>
      </c>
    </row>
    <row r="85" spans="1:16" ht="17.100000000000001" customHeight="1" x14ac:dyDescent="0.25">
      <c r="A85" s="141">
        <v>368</v>
      </c>
      <c r="B85" s="142" t="s">
        <v>108</v>
      </c>
      <c r="C85" s="143">
        <v>120</v>
      </c>
      <c r="D85" s="175">
        <f t="shared" si="24"/>
        <v>1.0666666666666667</v>
      </c>
      <c r="E85" s="27">
        <v>0.5</v>
      </c>
      <c r="F85" s="27">
        <v>0.5</v>
      </c>
      <c r="G85" s="27">
        <v>12.8</v>
      </c>
      <c r="H85" s="145">
        <f t="shared" si="25"/>
        <v>57.7</v>
      </c>
      <c r="I85" s="27">
        <v>0.04</v>
      </c>
      <c r="J85" s="27">
        <v>5</v>
      </c>
      <c r="K85" s="27">
        <v>0</v>
      </c>
      <c r="L85" s="27">
        <v>0.33</v>
      </c>
      <c r="M85" s="27">
        <v>25</v>
      </c>
      <c r="N85" s="27">
        <v>18.3</v>
      </c>
      <c r="O85" s="27">
        <v>14.16</v>
      </c>
      <c r="P85" s="27">
        <v>0.5</v>
      </c>
    </row>
    <row r="86" spans="1:16" ht="17.100000000000001" customHeight="1" x14ac:dyDescent="0.25">
      <c r="A86" s="149"/>
      <c r="B86" s="150" t="s">
        <v>76</v>
      </c>
      <c r="C86" s="151">
        <f>SUM(C80:C85)</f>
        <v>605</v>
      </c>
      <c r="D86" s="177">
        <f t="shared" si="24"/>
        <v>4.8135583333333329</v>
      </c>
      <c r="E86" s="153">
        <f t="shared" ref="E86:P86" si="26">SUM(E80:E85)</f>
        <v>21.721500000000002</v>
      </c>
      <c r="F86" s="153">
        <f t="shared" si="26"/>
        <v>32.02300000000001</v>
      </c>
      <c r="G86" s="153">
        <f t="shared" si="26"/>
        <v>57.762699999999995</v>
      </c>
      <c r="H86" s="153">
        <f t="shared" si="26"/>
        <v>606.14380000000017</v>
      </c>
      <c r="I86" s="153">
        <f t="shared" si="26"/>
        <v>0.38824999999999993</v>
      </c>
      <c r="J86" s="153">
        <f t="shared" si="26"/>
        <v>12.199400000000001</v>
      </c>
      <c r="K86" s="153">
        <f t="shared" si="26"/>
        <v>2.88</v>
      </c>
      <c r="L86" s="153">
        <f t="shared" si="26"/>
        <v>9.1508500000000002</v>
      </c>
      <c r="M86" s="153">
        <f t="shared" si="26"/>
        <v>193.4135</v>
      </c>
      <c r="N86" s="153">
        <f t="shared" si="26"/>
        <v>387.71150000000006</v>
      </c>
      <c r="O86" s="153">
        <f t="shared" si="26"/>
        <v>81.655799999999999</v>
      </c>
      <c r="P86" s="153">
        <f t="shared" si="26"/>
        <v>8.4550000000000001</v>
      </c>
    </row>
    <row r="87" spans="1:16" ht="17.100000000000001" customHeight="1" x14ac:dyDescent="0.25">
      <c r="A87" s="349" t="s">
        <v>8</v>
      </c>
      <c r="B87" s="353"/>
      <c r="C87" s="353"/>
      <c r="D87" s="353"/>
      <c r="E87" s="353"/>
      <c r="F87" s="353"/>
      <c r="G87" s="353"/>
      <c r="H87" s="353"/>
      <c r="I87" s="353"/>
      <c r="J87" s="353"/>
      <c r="K87" s="353"/>
      <c r="L87" s="353"/>
      <c r="M87" s="353"/>
      <c r="N87" s="353"/>
      <c r="O87" s="353"/>
      <c r="P87" s="353"/>
    </row>
    <row r="88" spans="1:16" ht="17.100000000000001" customHeight="1" x14ac:dyDescent="0.25">
      <c r="A88" s="190">
        <v>84</v>
      </c>
      <c r="B88" s="155" t="s">
        <v>161</v>
      </c>
      <c r="C88" s="156">
        <v>250</v>
      </c>
      <c r="D88" s="161">
        <f>G88/12</f>
        <v>1.1808333333333334</v>
      </c>
      <c r="E88" s="191">
        <v>3.56</v>
      </c>
      <c r="F88" s="191">
        <v>5.12</v>
      </c>
      <c r="G88" s="191">
        <v>14.17</v>
      </c>
      <c r="H88" s="27">
        <f t="shared" ref="H88:H94" si="27">E88*4+F88*9+G88*4</f>
        <v>117</v>
      </c>
      <c r="I88" s="191">
        <v>0.1</v>
      </c>
      <c r="J88" s="191">
        <v>6.7</v>
      </c>
      <c r="K88" s="191">
        <v>0</v>
      </c>
      <c r="L88" s="191">
        <v>0.5</v>
      </c>
      <c r="M88" s="191">
        <v>54.18</v>
      </c>
      <c r="N88" s="191">
        <v>99.5</v>
      </c>
      <c r="O88" s="191">
        <v>34.450000000000003</v>
      </c>
      <c r="P88" s="197">
        <v>1.73</v>
      </c>
    </row>
    <row r="89" spans="1:16" ht="17.100000000000001" customHeight="1" x14ac:dyDescent="0.25">
      <c r="A89" s="198">
        <v>229</v>
      </c>
      <c r="B89" s="192" t="s">
        <v>162</v>
      </c>
      <c r="C89" s="166">
        <v>200</v>
      </c>
      <c r="D89" s="161">
        <f t="shared" ref="D89:D95" si="28">G89/12</f>
        <v>0.6333333333333333</v>
      </c>
      <c r="E89" s="162">
        <v>19.5</v>
      </c>
      <c r="F89" s="162">
        <v>9.9</v>
      </c>
      <c r="G89" s="162">
        <v>7.6</v>
      </c>
      <c r="H89" s="27">
        <f t="shared" si="27"/>
        <v>197.50000000000003</v>
      </c>
      <c r="I89" s="162">
        <v>0.1</v>
      </c>
      <c r="J89" s="162">
        <v>7.46</v>
      </c>
      <c r="K89" s="162">
        <v>0.11</v>
      </c>
      <c r="L89" s="191">
        <v>0.9</v>
      </c>
      <c r="M89" s="162">
        <v>78.14</v>
      </c>
      <c r="N89" s="162">
        <v>324.38</v>
      </c>
      <c r="O89" s="162">
        <v>97.06</v>
      </c>
      <c r="P89" s="164">
        <v>1.7</v>
      </c>
    </row>
    <row r="90" spans="1:16" ht="17.100000000000001" customHeight="1" x14ac:dyDescent="0.25">
      <c r="A90" s="158">
        <v>392</v>
      </c>
      <c r="B90" s="159" t="s">
        <v>163</v>
      </c>
      <c r="C90" s="160">
        <v>200</v>
      </c>
      <c r="D90" s="161">
        <f t="shared" si="28"/>
        <v>2.13</v>
      </c>
      <c r="E90" s="157">
        <v>1.6</v>
      </c>
      <c r="F90" s="157">
        <v>1.6</v>
      </c>
      <c r="G90" s="157">
        <v>25.56</v>
      </c>
      <c r="H90" s="157">
        <f t="shared" si="27"/>
        <v>123.03999999999999</v>
      </c>
      <c r="I90" s="157">
        <v>0</v>
      </c>
      <c r="J90" s="157">
        <v>0.1</v>
      </c>
      <c r="K90" s="157">
        <v>0</v>
      </c>
      <c r="L90" s="191">
        <v>0.3</v>
      </c>
      <c r="M90" s="157">
        <v>21.5</v>
      </c>
      <c r="N90" s="157">
        <v>5.8</v>
      </c>
      <c r="O90" s="157">
        <v>2.4</v>
      </c>
      <c r="P90" s="180">
        <v>0.48</v>
      </c>
    </row>
    <row r="91" spans="1:16" ht="17.100000000000001" customHeight="1" x14ac:dyDescent="0.25">
      <c r="A91" s="158"/>
      <c r="B91" s="192" t="s">
        <v>164</v>
      </c>
      <c r="C91" s="166">
        <v>80</v>
      </c>
      <c r="D91" s="161">
        <f t="shared" si="28"/>
        <v>4.520833333333333</v>
      </c>
      <c r="E91" s="162">
        <v>4.9000000000000004</v>
      </c>
      <c r="F91" s="162">
        <v>6.57</v>
      </c>
      <c r="G91" s="162">
        <v>54.25</v>
      </c>
      <c r="H91" s="27">
        <f>E91*4+F91*9+G91*4</f>
        <v>295.73</v>
      </c>
      <c r="I91" s="162">
        <v>0.08</v>
      </c>
      <c r="J91" s="162">
        <v>6.4000000000000001E-2</v>
      </c>
      <c r="K91" s="162">
        <v>0.13</v>
      </c>
      <c r="L91" s="162">
        <v>1.2</v>
      </c>
      <c r="M91" s="162">
        <v>15.6</v>
      </c>
      <c r="N91" s="162">
        <v>49.12</v>
      </c>
      <c r="O91" s="162">
        <v>19.28</v>
      </c>
      <c r="P91" s="164">
        <v>1.1120000000000001</v>
      </c>
    </row>
    <row r="92" spans="1:16" ht="17.100000000000001" customHeight="1" x14ac:dyDescent="0.25">
      <c r="A92" s="190"/>
      <c r="B92" s="159" t="s">
        <v>144</v>
      </c>
      <c r="C92" s="156">
        <v>40</v>
      </c>
      <c r="D92" s="161">
        <f t="shared" si="28"/>
        <v>1.6716666666666666</v>
      </c>
      <c r="E92" s="193">
        <v>2.7</v>
      </c>
      <c r="F92" s="193">
        <v>0.34</v>
      </c>
      <c r="G92" s="193">
        <v>20.059999999999999</v>
      </c>
      <c r="H92" s="27">
        <f t="shared" si="27"/>
        <v>94.1</v>
      </c>
      <c r="I92" s="193">
        <v>0.04</v>
      </c>
      <c r="J92" s="193">
        <v>0</v>
      </c>
      <c r="K92" s="193">
        <v>0</v>
      </c>
      <c r="L92" s="193">
        <v>0.44</v>
      </c>
      <c r="M92" s="193">
        <v>8</v>
      </c>
      <c r="N92" s="193">
        <v>26</v>
      </c>
      <c r="O92" s="193">
        <v>5.6</v>
      </c>
      <c r="P92" s="193">
        <v>0.44</v>
      </c>
    </row>
    <row r="93" spans="1:16" ht="17.100000000000001" customHeight="1" x14ac:dyDescent="0.25">
      <c r="A93" s="158"/>
      <c r="B93" s="159" t="s">
        <v>92</v>
      </c>
      <c r="C93" s="160">
        <v>40</v>
      </c>
      <c r="D93" s="161">
        <f t="shared" si="28"/>
        <v>1.3949999999999998</v>
      </c>
      <c r="E93" s="162">
        <v>2.66</v>
      </c>
      <c r="F93" s="162">
        <v>0.48</v>
      </c>
      <c r="G93" s="162">
        <v>16.739999999999998</v>
      </c>
      <c r="H93" s="27">
        <f t="shared" si="27"/>
        <v>81.919999999999987</v>
      </c>
      <c r="I93" s="162">
        <v>0.22</v>
      </c>
      <c r="J93" s="162">
        <v>0.28000000000000003</v>
      </c>
      <c r="K93" s="162">
        <v>0</v>
      </c>
      <c r="L93" s="162">
        <v>0.22</v>
      </c>
      <c r="M93" s="162">
        <v>51.1</v>
      </c>
      <c r="N93" s="162">
        <v>87.5</v>
      </c>
      <c r="O93" s="162">
        <v>28</v>
      </c>
      <c r="P93" s="164">
        <v>1.96</v>
      </c>
    </row>
    <row r="94" spans="1:16" ht="17.100000000000001" customHeight="1" x14ac:dyDescent="0.25">
      <c r="A94" s="158"/>
      <c r="B94" s="167" t="s">
        <v>165</v>
      </c>
      <c r="C94" s="168">
        <v>200</v>
      </c>
      <c r="D94" s="161">
        <f t="shared" si="28"/>
        <v>2.5124999999999997</v>
      </c>
      <c r="E94" s="27">
        <v>0.9</v>
      </c>
      <c r="F94" s="27">
        <v>0</v>
      </c>
      <c r="G94" s="27">
        <v>30.15</v>
      </c>
      <c r="H94" s="27">
        <f t="shared" si="27"/>
        <v>124.19999999999999</v>
      </c>
      <c r="I94" s="27">
        <v>3.5000000000000003E-2</v>
      </c>
      <c r="J94" s="27">
        <v>7</v>
      </c>
      <c r="K94" s="27">
        <v>0</v>
      </c>
      <c r="L94" s="27">
        <v>0.38</v>
      </c>
      <c r="M94" s="27">
        <v>24.5</v>
      </c>
      <c r="N94" s="27">
        <v>23.5</v>
      </c>
      <c r="O94" s="27">
        <v>16</v>
      </c>
      <c r="P94" s="27">
        <v>5.5</v>
      </c>
    </row>
    <row r="95" spans="1:16" ht="17.100000000000001" customHeight="1" x14ac:dyDescent="0.25">
      <c r="A95" s="181"/>
      <c r="B95" s="182" t="s">
        <v>7</v>
      </c>
      <c r="C95" s="183">
        <f t="shared" ref="C95:P95" si="29">SUM(C88:C94)</f>
        <v>1010</v>
      </c>
      <c r="D95" s="169">
        <f t="shared" si="28"/>
        <v>14.044166666666667</v>
      </c>
      <c r="E95" s="184">
        <f t="shared" si="29"/>
        <v>35.82</v>
      </c>
      <c r="F95" s="184">
        <f t="shared" si="29"/>
        <v>24.01</v>
      </c>
      <c r="G95" s="184">
        <f t="shared" si="29"/>
        <v>168.53</v>
      </c>
      <c r="H95" s="184">
        <f t="shared" si="29"/>
        <v>1033.49</v>
      </c>
      <c r="I95" s="184">
        <f t="shared" si="29"/>
        <v>0.57500000000000007</v>
      </c>
      <c r="J95" s="184">
        <f t="shared" si="29"/>
        <v>21.603999999999999</v>
      </c>
      <c r="K95" s="184">
        <f t="shared" si="29"/>
        <v>0.24</v>
      </c>
      <c r="L95" s="184">
        <f t="shared" si="29"/>
        <v>3.94</v>
      </c>
      <c r="M95" s="184">
        <f t="shared" si="29"/>
        <v>253.01999999999998</v>
      </c>
      <c r="N95" s="184">
        <f t="shared" si="29"/>
        <v>615.79999999999995</v>
      </c>
      <c r="O95" s="184">
        <f t="shared" si="29"/>
        <v>202.79</v>
      </c>
      <c r="P95" s="184">
        <f t="shared" si="29"/>
        <v>12.922000000000001</v>
      </c>
    </row>
    <row r="96" spans="1:16" ht="17.100000000000001" customHeight="1" x14ac:dyDescent="0.25">
      <c r="A96" s="351" t="s">
        <v>220</v>
      </c>
      <c r="B96" s="352"/>
      <c r="C96" s="170"/>
      <c r="D96" s="170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</row>
    <row r="97" spans="1:16" ht="17.100000000000001" customHeight="1" x14ac:dyDescent="0.25">
      <c r="A97" s="349" t="s">
        <v>54</v>
      </c>
      <c r="B97" s="353"/>
      <c r="C97" s="353"/>
      <c r="D97" s="353"/>
      <c r="E97" s="353"/>
      <c r="F97" s="353"/>
      <c r="G97" s="353"/>
      <c r="H97" s="353"/>
      <c r="I97" s="353"/>
      <c r="J97" s="353"/>
      <c r="K97" s="353"/>
      <c r="L97" s="353"/>
      <c r="M97" s="353"/>
      <c r="N97" s="353"/>
      <c r="O97" s="353"/>
      <c r="P97" s="353"/>
    </row>
    <row r="98" spans="1:16" ht="17.100000000000001" customHeight="1" x14ac:dyDescent="0.25">
      <c r="A98" s="141"/>
      <c r="B98" s="142" t="s">
        <v>110</v>
      </c>
      <c r="C98" s="143">
        <v>60</v>
      </c>
      <c r="D98" s="144">
        <f>G98/12</f>
        <v>9.4999999999999987E-2</v>
      </c>
      <c r="E98" s="27">
        <v>0.42</v>
      </c>
      <c r="F98" s="27">
        <v>0.06</v>
      </c>
      <c r="G98" s="27">
        <v>1.1399999999999999</v>
      </c>
      <c r="H98" s="27">
        <f>G98*4+F98*9+E98*4</f>
        <v>6.7799999999999994</v>
      </c>
      <c r="I98" s="27">
        <v>0.02</v>
      </c>
      <c r="J98" s="27">
        <v>2.94</v>
      </c>
      <c r="K98" s="27">
        <v>0</v>
      </c>
      <c r="L98" s="27">
        <v>0.06</v>
      </c>
      <c r="M98" s="27">
        <v>10.199999999999999</v>
      </c>
      <c r="N98" s="27">
        <v>18</v>
      </c>
      <c r="O98" s="27">
        <v>8.4</v>
      </c>
      <c r="P98" s="27">
        <v>0.3</v>
      </c>
    </row>
    <row r="99" spans="1:16" ht="17.100000000000001" customHeight="1" x14ac:dyDescent="0.25">
      <c r="A99" s="141">
        <v>269</v>
      </c>
      <c r="B99" s="142" t="s">
        <v>113</v>
      </c>
      <c r="C99" s="143">
        <f>50*1.4</f>
        <v>70</v>
      </c>
      <c r="D99" s="144">
        <f t="shared" ref="D99:D105" si="30">G99/12</f>
        <v>0.60280373831775702</v>
      </c>
      <c r="E99" s="157">
        <v>7.1495327102803738</v>
      </c>
      <c r="F99" s="157">
        <v>9.3925233644859816</v>
      </c>
      <c r="G99" s="157">
        <v>7.2336448598130838</v>
      </c>
      <c r="H99" s="157">
        <v>142.06542056074767</v>
      </c>
      <c r="I99" s="157">
        <v>8.4112149532710276E-2</v>
      </c>
      <c r="J99" s="157">
        <v>0.12616822429906543</v>
      </c>
      <c r="K99" s="157">
        <v>0.1</v>
      </c>
      <c r="L99" s="157">
        <v>0.42056074766355139</v>
      </c>
      <c r="M99" s="157">
        <v>20.579439252336446</v>
      </c>
      <c r="N99" s="157">
        <v>87.588785046728972</v>
      </c>
      <c r="O99" s="157">
        <v>16.355140186915886</v>
      </c>
      <c r="P99" s="157">
        <v>1.1869158878504673</v>
      </c>
    </row>
    <row r="100" spans="1:16" ht="17.100000000000001" customHeight="1" x14ac:dyDescent="0.25">
      <c r="A100" s="185" t="s">
        <v>221</v>
      </c>
      <c r="B100" s="173" t="s">
        <v>45</v>
      </c>
      <c r="C100" s="174">
        <v>160</v>
      </c>
      <c r="D100" s="144">
        <f t="shared" si="30"/>
        <v>1.0916666666666666</v>
      </c>
      <c r="E100" s="145">
        <v>2.69</v>
      </c>
      <c r="F100" s="145">
        <v>5</v>
      </c>
      <c r="G100" s="145">
        <v>13.1</v>
      </c>
      <c r="H100" s="145">
        <v>216.3</v>
      </c>
      <c r="I100" s="145">
        <v>0.08</v>
      </c>
      <c r="J100" s="145">
        <v>19.059999999999999</v>
      </c>
      <c r="K100" s="145">
        <v>0.7</v>
      </c>
      <c r="L100" s="145">
        <v>0</v>
      </c>
      <c r="M100" s="145">
        <v>56.6</v>
      </c>
      <c r="N100" s="145">
        <v>68.56</v>
      </c>
      <c r="O100" s="145">
        <v>24.7</v>
      </c>
      <c r="P100" s="145">
        <v>0.91</v>
      </c>
    </row>
    <row r="101" spans="1:16" ht="17.100000000000001" customHeight="1" x14ac:dyDescent="0.25">
      <c r="A101" s="141"/>
      <c r="B101" s="142" t="s">
        <v>52</v>
      </c>
      <c r="C101" s="143">
        <v>200</v>
      </c>
      <c r="D101" s="144">
        <f t="shared" si="30"/>
        <v>0.8666666666666667</v>
      </c>
      <c r="E101" s="27">
        <v>6.3000000000000014E-2</v>
      </c>
      <c r="F101" s="27">
        <v>1.8000000000000002E-2</v>
      </c>
      <c r="G101" s="27">
        <f>10.4</f>
        <v>10.4</v>
      </c>
      <c r="H101" s="27">
        <v>35.5</v>
      </c>
      <c r="I101" s="27">
        <v>0</v>
      </c>
      <c r="J101" s="27">
        <v>2.7E-2</v>
      </c>
      <c r="K101" s="27">
        <v>0</v>
      </c>
      <c r="L101" s="27">
        <v>0</v>
      </c>
      <c r="M101" s="27">
        <v>11.1</v>
      </c>
      <c r="N101" s="27">
        <v>2.8</v>
      </c>
      <c r="O101" s="27">
        <v>1.4</v>
      </c>
      <c r="P101" s="27">
        <f>12.1-0.045</f>
        <v>12.055</v>
      </c>
    </row>
    <row r="102" spans="1:16" ht="17.100000000000001" customHeight="1" x14ac:dyDescent="0.25">
      <c r="A102" s="141"/>
      <c r="B102" s="142" t="s">
        <v>92</v>
      </c>
      <c r="C102" s="143">
        <v>25</v>
      </c>
      <c r="D102" s="144">
        <f t="shared" si="30"/>
        <v>0.87187499999999984</v>
      </c>
      <c r="E102" s="145">
        <v>1.6625000000000001</v>
      </c>
      <c r="F102" s="145">
        <v>0.3</v>
      </c>
      <c r="G102" s="145">
        <v>10.462499999999999</v>
      </c>
      <c r="H102" s="145">
        <v>51.2</v>
      </c>
      <c r="I102" s="145">
        <v>0.13124999999999998</v>
      </c>
      <c r="J102" s="145">
        <v>0.17499999999999996</v>
      </c>
      <c r="K102" s="145">
        <v>0</v>
      </c>
      <c r="L102" s="145">
        <v>0.13124999999999998</v>
      </c>
      <c r="M102" s="145">
        <v>31.937499999999996</v>
      </c>
      <c r="N102" s="145">
        <v>54.6875</v>
      </c>
      <c r="O102" s="145">
        <v>17.5</v>
      </c>
      <c r="P102" s="145">
        <v>1.2249999999999999</v>
      </c>
    </row>
    <row r="103" spans="1:16" ht="17.100000000000001" customHeight="1" x14ac:dyDescent="0.25">
      <c r="A103" s="195"/>
      <c r="B103" s="142" t="s">
        <v>6</v>
      </c>
      <c r="C103" s="143">
        <v>40</v>
      </c>
      <c r="D103" s="144">
        <f t="shared" si="30"/>
        <v>1.6716666666666666</v>
      </c>
      <c r="E103" s="145">
        <f>1.35*2</f>
        <v>2.7</v>
      </c>
      <c r="F103" s="145">
        <f>0.172*2</f>
        <v>0.34399999999999997</v>
      </c>
      <c r="G103" s="145">
        <f>10.03*2</f>
        <v>20.059999999999999</v>
      </c>
      <c r="H103" s="145">
        <f t="shared" ref="H103" si="31">G103*4+F103*9+E103*4</f>
        <v>94.135999999999996</v>
      </c>
      <c r="I103" s="145">
        <v>2.4E-2</v>
      </c>
      <c r="J103" s="145">
        <v>0</v>
      </c>
      <c r="K103" s="145">
        <v>0</v>
      </c>
      <c r="L103" s="145">
        <v>0.42</v>
      </c>
      <c r="M103" s="145">
        <v>8</v>
      </c>
      <c r="N103" s="145">
        <v>26</v>
      </c>
      <c r="O103" s="145">
        <v>5.6</v>
      </c>
      <c r="P103" s="145">
        <v>0.4</v>
      </c>
    </row>
    <row r="104" spans="1:16" ht="17.100000000000001" customHeight="1" x14ac:dyDescent="0.25">
      <c r="A104" s="141"/>
      <c r="B104" s="142" t="s">
        <v>115</v>
      </c>
      <c r="C104" s="143">
        <v>200</v>
      </c>
      <c r="D104" s="144">
        <f t="shared" si="30"/>
        <v>1.6858684738955825</v>
      </c>
      <c r="E104" s="145">
        <v>1.0015060240963856</v>
      </c>
      <c r="F104" s="145">
        <v>0</v>
      </c>
      <c r="G104" s="145">
        <v>20.23042168674699</v>
      </c>
      <c r="H104" s="145">
        <v>84.927710843373504</v>
      </c>
      <c r="I104" s="145">
        <v>2.0030120481927715E-2</v>
      </c>
      <c r="J104" s="145">
        <v>4.0060240963855422</v>
      </c>
      <c r="K104" s="145">
        <v>0</v>
      </c>
      <c r="L104" s="145">
        <v>0.20030120481927713</v>
      </c>
      <c r="M104" s="145">
        <v>14.021084337349398</v>
      </c>
      <c r="N104" s="145">
        <v>14.021084337349398</v>
      </c>
      <c r="O104" s="145">
        <v>8.0120481927710845</v>
      </c>
      <c r="P104" s="145">
        <v>2.8042168674698797</v>
      </c>
    </row>
    <row r="105" spans="1:16" ht="17.100000000000001" customHeight="1" x14ac:dyDescent="0.25">
      <c r="A105" s="149"/>
      <c r="B105" s="150" t="s">
        <v>76</v>
      </c>
      <c r="C105" s="151">
        <f>SUM(C98:C104)</f>
        <v>755</v>
      </c>
      <c r="D105" s="152">
        <f t="shared" si="30"/>
        <v>6.8855472122133392</v>
      </c>
      <c r="E105" s="153">
        <f t="shared" ref="E105:P105" si="32">SUM(E98:E104)</f>
        <v>15.686538734376761</v>
      </c>
      <c r="F105" s="153">
        <f t="shared" si="32"/>
        <v>15.114523364485983</v>
      </c>
      <c r="G105" s="153">
        <f t="shared" si="32"/>
        <v>82.62656654656007</v>
      </c>
      <c r="H105" s="153">
        <f t="shared" si="32"/>
        <v>630.90913140412113</v>
      </c>
      <c r="I105" s="153">
        <f t="shared" si="32"/>
        <v>0.35939227001463797</v>
      </c>
      <c r="J105" s="153">
        <f t="shared" si="32"/>
        <v>26.334192320684608</v>
      </c>
      <c r="K105" s="153">
        <f t="shared" si="32"/>
        <v>0.79999999999999993</v>
      </c>
      <c r="L105" s="153">
        <f t="shared" si="32"/>
        <v>1.2321119524828286</v>
      </c>
      <c r="M105" s="153">
        <f t="shared" si="32"/>
        <v>152.43802358968586</v>
      </c>
      <c r="N105" s="153">
        <f t="shared" si="32"/>
        <v>271.65736938407838</v>
      </c>
      <c r="O105" s="153">
        <f t="shared" si="32"/>
        <v>81.967188379686974</v>
      </c>
      <c r="P105" s="153">
        <f t="shared" si="32"/>
        <v>18.881132755320344</v>
      </c>
    </row>
    <row r="106" spans="1:16" ht="17.100000000000001" customHeight="1" x14ac:dyDescent="0.25">
      <c r="A106" s="349" t="s">
        <v>8</v>
      </c>
      <c r="B106" s="353"/>
      <c r="C106" s="353"/>
      <c r="D106" s="353"/>
      <c r="E106" s="353"/>
      <c r="F106" s="353"/>
      <c r="G106" s="353"/>
      <c r="H106" s="353"/>
      <c r="I106" s="353"/>
      <c r="J106" s="353"/>
      <c r="K106" s="353"/>
      <c r="L106" s="353"/>
      <c r="M106" s="353"/>
      <c r="N106" s="353"/>
      <c r="O106" s="353"/>
      <c r="P106" s="353"/>
    </row>
    <row r="107" spans="1:16" ht="17.100000000000001" customHeight="1" x14ac:dyDescent="0.25">
      <c r="A107" s="190" t="s">
        <v>167</v>
      </c>
      <c r="B107" s="187" t="s">
        <v>168</v>
      </c>
      <c r="C107" s="188">
        <v>250</v>
      </c>
      <c r="D107" s="189">
        <f>G107/12</f>
        <v>0.76250000000000007</v>
      </c>
      <c r="E107" s="162">
        <v>1.59</v>
      </c>
      <c r="F107" s="162">
        <v>4.99</v>
      </c>
      <c r="G107" s="162">
        <v>9.15</v>
      </c>
      <c r="H107" s="162">
        <f>E107*4+F107*9+G107*4</f>
        <v>87.87</v>
      </c>
      <c r="I107" s="162">
        <v>7.0000000000000007E-2</v>
      </c>
      <c r="J107" s="162">
        <v>10.38</v>
      </c>
      <c r="K107" s="162">
        <v>0</v>
      </c>
      <c r="L107" s="162">
        <v>0.3</v>
      </c>
      <c r="M107" s="162">
        <v>34.85</v>
      </c>
      <c r="N107" s="162">
        <v>49.28</v>
      </c>
      <c r="O107" s="162">
        <v>20.75</v>
      </c>
      <c r="P107" s="164">
        <v>0.78</v>
      </c>
    </row>
    <row r="108" spans="1:16" ht="17.100000000000001" customHeight="1" x14ac:dyDescent="0.25">
      <c r="A108" s="199">
        <v>211</v>
      </c>
      <c r="B108" s="155" t="s">
        <v>169</v>
      </c>
      <c r="C108" s="156">
        <v>140</v>
      </c>
      <c r="D108" s="189">
        <f t="shared" ref="D108:D114" si="33">G108/12</f>
        <v>0.22666666666666668</v>
      </c>
      <c r="E108" s="157">
        <v>19.12</v>
      </c>
      <c r="F108" s="157">
        <v>25.38</v>
      </c>
      <c r="G108" s="157">
        <v>2.72</v>
      </c>
      <c r="H108" s="162">
        <f t="shared" ref="H108:H113" si="34">E108*4+F108*9+G108*4</f>
        <v>315.77999999999997</v>
      </c>
      <c r="I108" s="157">
        <v>0.106</v>
      </c>
      <c r="J108" s="157">
        <v>0.34</v>
      </c>
      <c r="K108" s="157">
        <v>3.8719999999999999</v>
      </c>
      <c r="L108" s="162">
        <f>1.2*1.4</f>
        <v>1.68</v>
      </c>
      <c r="M108" s="157">
        <v>278.93</v>
      </c>
      <c r="N108" s="157">
        <v>333.06</v>
      </c>
      <c r="O108" s="157">
        <v>23.28</v>
      </c>
      <c r="P108" s="180">
        <v>2.93</v>
      </c>
    </row>
    <row r="109" spans="1:16" ht="17.100000000000001" customHeight="1" x14ac:dyDescent="0.25">
      <c r="A109" s="190"/>
      <c r="B109" s="155" t="s">
        <v>170</v>
      </c>
      <c r="C109" s="156">
        <v>60</v>
      </c>
      <c r="D109" s="189">
        <f t="shared" si="33"/>
        <v>0.28916666666666668</v>
      </c>
      <c r="E109" s="162">
        <v>1.73</v>
      </c>
      <c r="F109" s="162">
        <v>1.63</v>
      </c>
      <c r="G109" s="162">
        <v>3.47</v>
      </c>
      <c r="H109" s="162">
        <f t="shared" si="34"/>
        <v>35.47</v>
      </c>
      <c r="I109" s="162">
        <v>3.4000000000000002E-2</v>
      </c>
      <c r="J109" s="162">
        <v>5.82</v>
      </c>
      <c r="K109" s="162">
        <v>0.08</v>
      </c>
      <c r="L109" s="162">
        <v>0</v>
      </c>
      <c r="M109" s="162">
        <v>14.35</v>
      </c>
      <c r="N109" s="162">
        <v>36.700000000000003</v>
      </c>
      <c r="O109" s="162">
        <v>12.1</v>
      </c>
      <c r="P109" s="164">
        <v>0.42</v>
      </c>
    </row>
    <row r="110" spans="1:16" ht="17.100000000000001" customHeight="1" x14ac:dyDescent="0.25">
      <c r="A110" s="158"/>
      <c r="B110" s="159" t="s">
        <v>171</v>
      </c>
      <c r="C110" s="160">
        <v>180</v>
      </c>
      <c r="D110" s="189">
        <f t="shared" si="33"/>
        <v>0.59791666666666665</v>
      </c>
      <c r="E110" s="161">
        <v>4.37</v>
      </c>
      <c r="F110" s="161">
        <f>2.7*1.8</f>
        <v>4.8600000000000003</v>
      </c>
      <c r="G110" s="161">
        <v>7.1749999999999998</v>
      </c>
      <c r="H110" s="161">
        <f>E110*4+F110*9+G110*4</f>
        <v>89.92</v>
      </c>
      <c r="I110" s="161">
        <v>3.5000000000000003E-2</v>
      </c>
      <c r="J110" s="161">
        <v>0.52</v>
      </c>
      <c r="K110" s="161">
        <v>0.35</v>
      </c>
      <c r="L110" s="161">
        <v>0</v>
      </c>
      <c r="M110" s="161">
        <v>217</v>
      </c>
      <c r="N110" s="161">
        <v>57.96</v>
      </c>
      <c r="O110" s="161">
        <v>24.5</v>
      </c>
      <c r="P110" s="161">
        <v>0.17499999999999999</v>
      </c>
    </row>
    <row r="111" spans="1:16" ht="17.100000000000001" customHeight="1" x14ac:dyDescent="0.25">
      <c r="A111" s="200"/>
      <c r="B111" s="159" t="s">
        <v>144</v>
      </c>
      <c r="C111" s="160">
        <v>40</v>
      </c>
      <c r="D111" s="189">
        <f t="shared" si="33"/>
        <v>1.6716666666666666</v>
      </c>
      <c r="E111" s="193">
        <v>2.7</v>
      </c>
      <c r="F111" s="193">
        <v>0.34</v>
      </c>
      <c r="G111" s="193">
        <v>20.059999999999999</v>
      </c>
      <c r="H111" s="162">
        <f>E111*4+F111*9+G111*4</f>
        <v>94.1</v>
      </c>
      <c r="I111" s="193">
        <v>0.04</v>
      </c>
      <c r="J111" s="193">
        <v>0</v>
      </c>
      <c r="K111" s="193">
        <v>0</v>
      </c>
      <c r="L111" s="193">
        <v>0.44</v>
      </c>
      <c r="M111" s="193">
        <v>8</v>
      </c>
      <c r="N111" s="193">
        <v>26</v>
      </c>
      <c r="O111" s="193">
        <v>5.6</v>
      </c>
      <c r="P111" s="193">
        <v>0.44</v>
      </c>
    </row>
    <row r="112" spans="1:16" ht="17.100000000000001" customHeight="1" x14ac:dyDescent="0.25">
      <c r="A112" s="158"/>
      <c r="B112" s="159" t="s">
        <v>92</v>
      </c>
      <c r="C112" s="160">
        <v>20</v>
      </c>
      <c r="D112" s="189">
        <f t="shared" si="33"/>
        <v>0.6974999999999999</v>
      </c>
      <c r="E112" s="162">
        <v>1.33</v>
      </c>
      <c r="F112" s="162">
        <v>0.24</v>
      </c>
      <c r="G112" s="162">
        <v>8.3699999999999992</v>
      </c>
      <c r="H112" s="162">
        <f>E112*4+F112*9+G112*4</f>
        <v>40.959999999999994</v>
      </c>
      <c r="I112" s="162">
        <v>0.11</v>
      </c>
      <c r="J112" s="162">
        <v>0.14000000000000001</v>
      </c>
      <c r="K112" s="162">
        <v>0</v>
      </c>
      <c r="L112" s="162">
        <v>0.11</v>
      </c>
      <c r="M112" s="162">
        <v>25.55</v>
      </c>
      <c r="N112" s="162">
        <v>43.75</v>
      </c>
      <c r="O112" s="162">
        <v>14</v>
      </c>
      <c r="P112" s="164">
        <v>0.98</v>
      </c>
    </row>
    <row r="113" spans="1:16" ht="17.100000000000001" customHeight="1" x14ac:dyDescent="0.25">
      <c r="A113" s="190"/>
      <c r="B113" s="155" t="s">
        <v>100</v>
      </c>
      <c r="C113" s="156">
        <v>200</v>
      </c>
      <c r="D113" s="189">
        <f t="shared" si="33"/>
        <v>1.6833333333333336</v>
      </c>
      <c r="E113" s="27">
        <v>1</v>
      </c>
      <c r="F113" s="27">
        <v>0</v>
      </c>
      <c r="G113" s="27">
        <v>20.200000000000003</v>
      </c>
      <c r="H113" s="162">
        <f t="shared" si="34"/>
        <v>84.800000000000011</v>
      </c>
      <c r="I113" s="27">
        <v>2.2000000000000002E-2</v>
      </c>
      <c r="J113" s="27">
        <v>4</v>
      </c>
      <c r="K113" s="27">
        <v>0</v>
      </c>
      <c r="L113" s="27">
        <v>0.2</v>
      </c>
      <c r="M113" s="27">
        <v>14</v>
      </c>
      <c r="N113" s="27">
        <v>14</v>
      </c>
      <c r="O113" s="27">
        <v>8</v>
      </c>
      <c r="P113" s="27">
        <v>2.8000000000000003</v>
      </c>
    </row>
    <row r="114" spans="1:16" ht="17.100000000000001" customHeight="1" x14ac:dyDescent="0.25">
      <c r="A114" s="181"/>
      <c r="B114" s="182" t="s">
        <v>7</v>
      </c>
      <c r="C114" s="183">
        <f t="shared" ref="C114:P114" si="35">SUM(C107:C113)</f>
        <v>890</v>
      </c>
      <c r="D114" s="194">
        <f t="shared" si="33"/>
        <v>5.9287500000000009</v>
      </c>
      <c r="E114" s="184">
        <f t="shared" si="35"/>
        <v>31.840000000000003</v>
      </c>
      <c r="F114" s="184">
        <f t="shared" si="35"/>
        <v>37.440000000000005</v>
      </c>
      <c r="G114" s="184">
        <f t="shared" si="35"/>
        <v>71.14500000000001</v>
      </c>
      <c r="H114" s="184">
        <f t="shared" si="35"/>
        <v>748.90000000000009</v>
      </c>
      <c r="I114" s="184">
        <f t="shared" si="35"/>
        <v>0.41699999999999998</v>
      </c>
      <c r="J114" s="184">
        <f t="shared" si="35"/>
        <v>21.2</v>
      </c>
      <c r="K114" s="184">
        <f t="shared" si="35"/>
        <v>4.3019999999999996</v>
      </c>
      <c r="L114" s="184">
        <f t="shared" si="35"/>
        <v>2.73</v>
      </c>
      <c r="M114" s="184">
        <f t="shared" si="35"/>
        <v>592.68000000000006</v>
      </c>
      <c r="N114" s="184">
        <f t="shared" si="35"/>
        <v>560.75</v>
      </c>
      <c r="O114" s="184">
        <f t="shared" si="35"/>
        <v>108.22999999999999</v>
      </c>
      <c r="P114" s="184">
        <f t="shared" si="35"/>
        <v>8.5250000000000004</v>
      </c>
    </row>
    <row r="115" spans="1:16" ht="17.100000000000001" customHeight="1" x14ac:dyDescent="0.25">
      <c r="A115" s="351" t="s">
        <v>222</v>
      </c>
      <c r="B115" s="352"/>
      <c r="C115" s="170"/>
      <c r="D115" s="170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</row>
    <row r="116" spans="1:16" ht="17.100000000000001" customHeight="1" x14ac:dyDescent="0.25">
      <c r="A116" s="349" t="s">
        <v>54</v>
      </c>
      <c r="B116" s="353"/>
      <c r="C116" s="353"/>
      <c r="D116" s="353"/>
      <c r="E116" s="353"/>
      <c r="F116" s="353"/>
      <c r="G116" s="353"/>
      <c r="H116" s="353"/>
      <c r="I116" s="353"/>
      <c r="J116" s="353"/>
      <c r="K116" s="353"/>
      <c r="L116" s="353"/>
      <c r="M116" s="353"/>
      <c r="N116" s="353"/>
      <c r="O116" s="353"/>
      <c r="P116" s="353"/>
    </row>
    <row r="117" spans="1:16" ht="17.100000000000001" customHeight="1" x14ac:dyDescent="0.25">
      <c r="A117" s="141"/>
      <c r="B117" s="142" t="s">
        <v>106</v>
      </c>
      <c r="C117" s="143">
        <v>70</v>
      </c>
      <c r="D117" s="144">
        <f>G117/12</f>
        <v>0.11019999999999998</v>
      </c>
      <c r="E117" s="145">
        <v>0.48719999999999997</v>
      </c>
      <c r="F117" s="145">
        <v>6.9599999999999995E-2</v>
      </c>
      <c r="G117" s="145">
        <v>1.3223999999999998</v>
      </c>
      <c r="H117" s="145">
        <f>G117*4+F117*9+E117*4</f>
        <v>7.8647999999999989</v>
      </c>
      <c r="I117" s="145">
        <v>2.3199999999999998E-2</v>
      </c>
      <c r="J117" s="145">
        <v>3.4103999999999997</v>
      </c>
      <c r="K117" s="145">
        <v>0</v>
      </c>
      <c r="L117" s="145">
        <v>6.9599999999999995E-2</v>
      </c>
      <c r="M117" s="145">
        <v>11.831999999999999</v>
      </c>
      <c r="N117" s="145">
        <v>20.88</v>
      </c>
      <c r="O117" s="145">
        <v>9.7439999999999998</v>
      </c>
      <c r="P117" s="145">
        <v>0.34799999999999998</v>
      </c>
    </row>
    <row r="118" spans="1:16" ht="17.100000000000001" customHeight="1" x14ac:dyDescent="0.25">
      <c r="A118" s="141">
        <v>235</v>
      </c>
      <c r="B118" s="142" t="s">
        <v>116</v>
      </c>
      <c r="C118" s="143">
        <v>75</v>
      </c>
      <c r="D118" s="144">
        <f t="shared" ref="D118:D124" si="36">G118/12</f>
        <v>0.48333333333333334</v>
      </c>
      <c r="E118" s="27">
        <v>7.66</v>
      </c>
      <c r="F118" s="27">
        <v>5.3</v>
      </c>
      <c r="G118" s="27">
        <v>5.8</v>
      </c>
      <c r="H118" s="145">
        <f t="shared" ref="H118:H123" si="37">G118*4+F118*9+E118*4</f>
        <v>101.53999999999999</v>
      </c>
      <c r="I118" s="27">
        <f>0.036*0.875</f>
        <v>3.15E-2</v>
      </c>
      <c r="J118" s="27">
        <v>2.2599999999999998</v>
      </c>
      <c r="K118" s="27">
        <v>0.17</v>
      </c>
      <c r="L118" s="27">
        <v>3.11</v>
      </c>
      <c r="M118" s="27">
        <v>43.8</v>
      </c>
      <c r="N118" s="27">
        <v>115.9</v>
      </c>
      <c r="O118" s="27">
        <v>17.149999999999999</v>
      </c>
      <c r="P118" s="27">
        <v>1.48</v>
      </c>
    </row>
    <row r="119" spans="1:16" ht="17.100000000000001" customHeight="1" x14ac:dyDescent="0.25">
      <c r="A119" s="141">
        <v>310</v>
      </c>
      <c r="B119" s="142" t="s">
        <v>117</v>
      </c>
      <c r="C119" s="143">
        <v>170</v>
      </c>
      <c r="D119" s="144">
        <f t="shared" si="36"/>
        <v>2.1667749999999999</v>
      </c>
      <c r="E119" s="145">
        <v>3.3205</v>
      </c>
      <c r="F119" s="145">
        <v>4.8815999999999997</v>
      </c>
      <c r="G119" s="145">
        <v>26.001300000000001</v>
      </c>
      <c r="H119" s="145">
        <f t="shared" si="37"/>
        <v>161.2216</v>
      </c>
      <c r="I119" s="145">
        <v>0.16949999999999998</v>
      </c>
      <c r="J119" s="145">
        <v>23.729999999999997</v>
      </c>
      <c r="K119" s="145">
        <v>0</v>
      </c>
      <c r="L119" s="145">
        <v>0.22599999999999998</v>
      </c>
      <c r="M119" s="145">
        <v>62.036999999999992</v>
      </c>
      <c r="N119" s="145">
        <v>90.060999999999993</v>
      </c>
      <c r="O119" s="145">
        <v>33.108999999999995</v>
      </c>
      <c r="P119" s="145">
        <v>1.2994999999999999</v>
      </c>
    </row>
    <row r="120" spans="1:16" ht="17.100000000000001" customHeight="1" x14ac:dyDescent="0.25">
      <c r="A120" s="141" t="s">
        <v>212</v>
      </c>
      <c r="B120" s="142" t="s">
        <v>119</v>
      </c>
      <c r="C120" s="143">
        <v>200</v>
      </c>
      <c r="D120" s="144">
        <f t="shared" si="36"/>
        <v>0.85</v>
      </c>
      <c r="E120" s="145">
        <v>1.04</v>
      </c>
      <c r="F120" s="145">
        <v>0.6</v>
      </c>
      <c r="G120" s="145">
        <v>10.199999999999999</v>
      </c>
      <c r="H120" s="145">
        <f t="shared" si="37"/>
        <v>50.36</v>
      </c>
      <c r="I120" s="145">
        <v>0.2</v>
      </c>
      <c r="J120" s="145">
        <v>8</v>
      </c>
      <c r="K120" s="145">
        <v>1E-3</v>
      </c>
      <c r="L120" s="145">
        <v>11</v>
      </c>
      <c r="M120" s="145">
        <v>32</v>
      </c>
      <c r="N120" s="145">
        <v>29</v>
      </c>
      <c r="O120" s="145">
        <v>21</v>
      </c>
      <c r="P120" s="145">
        <v>6.4</v>
      </c>
    </row>
    <row r="121" spans="1:16" ht="17.100000000000001" customHeight="1" x14ac:dyDescent="0.25">
      <c r="A121" s="195"/>
      <c r="B121" s="142" t="s">
        <v>6</v>
      </c>
      <c r="C121" s="143">
        <v>40</v>
      </c>
      <c r="D121" s="144">
        <f t="shared" si="36"/>
        <v>1.6716666666666666</v>
      </c>
      <c r="E121" s="145">
        <f>1.35*2</f>
        <v>2.7</v>
      </c>
      <c r="F121" s="145">
        <f>0.172*2</f>
        <v>0.34399999999999997</v>
      </c>
      <c r="G121" s="145">
        <f>10.03*2</f>
        <v>20.059999999999999</v>
      </c>
      <c r="H121" s="145">
        <f t="shared" si="37"/>
        <v>94.135999999999996</v>
      </c>
      <c r="I121" s="145">
        <v>2.4E-2</v>
      </c>
      <c r="J121" s="145">
        <v>0</v>
      </c>
      <c r="K121" s="145">
        <v>0</v>
      </c>
      <c r="L121" s="145">
        <v>0.42</v>
      </c>
      <c r="M121" s="145">
        <v>8</v>
      </c>
      <c r="N121" s="145">
        <v>26</v>
      </c>
      <c r="O121" s="145">
        <v>5.6</v>
      </c>
      <c r="P121" s="145">
        <v>0.4</v>
      </c>
    </row>
    <row r="122" spans="1:16" ht="17.100000000000001" customHeight="1" x14ac:dyDescent="0.25">
      <c r="A122" s="141"/>
      <c r="B122" s="142" t="s">
        <v>92</v>
      </c>
      <c r="C122" s="143">
        <v>25</v>
      </c>
      <c r="D122" s="144">
        <f t="shared" si="36"/>
        <v>0.87187499999999984</v>
      </c>
      <c r="E122" s="145">
        <v>1.6625000000000001</v>
      </c>
      <c r="F122" s="145">
        <v>0.3</v>
      </c>
      <c r="G122" s="145">
        <v>10.462499999999999</v>
      </c>
      <c r="H122" s="145">
        <f t="shared" si="37"/>
        <v>51.199999999999996</v>
      </c>
      <c r="I122" s="145">
        <v>0.13124999999999998</v>
      </c>
      <c r="J122" s="145">
        <v>0.17499999999999996</v>
      </c>
      <c r="K122" s="145">
        <v>0</v>
      </c>
      <c r="L122" s="145">
        <v>0.13124999999999998</v>
      </c>
      <c r="M122" s="145">
        <v>31.937499999999996</v>
      </c>
      <c r="N122" s="145">
        <v>54.6875</v>
      </c>
      <c r="O122" s="145">
        <v>17.5</v>
      </c>
      <c r="P122" s="145">
        <v>1.2249999999999999</v>
      </c>
    </row>
    <row r="123" spans="1:16" ht="17.100000000000001" customHeight="1" x14ac:dyDescent="0.25">
      <c r="A123" s="141"/>
      <c r="B123" s="142" t="s">
        <v>121</v>
      </c>
      <c r="C123" s="143">
        <v>150</v>
      </c>
      <c r="D123" s="144">
        <f t="shared" si="36"/>
        <v>1.267570281124498</v>
      </c>
      <c r="E123" s="145">
        <v>0.75301204819277112</v>
      </c>
      <c r="F123" s="145">
        <v>0</v>
      </c>
      <c r="G123" s="145">
        <v>15.210843373493976</v>
      </c>
      <c r="H123" s="145">
        <f t="shared" si="37"/>
        <v>63.855421686746986</v>
      </c>
      <c r="I123" s="145">
        <v>1.5060240963855423E-2</v>
      </c>
      <c r="J123" s="145">
        <v>3.0120481927710845</v>
      </c>
      <c r="K123" s="145">
        <v>0</v>
      </c>
      <c r="L123" s="145">
        <v>0.15060240963855423</v>
      </c>
      <c r="M123" s="145">
        <v>10.542168674698795</v>
      </c>
      <c r="N123" s="145">
        <v>10.542168674698795</v>
      </c>
      <c r="O123" s="145">
        <v>6.024096385542169</v>
      </c>
      <c r="P123" s="145">
        <v>2.1084337349397591</v>
      </c>
    </row>
    <row r="124" spans="1:16" ht="17.100000000000001" customHeight="1" x14ac:dyDescent="0.25">
      <c r="A124" s="149"/>
      <c r="B124" s="150" t="s">
        <v>76</v>
      </c>
      <c r="C124" s="151">
        <f>SUM(C117:C123)</f>
        <v>730</v>
      </c>
      <c r="D124" s="152">
        <f t="shared" si="36"/>
        <v>7.4214202811244983</v>
      </c>
      <c r="E124" s="153">
        <f t="shared" ref="E124:P124" si="38">SUM(E117:E123)</f>
        <v>17.623212048192773</v>
      </c>
      <c r="F124" s="153">
        <f t="shared" si="38"/>
        <v>11.495200000000001</v>
      </c>
      <c r="G124" s="153">
        <f t="shared" si="38"/>
        <v>89.057043373493983</v>
      </c>
      <c r="H124" s="153">
        <f t="shared" si="38"/>
        <v>530.17782168674694</v>
      </c>
      <c r="I124" s="153">
        <f t="shared" si="38"/>
        <v>0.59451024096385541</v>
      </c>
      <c r="J124" s="153">
        <f t="shared" si="38"/>
        <v>40.587448192771078</v>
      </c>
      <c r="K124" s="153">
        <f t="shared" si="38"/>
        <v>0.17100000000000001</v>
      </c>
      <c r="L124" s="153">
        <f t="shared" si="38"/>
        <v>15.107452409638553</v>
      </c>
      <c r="M124" s="153">
        <f t="shared" si="38"/>
        <v>200.14866867469877</v>
      </c>
      <c r="N124" s="153">
        <f t="shared" si="38"/>
        <v>347.07066867469882</v>
      </c>
      <c r="O124" s="153">
        <f t="shared" si="38"/>
        <v>110.12709638554215</v>
      </c>
      <c r="P124" s="153">
        <f t="shared" si="38"/>
        <v>13.260933734939758</v>
      </c>
    </row>
    <row r="125" spans="1:16" ht="17.100000000000001" customHeight="1" x14ac:dyDescent="0.25">
      <c r="A125" s="349" t="s">
        <v>8</v>
      </c>
      <c r="B125" s="353"/>
      <c r="C125" s="353"/>
      <c r="D125" s="353"/>
      <c r="E125" s="353"/>
      <c r="F125" s="353"/>
      <c r="G125" s="353"/>
      <c r="H125" s="353"/>
      <c r="I125" s="353"/>
      <c r="J125" s="353"/>
      <c r="K125" s="353"/>
      <c r="L125" s="353"/>
      <c r="M125" s="353"/>
      <c r="N125" s="353"/>
      <c r="O125" s="353"/>
      <c r="P125" s="353"/>
    </row>
    <row r="126" spans="1:16" ht="17.100000000000001" customHeight="1" x14ac:dyDescent="0.25">
      <c r="A126" s="200">
        <v>81</v>
      </c>
      <c r="B126" s="159" t="s">
        <v>173</v>
      </c>
      <c r="C126" s="160">
        <v>250</v>
      </c>
      <c r="D126" s="27">
        <f>G126/12</f>
        <v>0.71333333333333337</v>
      </c>
      <c r="E126" s="157">
        <v>1.6</v>
      </c>
      <c r="F126" s="157">
        <v>4.8600000000000003</v>
      </c>
      <c r="G126" s="157">
        <v>8.56</v>
      </c>
      <c r="H126" s="157">
        <f>E126*4+F126*9+G126*4</f>
        <v>84.38</v>
      </c>
      <c r="I126" s="157">
        <v>0.03</v>
      </c>
      <c r="J126" s="157">
        <v>10.93</v>
      </c>
      <c r="K126" s="157">
        <v>0</v>
      </c>
      <c r="L126" s="157">
        <v>0.5</v>
      </c>
      <c r="M126" s="157">
        <v>52.53</v>
      </c>
      <c r="N126" s="157">
        <v>46.1</v>
      </c>
      <c r="O126" s="157">
        <v>23.13</v>
      </c>
      <c r="P126" s="180">
        <v>1.1000000000000001</v>
      </c>
    </row>
    <row r="127" spans="1:16" ht="17.100000000000001" customHeight="1" x14ac:dyDescent="0.25">
      <c r="A127" s="158" t="s">
        <v>174</v>
      </c>
      <c r="B127" s="192" t="s">
        <v>175</v>
      </c>
      <c r="C127" s="166">
        <v>80</v>
      </c>
      <c r="D127" s="27">
        <f t="shared" ref="D127:D133" si="39">G127/12</f>
        <v>0.25583333333333336</v>
      </c>
      <c r="E127" s="157">
        <f>5.29+0.57</f>
        <v>5.86</v>
      </c>
      <c r="F127" s="157">
        <f>14.8+1.51</f>
        <v>16.310000000000002</v>
      </c>
      <c r="G127" s="157">
        <f>1.28+1.79</f>
        <v>3.0700000000000003</v>
      </c>
      <c r="H127" s="157">
        <f t="shared" ref="H127:H132" si="40">E127*4+F127*9+G127*4</f>
        <v>182.51000000000002</v>
      </c>
      <c r="I127" s="157">
        <v>0.14000000000000001</v>
      </c>
      <c r="J127" s="157">
        <v>0.09</v>
      </c>
      <c r="K127" s="157">
        <v>0</v>
      </c>
      <c r="L127" s="157">
        <v>0.3</v>
      </c>
      <c r="M127" s="157">
        <v>9.5399999999999991</v>
      </c>
      <c r="N127" s="157">
        <v>63.38</v>
      </c>
      <c r="O127" s="157">
        <v>11.3</v>
      </c>
      <c r="P127" s="180">
        <v>0.745</v>
      </c>
    </row>
    <row r="128" spans="1:16" ht="17.100000000000001" customHeight="1" x14ac:dyDescent="0.25">
      <c r="A128" s="158"/>
      <c r="B128" s="159" t="s">
        <v>223</v>
      </c>
      <c r="C128" s="160">
        <v>155</v>
      </c>
      <c r="D128" s="27">
        <f t="shared" si="39"/>
        <v>2.5749999999999997</v>
      </c>
      <c r="E128" s="157">
        <v>2.98</v>
      </c>
      <c r="F128" s="157">
        <v>6.12</v>
      </c>
      <c r="G128" s="157">
        <v>30.9</v>
      </c>
      <c r="H128" s="157">
        <f t="shared" si="40"/>
        <v>190.6</v>
      </c>
      <c r="I128" s="157">
        <v>2.5999999999999999E-2</v>
      </c>
      <c r="J128" s="157">
        <v>0</v>
      </c>
      <c r="K128" s="157">
        <v>0.31</v>
      </c>
      <c r="L128" s="157">
        <v>0.46</v>
      </c>
      <c r="M128" s="157">
        <v>13.42</v>
      </c>
      <c r="N128" s="157">
        <v>64.900000000000006</v>
      </c>
      <c r="O128" s="157">
        <v>21.97</v>
      </c>
      <c r="P128" s="180">
        <v>0.46</v>
      </c>
    </row>
    <row r="129" spans="1:16" ht="17.100000000000001" customHeight="1" x14ac:dyDescent="0.25">
      <c r="A129" s="190"/>
      <c r="B129" s="155" t="s">
        <v>176</v>
      </c>
      <c r="C129" s="156">
        <v>200</v>
      </c>
      <c r="D129" s="27">
        <f t="shared" si="39"/>
        <v>1.7300000000000002</v>
      </c>
      <c r="E129" s="157">
        <v>0.68</v>
      </c>
      <c r="F129" s="157">
        <v>0.28000000000000003</v>
      </c>
      <c r="G129" s="157">
        <v>20.76</v>
      </c>
      <c r="H129" s="157">
        <f t="shared" si="40"/>
        <v>88.28</v>
      </c>
      <c r="I129" s="157">
        <v>0.01</v>
      </c>
      <c r="J129" s="157">
        <v>100</v>
      </c>
      <c r="K129" s="157">
        <v>0</v>
      </c>
      <c r="L129" s="157">
        <v>0</v>
      </c>
      <c r="M129" s="157">
        <v>21.34</v>
      </c>
      <c r="N129" s="157">
        <v>3.44</v>
      </c>
      <c r="O129" s="157">
        <v>3.44</v>
      </c>
      <c r="P129" s="180">
        <v>0.63400000000000001</v>
      </c>
    </row>
    <row r="130" spans="1:16" ht="17.100000000000001" customHeight="1" x14ac:dyDescent="0.25">
      <c r="A130" s="158"/>
      <c r="B130" s="159" t="s">
        <v>142</v>
      </c>
      <c r="C130" s="160">
        <v>200</v>
      </c>
      <c r="D130" s="27">
        <f t="shared" si="39"/>
        <v>1.3066666666666666</v>
      </c>
      <c r="E130" s="201">
        <v>0.64</v>
      </c>
      <c r="F130" s="201">
        <v>0.64</v>
      </c>
      <c r="G130" s="201">
        <v>15.68</v>
      </c>
      <c r="H130" s="27">
        <f>E130*4+F130*9+G130*4</f>
        <v>71.039999999999992</v>
      </c>
      <c r="I130" s="161">
        <v>0.05</v>
      </c>
      <c r="J130" s="161">
        <v>16</v>
      </c>
      <c r="K130" s="161">
        <v>0</v>
      </c>
      <c r="L130" s="161">
        <v>0.2</v>
      </c>
      <c r="M130" s="161">
        <v>25.6</v>
      </c>
      <c r="N130" s="161">
        <v>17.600000000000001</v>
      </c>
      <c r="O130" s="161">
        <v>14.4</v>
      </c>
      <c r="P130" s="161">
        <v>3.52</v>
      </c>
    </row>
    <row r="131" spans="1:16" ht="17.100000000000001" customHeight="1" x14ac:dyDescent="0.25">
      <c r="A131" s="165"/>
      <c r="B131" s="159" t="s">
        <v>144</v>
      </c>
      <c r="C131" s="166">
        <v>60</v>
      </c>
      <c r="D131" s="27">
        <f t="shared" si="39"/>
        <v>2.5074999999999998</v>
      </c>
      <c r="E131" s="193">
        <v>4.05</v>
      </c>
      <c r="F131" s="193">
        <v>0.51</v>
      </c>
      <c r="G131" s="193">
        <v>30.09</v>
      </c>
      <c r="H131" s="157">
        <f t="shared" si="40"/>
        <v>141.15</v>
      </c>
      <c r="I131" s="193">
        <v>0.06</v>
      </c>
      <c r="J131" s="193">
        <v>0</v>
      </c>
      <c r="K131" s="193">
        <v>0</v>
      </c>
      <c r="L131" s="193">
        <v>0.66</v>
      </c>
      <c r="M131" s="193">
        <v>12</v>
      </c>
      <c r="N131" s="193">
        <v>39</v>
      </c>
      <c r="O131" s="193">
        <v>8.4</v>
      </c>
      <c r="P131" s="193">
        <v>0.66</v>
      </c>
    </row>
    <row r="132" spans="1:16" ht="17.100000000000001" customHeight="1" x14ac:dyDescent="0.25">
      <c r="A132" s="158"/>
      <c r="B132" s="159" t="s">
        <v>92</v>
      </c>
      <c r="C132" s="160">
        <v>20</v>
      </c>
      <c r="D132" s="27">
        <f t="shared" si="39"/>
        <v>0.6974999999999999</v>
      </c>
      <c r="E132" s="162">
        <v>1.33</v>
      </c>
      <c r="F132" s="162">
        <v>0.24</v>
      </c>
      <c r="G132" s="162">
        <v>8.3699999999999992</v>
      </c>
      <c r="H132" s="157">
        <f t="shared" si="40"/>
        <v>40.959999999999994</v>
      </c>
      <c r="I132" s="162">
        <v>0.11</v>
      </c>
      <c r="J132" s="162">
        <v>0.14000000000000001</v>
      </c>
      <c r="K132" s="162">
        <v>0</v>
      </c>
      <c r="L132" s="162">
        <v>0.11</v>
      </c>
      <c r="M132" s="162">
        <v>25.55</v>
      </c>
      <c r="N132" s="162">
        <v>43.75</v>
      </c>
      <c r="O132" s="162">
        <v>14</v>
      </c>
      <c r="P132" s="164">
        <v>0.98</v>
      </c>
    </row>
    <row r="133" spans="1:16" ht="17.100000000000001" customHeight="1" x14ac:dyDescent="0.25">
      <c r="A133" s="181"/>
      <c r="B133" s="182" t="s">
        <v>7</v>
      </c>
      <c r="C133" s="183">
        <f>SUM(C126:C132)</f>
        <v>965</v>
      </c>
      <c r="D133" s="169">
        <f t="shared" si="39"/>
        <v>9.7858333333333345</v>
      </c>
      <c r="E133" s="184">
        <f>SUM(E126:E132)</f>
        <v>17.14</v>
      </c>
      <c r="F133" s="184">
        <f t="shared" ref="F133:P133" si="41">SUM(F126:F132)</f>
        <v>28.960000000000004</v>
      </c>
      <c r="G133" s="184">
        <f t="shared" si="41"/>
        <v>117.43</v>
      </c>
      <c r="H133" s="184">
        <f t="shared" si="41"/>
        <v>798.92</v>
      </c>
      <c r="I133" s="184">
        <f t="shared" si="41"/>
        <v>0.42599999999999999</v>
      </c>
      <c r="J133" s="184">
        <f t="shared" si="41"/>
        <v>127.16</v>
      </c>
      <c r="K133" s="184">
        <f t="shared" si="41"/>
        <v>0.31</v>
      </c>
      <c r="L133" s="184">
        <f t="shared" si="41"/>
        <v>2.23</v>
      </c>
      <c r="M133" s="184">
        <f t="shared" si="41"/>
        <v>159.98000000000002</v>
      </c>
      <c r="N133" s="184">
        <f t="shared" si="41"/>
        <v>278.16999999999996</v>
      </c>
      <c r="O133" s="184">
        <f t="shared" si="41"/>
        <v>96.64</v>
      </c>
      <c r="P133" s="184">
        <f t="shared" si="41"/>
        <v>8.0990000000000002</v>
      </c>
    </row>
    <row r="134" spans="1:16" ht="17.100000000000001" customHeight="1" x14ac:dyDescent="0.25">
      <c r="A134" s="351" t="s">
        <v>224</v>
      </c>
      <c r="B134" s="352"/>
      <c r="C134" s="170"/>
      <c r="D134" s="170"/>
      <c r="E134" s="171"/>
      <c r="F134" s="171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</row>
    <row r="135" spans="1:16" ht="17.100000000000001" customHeight="1" x14ac:dyDescent="0.25">
      <c r="A135" s="349" t="s">
        <v>54</v>
      </c>
      <c r="B135" s="353"/>
      <c r="C135" s="353"/>
      <c r="D135" s="353"/>
      <c r="E135" s="353"/>
      <c r="F135" s="353"/>
      <c r="G135" s="353"/>
      <c r="H135" s="353"/>
      <c r="I135" s="353"/>
      <c r="J135" s="353"/>
      <c r="K135" s="353"/>
      <c r="L135" s="353"/>
      <c r="M135" s="353"/>
      <c r="N135" s="353"/>
      <c r="O135" s="353"/>
      <c r="P135" s="353"/>
    </row>
    <row r="136" spans="1:16" ht="17.100000000000001" customHeight="1" x14ac:dyDescent="0.25">
      <c r="A136" s="141"/>
      <c r="B136" s="142" t="s">
        <v>225</v>
      </c>
      <c r="C136" s="143">
        <v>80</v>
      </c>
      <c r="D136" s="144">
        <f>G136/12</f>
        <v>0.12634999999999999</v>
      </c>
      <c r="E136" s="145">
        <v>0.55859999999999999</v>
      </c>
      <c r="F136" s="145">
        <v>7.9799999999999996E-2</v>
      </c>
      <c r="G136" s="145">
        <v>1.5162</v>
      </c>
      <c r="H136" s="145">
        <f>G136*4+F136*9+E136*4</f>
        <v>9.0173999999999985</v>
      </c>
      <c r="I136" s="145">
        <v>2.6600000000000002E-2</v>
      </c>
      <c r="J136" s="145">
        <v>3.9102000000000001</v>
      </c>
      <c r="K136" s="145">
        <v>0</v>
      </c>
      <c r="L136" s="145">
        <v>7.9799999999999996E-2</v>
      </c>
      <c r="M136" s="145">
        <v>13.565999999999999</v>
      </c>
      <c r="N136" s="145">
        <v>23.94</v>
      </c>
      <c r="O136" s="145">
        <v>11.172000000000001</v>
      </c>
      <c r="P136" s="145">
        <v>0.39900000000000002</v>
      </c>
    </row>
    <row r="137" spans="1:16" ht="17.100000000000001" customHeight="1" x14ac:dyDescent="0.25">
      <c r="A137" s="141">
        <v>278</v>
      </c>
      <c r="B137" s="142" t="s">
        <v>123</v>
      </c>
      <c r="C137" s="143">
        <v>60</v>
      </c>
      <c r="D137" s="144">
        <f t="shared" ref="D137:D144" si="42">G137/12</f>
        <v>0.46583333333333332</v>
      </c>
      <c r="E137" s="157">
        <v>4.2699999999999996</v>
      </c>
      <c r="F137" s="157">
        <v>4.7699999999999996</v>
      </c>
      <c r="G137" s="157">
        <v>5.59</v>
      </c>
      <c r="H137" s="145">
        <f t="shared" ref="H137:H143" si="43">G137*4+F137*9+E137*4</f>
        <v>82.36999999999999</v>
      </c>
      <c r="I137" s="157">
        <v>0.02</v>
      </c>
      <c r="J137" s="157">
        <v>0.39</v>
      </c>
      <c r="K137" s="157">
        <v>0.18</v>
      </c>
      <c r="L137" s="157">
        <v>0</v>
      </c>
      <c r="M137" s="157">
        <v>15.2</v>
      </c>
      <c r="N137" s="157">
        <v>48.2</v>
      </c>
      <c r="O137" s="157">
        <v>9.99</v>
      </c>
      <c r="P137" s="157">
        <v>0.47</v>
      </c>
    </row>
    <row r="138" spans="1:16" ht="17.100000000000001" customHeight="1" x14ac:dyDescent="0.25">
      <c r="A138" s="185">
        <v>330</v>
      </c>
      <c r="B138" s="142" t="s">
        <v>226</v>
      </c>
      <c r="C138" s="143">
        <v>50</v>
      </c>
      <c r="D138" s="144">
        <f t="shared" si="42"/>
        <v>0.24416666666666667</v>
      </c>
      <c r="E138" s="157">
        <v>0.7</v>
      </c>
      <c r="F138" s="157">
        <v>2.4900000000000002</v>
      </c>
      <c r="G138" s="157">
        <v>2.93</v>
      </c>
      <c r="H138" s="145">
        <f t="shared" si="43"/>
        <v>36.93</v>
      </c>
      <c r="I138" s="157">
        <v>0.01</v>
      </c>
      <c r="J138" s="157">
        <v>1.9E-2</v>
      </c>
      <c r="K138" s="157">
        <v>0.17</v>
      </c>
      <c r="L138" s="157">
        <v>0</v>
      </c>
      <c r="M138" s="157">
        <v>13.65</v>
      </c>
      <c r="N138" s="157">
        <v>11.36</v>
      </c>
      <c r="O138" s="157">
        <v>2.64</v>
      </c>
      <c r="P138" s="157">
        <v>0.1</v>
      </c>
    </row>
    <row r="139" spans="1:16" ht="17.100000000000001" customHeight="1" x14ac:dyDescent="0.25">
      <c r="A139" s="141">
        <v>302</v>
      </c>
      <c r="B139" s="142" t="s">
        <v>227</v>
      </c>
      <c r="C139" s="143">
        <v>155</v>
      </c>
      <c r="D139" s="144">
        <f t="shared" si="42"/>
        <v>3.25</v>
      </c>
      <c r="E139" s="27">
        <v>7.8</v>
      </c>
      <c r="F139" s="27">
        <v>3.6</v>
      </c>
      <c r="G139" s="27">
        <v>39</v>
      </c>
      <c r="H139" s="145">
        <f t="shared" si="43"/>
        <v>219.6</v>
      </c>
      <c r="I139" s="27">
        <v>0.18</v>
      </c>
      <c r="J139" s="27">
        <v>0</v>
      </c>
      <c r="K139" s="27">
        <v>0.35</v>
      </c>
      <c r="L139" s="27">
        <v>0.44</v>
      </c>
      <c r="M139" s="27">
        <v>23.55</v>
      </c>
      <c r="N139" s="27">
        <v>185.6</v>
      </c>
      <c r="O139" s="27">
        <v>123.9</v>
      </c>
      <c r="P139" s="27">
        <v>4.2</v>
      </c>
    </row>
    <row r="140" spans="1:16" ht="17.100000000000001" customHeight="1" x14ac:dyDescent="0.25">
      <c r="A140" s="141">
        <v>342</v>
      </c>
      <c r="B140" s="142" t="s">
        <v>90</v>
      </c>
      <c r="C140" s="143">
        <v>200</v>
      </c>
      <c r="D140" s="144">
        <f t="shared" si="42"/>
        <v>0.8666666666666667</v>
      </c>
      <c r="E140" s="145">
        <v>0.6</v>
      </c>
      <c r="F140" s="145">
        <v>0.4</v>
      </c>
      <c r="G140" s="145">
        <v>10.4</v>
      </c>
      <c r="H140" s="145">
        <f t="shared" si="43"/>
        <v>47.6</v>
      </c>
      <c r="I140" s="145">
        <v>0.02</v>
      </c>
      <c r="J140" s="145">
        <v>3.4</v>
      </c>
      <c r="K140" s="145">
        <v>0</v>
      </c>
      <c r="L140" s="145">
        <v>0.4</v>
      </c>
      <c r="M140" s="145">
        <v>21.2</v>
      </c>
      <c r="N140" s="145">
        <v>22.6</v>
      </c>
      <c r="O140" s="145">
        <v>14.6</v>
      </c>
      <c r="P140" s="145">
        <v>3.2</v>
      </c>
    </row>
    <row r="141" spans="1:16" ht="17.100000000000001" customHeight="1" x14ac:dyDescent="0.25">
      <c r="A141" s="141"/>
      <c r="B141" s="142" t="s">
        <v>92</v>
      </c>
      <c r="C141" s="143">
        <v>25</v>
      </c>
      <c r="D141" s="144">
        <f t="shared" si="42"/>
        <v>0.87187499999999984</v>
      </c>
      <c r="E141" s="145">
        <v>1.6625000000000001</v>
      </c>
      <c r="F141" s="145">
        <v>0.3</v>
      </c>
      <c r="G141" s="145">
        <v>10.462499999999999</v>
      </c>
      <c r="H141" s="145">
        <f t="shared" si="43"/>
        <v>51.199999999999996</v>
      </c>
      <c r="I141" s="145">
        <v>0.13124999999999998</v>
      </c>
      <c r="J141" s="145">
        <v>0.17499999999999996</v>
      </c>
      <c r="K141" s="145">
        <v>0</v>
      </c>
      <c r="L141" s="145">
        <v>0.13124999999999998</v>
      </c>
      <c r="M141" s="145">
        <v>31.937499999999996</v>
      </c>
      <c r="N141" s="145">
        <v>54.6875</v>
      </c>
      <c r="O141" s="145">
        <v>17.5</v>
      </c>
      <c r="P141" s="145">
        <v>1.2249999999999999</v>
      </c>
    </row>
    <row r="142" spans="1:16" ht="17.100000000000001" customHeight="1" x14ac:dyDescent="0.25">
      <c r="A142" s="195"/>
      <c r="B142" s="142" t="s">
        <v>6</v>
      </c>
      <c r="C142" s="143">
        <v>40</v>
      </c>
      <c r="D142" s="144">
        <f t="shared" si="42"/>
        <v>1.6716666666666666</v>
      </c>
      <c r="E142" s="145">
        <f>1.35*2</f>
        <v>2.7</v>
      </c>
      <c r="F142" s="145">
        <f>0.172*2</f>
        <v>0.34399999999999997</v>
      </c>
      <c r="G142" s="145">
        <f>10.03*2</f>
        <v>20.059999999999999</v>
      </c>
      <c r="H142" s="145">
        <f t="shared" si="43"/>
        <v>94.135999999999996</v>
      </c>
      <c r="I142" s="145">
        <v>2.4E-2</v>
      </c>
      <c r="J142" s="145">
        <v>0</v>
      </c>
      <c r="K142" s="145">
        <v>0</v>
      </c>
      <c r="L142" s="145">
        <v>0.42</v>
      </c>
      <c r="M142" s="145">
        <v>8</v>
      </c>
      <c r="N142" s="145">
        <v>26</v>
      </c>
      <c r="O142" s="145">
        <v>5.6</v>
      </c>
      <c r="P142" s="145">
        <v>0.4</v>
      </c>
    </row>
    <row r="143" spans="1:16" ht="17.100000000000001" customHeight="1" x14ac:dyDescent="0.25">
      <c r="A143" s="202"/>
      <c r="B143" s="203" t="s">
        <v>126</v>
      </c>
      <c r="C143" s="204">
        <v>25</v>
      </c>
      <c r="D143" s="144">
        <f t="shared" si="42"/>
        <v>1.3958333333333333</v>
      </c>
      <c r="E143" s="157">
        <f>7.5*0.25</f>
        <v>1.875</v>
      </c>
      <c r="F143" s="157">
        <f>18*0.25</f>
        <v>4.5</v>
      </c>
      <c r="G143" s="157">
        <f>67*0.25</f>
        <v>16.75</v>
      </c>
      <c r="H143" s="145">
        <f t="shared" si="43"/>
        <v>115</v>
      </c>
      <c r="I143" s="157">
        <v>0.03</v>
      </c>
      <c r="J143" s="157">
        <v>0</v>
      </c>
      <c r="K143" s="157">
        <v>0.2</v>
      </c>
      <c r="L143" s="157">
        <v>0</v>
      </c>
      <c r="M143" s="157">
        <v>7.24</v>
      </c>
      <c r="N143" s="157">
        <v>26.87</v>
      </c>
      <c r="O143" s="157">
        <v>5.5</v>
      </c>
      <c r="P143" s="157">
        <v>0.45</v>
      </c>
    </row>
    <row r="144" spans="1:16" ht="17.100000000000001" customHeight="1" x14ac:dyDescent="0.25">
      <c r="A144" s="149"/>
      <c r="B144" s="150" t="s">
        <v>76</v>
      </c>
      <c r="C144" s="151">
        <f>SUM(C136:C143)</f>
        <v>635</v>
      </c>
      <c r="D144" s="152">
        <f t="shared" si="42"/>
        <v>8.8923916666666667</v>
      </c>
      <c r="E144" s="153">
        <f t="shared" ref="E144:P144" si="44">SUM(E136:E143)</f>
        <v>20.1661</v>
      </c>
      <c r="F144" s="153">
        <f t="shared" si="44"/>
        <v>16.483800000000002</v>
      </c>
      <c r="G144" s="153">
        <f t="shared" si="44"/>
        <v>106.70869999999999</v>
      </c>
      <c r="H144" s="153">
        <f t="shared" si="44"/>
        <v>655.85339999999997</v>
      </c>
      <c r="I144" s="153">
        <f t="shared" si="44"/>
        <v>0.44184999999999997</v>
      </c>
      <c r="J144" s="153">
        <f t="shared" si="44"/>
        <v>7.8942000000000005</v>
      </c>
      <c r="K144" s="153">
        <f t="shared" si="44"/>
        <v>0.89999999999999991</v>
      </c>
      <c r="L144" s="153">
        <f t="shared" si="44"/>
        <v>1.47105</v>
      </c>
      <c r="M144" s="153">
        <f t="shared" si="44"/>
        <v>134.34350000000001</v>
      </c>
      <c r="N144" s="153">
        <f t="shared" si="44"/>
        <v>399.25750000000005</v>
      </c>
      <c r="O144" s="153">
        <f t="shared" si="44"/>
        <v>190.90199999999999</v>
      </c>
      <c r="P144" s="153">
        <f t="shared" si="44"/>
        <v>10.443999999999999</v>
      </c>
    </row>
    <row r="145" spans="1:16" ht="17.100000000000001" customHeight="1" x14ac:dyDescent="0.25">
      <c r="A145" s="349" t="s">
        <v>8</v>
      </c>
      <c r="B145" s="350"/>
      <c r="C145" s="350"/>
      <c r="D145" s="350"/>
      <c r="E145" s="350"/>
      <c r="F145" s="350"/>
      <c r="G145" s="350"/>
      <c r="H145" s="350"/>
      <c r="I145" s="350"/>
      <c r="J145" s="350"/>
      <c r="K145" s="350"/>
      <c r="L145" s="350"/>
      <c r="M145" s="350"/>
      <c r="N145" s="350"/>
      <c r="O145" s="350"/>
      <c r="P145" s="350"/>
    </row>
    <row r="146" spans="1:16" ht="17.100000000000001" customHeight="1" x14ac:dyDescent="0.25">
      <c r="A146" s="178"/>
      <c r="B146" s="159" t="s">
        <v>179</v>
      </c>
      <c r="C146" s="160">
        <v>60</v>
      </c>
      <c r="D146" s="27">
        <f>G146/12</f>
        <v>9.4999999999999987E-2</v>
      </c>
      <c r="E146" s="27">
        <v>0.42</v>
      </c>
      <c r="F146" s="27">
        <v>0.06</v>
      </c>
      <c r="G146" s="27">
        <v>1.1399999999999999</v>
      </c>
      <c r="H146" s="27">
        <f>E146*4+F146*9+G146*4</f>
        <v>6.7799999999999994</v>
      </c>
      <c r="I146" s="27">
        <v>2.4E-2</v>
      </c>
      <c r="J146" s="27">
        <v>2.94</v>
      </c>
      <c r="K146" s="27">
        <v>0</v>
      </c>
      <c r="L146" s="27">
        <v>0</v>
      </c>
      <c r="M146" s="27">
        <v>10.199999999999999</v>
      </c>
      <c r="N146" s="27">
        <v>18</v>
      </c>
      <c r="O146" s="27">
        <v>8.4</v>
      </c>
      <c r="P146" s="27">
        <v>0.3</v>
      </c>
    </row>
    <row r="147" spans="1:16" ht="17.100000000000001" customHeight="1" x14ac:dyDescent="0.25">
      <c r="A147" s="205" t="s">
        <v>180</v>
      </c>
      <c r="B147" s="206" t="s">
        <v>181</v>
      </c>
      <c r="C147" s="188">
        <v>250</v>
      </c>
      <c r="D147" s="27">
        <f t="shared" ref="D147:D154" si="45">G147/12</f>
        <v>1.075</v>
      </c>
      <c r="E147" s="27">
        <v>2.38</v>
      </c>
      <c r="F147" s="27">
        <v>5.077</v>
      </c>
      <c r="G147" s="27">
        <v>12.9</v>
      </c>
      <c r="H147" s="27">
        <f t="shared" ref="H147:H152" si="46">E147*4+F147*9+G147*4</f>
        <v>106.81299999999999</v>
      </c>
      <c r="I147" s="27">
        <v>5.5E-2</v>
      </c>
      <c r="J147" s="27">
        <v>0.95</v>
      </c>
      <c r="K147" s="27">
        <v>0</v>
      </c>
      <c r="L147" s="27">
        <v>0.2</v>
      </c>
      <c r="M147" s="27">
        <v>127.3</v>
      </c>
      <c r="N147" s="27">
        <v>136.77000000000001</v>
      </c>
      <c r="O147" s="27">
        <v>15.22</v>
      </c>
      <c r="P147" s="27">
        <v>0.72</v>
      </c>
    </row>
    <row r="148" spans="1:16" ht="17.100000000000001" customHeight="1" x14ac:dyDescent="0.25">
      <c r="A148" s="190">
        <v>234</v>
      </c>
      <c r="B148" s="155" t="s">
        <v>182</v>
      </c>
      <c r="C148" s="156">
        <v>80</v>
      </c>
      <c r="D148" s="27">
        <f t="shared" si="45"/>
        <v>0.83083333333333342</v>
      </c>
      <c r="E148" s="27">
        <v>6.99</v>
      </c>
      <c r="F148" s="27">
        <v>5.8</v>
      </c>
      <c r="G148" s="27">
        <v>9.9700000000000006</v>
      </c>
      <c r="H148" s="27">
        <f t="shared" si="46"/>
        <v>120.03999999999999</v>
      </c>
      <c r="I148" s="27">
        <v>4.7E-2</v>
      </c>
      <c r="J148" s="27">
        <v>0.88</v>
      </c>
      <c r="K148" s="27">
        <v>0.15</v>
      </c>
      <c r="L148" s="27">
        <v>0.4</v>
      </c>
      <c r="M148" s="27">
        <v>40.92</v>
      </c>
      <c r="N148" s="27">
        <v>92.31</v>
      </c>
      <c r="O148" s="27">
        <v>27.56</v>
      </c>
      <c r="P148" s="27">
        <v>0.77</v>
      </c>
    </row>
    <row r="149" spans="1:16" ht="17.100000000000001" customHeight="1" x14ac:dyDescent="0.25">
      <c r="A149" s="186">
        <v>125</v>
      </c>
      <c r="B149" s="187" t="s">
        <v>228</v>
      </c>
      <c r="C149" s="188">
        <v>145</v>
      </c>
      <c r="D149" s="27">
        <f t="shared" si="45"/>
        <v>1.5449999999999999</v>
      </c>
      <c r="E149" s="157">
        <v>2.67</v>
      </c>
      <c r="F149" s="157">
        <v>5.24</v>
      </c>
      <c r="G149" s="157">
        <v>18.54</v>
      </c>
      <c r="H149" s="27">
        <f t="shared" si="46"/>
        <v>132</v>
      </c>
      <c r="I149" s="157">
        <v>0.15</v>
      </c>
      <c r="J149" s="157">
        <v>19.11</v>
      </c>
      <c r="K149" s="157">
        <v>0.08</v>
      </c>
      <c r="L149" s="157">
        <v>0</v>
      </c>
      <c r="M149" s="157">
        <v>18.100000000000001</v>
      </c>
      <c r="N149" s="157">
        <v>73.900000000000006</v>
      </c>
      <c r="O149" s="157">
        <v>26.92</v>
      </c>
      <c r="P149" s="180">
        <v>1.08</v>
      </c>
    </row>
    <row r="150" spans="1:16" ht="17.100000000000001" customHeight="1" x14ac:dyDescent="0.25">
      <c r="A150" s="158">
        <v>397</v>
      </c>
      <c r="B150" s="159" t="s">
        <v>183</v>
      </c>
      <c r="C150" s="160">
        <v>200</v>
      </c>
      <c r="D150" s="27">
        <f t="shared" si="45"/>
        <v>2.2916666666666665</v>
      </c>
      <c r="E150" s="162">
        <v>0.12</v>
      </c>
      <c r="F150" s="162">
        <v>0.1</v>
      </c>
      <c r="G150" s="162">
        <v>27.5</v>
      </c>
      <c r="H150" s="157">
        <f t="shared" si="46"/>
        <v>111.38</v>
      </c>
      <c r="I150" s="162">
        <v>0.01</v>
      </c>
      <c r="J150" s="162">
        <v>2.0699999999999998</v>
      </c>
      <c r="K150" s="162">
        <v>0</v>
      </c>
      <c r="L150" s="162">
        <v>0</v>
      </c>
      <c r="M150" s="162">
        <v>16.2</v>
      </c>
      <c r="N150" s="162">
        <v>7.2</v>
      </c>
      <c r="O150" s="162">
        <v>7.51</v>
      </c>
      <c r="P150" s="164">
        <v>0.89</v>
      </c>
    </row>
    <row r="151" spans="1:16" ht="17.100000000000001" customHeight="1" x14ac:dyDescent="0.25">
      <c r="A151" s="165"/>
      <c r="B151" s="159" t="s">
        <v>144</v>
      </c>
      <c r="C151" s="166">
        <v>60</v>
      </c>
      <c r="D151" s="27">
        <f t="shared" si="45"/>
        <v>2.5074999999999998</v>
      </c>
      <c r="E151" s="193">
        <v>4.05</v>
      </c>
      <c r="F151" s="193">
        <v>0.51</v>
      </c>
      <c r="G151" s="193">
        <v>30.09</v>
      </c>
      <c r="H151" s="157">
        <f t="shared" si="46"/>
        <v>141.15</v>
      </c>
      <c r="I151" s="193">
        <v>0.06</v>
      </c>
      <c r="J151" s="193">
        <v>0</v>
      </c>
      <c r="K151" s="193">
        <v>0</v>
      </c>
      <c r="L151" s="193">
        <v>0.66</v>
      </c>
      <c r="M151" s="193">
        <v>12</v>
      </c>
      <c r="N151" s="193">
        <v>39</v>
      </c>
      <c r="O151" s="193">
        <v>8.4</v>
      </c>
      <c r="P151" s="193">
        <v>0.66</v>
      </c>
    </row>
    <row r="152" spans="1:16" ht="17.100000000000001" customHeight="1" x14ac:dyDescent="0.25">
      <c r="A152" s="158"/>
      <c r="B152" s="159" t="s">
        <v>92</v>
      </c>
      <c r="C152" s="160">
        <v>40</v>
      </c>
      <c r="D152" s="27">
        <f t="shared" si="45"/>
        <v>1.3949999999999998</v>
      </c>
      <c r="E152" s="162">
        <v>2.66</v>
      </c>
      <c r="F152" s="162">
        <v>0.48</v>
      </c>
      <c r="G152" s="162">
        <v>16.739999999999998</v>
      </c>
      <c r="H152" s="27">
        <f t="shared" si="46"/>
        <v>81.919999999999987</v>
      </c>
      <c r="I152" s="162">
        <v>0.22</v>
      </c>
      <c r="J152" s="162">
        <v>0.28000000000000003</v>
      </c>
      <c r="K152" s="162">
        <v>0</v>
      </c>
      <c r="L152" s="162">
        <v>0.22</v>
      </c>
      <c r="M152" s="162">
        <v>51.1</v>
      </c>
      <c r="N152" s="162">
        <v>87.5</v>
      </c>
      <c r="O152" s="162">
        <v>28</v>
      </c>
      <c r="P152" s="164">
        <v>1.96</v>
      </c>
    </row>
    <row r="153" spans="1:16" ht="17.100000000000001" customHeight="1" x14ac:dyDescent="0.25">
      <c r="A153" s="158"/>
      <c r="B153" s="159" t="s">
        <v>150</v>
      </c>
      <c r="C153" s="160">
        <v>200</v>
      </c>
      <c r="D153" s="27">
        <f t="shared" si="45"/>
        <v>0.5</v>
      </c>
      <c r="E153" s="193">
        <f>2.5*2</f>
        <v>5</v>
      </c>
      <c r="F153" s="193">
        <f>2.5*2</f>
        <v>5</v>
      </c>
      <c r="G153" s="193">
        <f>8*0.75</f>
        <v>6</v>
      </c>
      <c r="H153" s="157">
        <f>E153*4+F153*9+G153*4</f>
        <v>89</v>
      </c>
      <c r="I153" s="193">
        <v>0.08</v>
      </c>
      <c r="J153" s="193">
        <v>2.6</v>
      </c>
      <c r="K153" s="193">
        <v>0.4</v>
      </c>
      <c r="L153" s="193">
        <v>0.5</v>
      </c>
      <c r="M153" s="193">
        <v>240</v>
      </c>
      <c r="N153" s="193">
        <v>180</v>
      </c>
      <c r="O153" s="193">
        <v>28</v>
      </c>
      <c r="P153" s="193">
        <v>0.2</v>
      </c>
    </row>
    <row r="154" spans="1:16" ht="17.100000000000001" customHeight="1" x14ac:dyDescent="0.25">
      <c r="A154" s="181"/>
      <c r="B154" s="182" t="s">
        <v>7</v>
      </c>
      <c r="C154" s="183">
        <f>SUM(C146:C153)</f>
        <v>1035</v>
      </c>
      <c r="D154" s="169">
        <f t="shared" si="45"/>
        <v>9.74</v>
      </c>
      <c r="E154" s="184">
        <f t="shared" ref="E154:P154" si="47">SUM(E146:E152)</f>
        <v>19.29</v>
      </c>
      <c r="F154" s="184">
        <f t="shared" si="47"/>
        <v>17.267000000000003</v>
      </c>
      <c r="G154" s="184">
        <f t="shared" si="47"/>
        <v>116.88</v>
      </c>
      <c r="H154" s="184">
        <f t="shared" si="47"/>
        <v>700.08299999999997</v>
      </c>
      <c r="I154" s="184">
        <f t="shared" si="47"/>
        <v>0.56600000000000006</v>
      </c>
      <c r="J154" s="184">
        <f t="shared" si="47"/>
        <v>26.23</v>
      </c>
      <c r="K154" s="184">
        <f t="shared" si="47"/>
        <v>0.22999999999999998</v>
      </c>
      <c r="L154" s="184">
        <f t="shared" si="47"/>
        <v>1.4800000000000002</v>
      </c>
      <c r="M154" s="184">
        <f t="shared" si="47"/>
        <v>275.82</v>
      </c>
      <c r="N154" s="184">
        <f t="shared" si="47"/>
        <v>454.68</v>
      </c>
      <c r="O154" s="184">
        <f t="shared" si="47"/>
        <v>122.01</v>
      </c>
      <c r="P154" s="184">
        <f t="shared" si="47"/>
        <v>6.38</v>
      </c>
    </row>
    <row r="155" spans="1:16" ht="17.100000000000001" customHeight="1" x14ac:dyDescent="0.25">
      <c r="A155" s="351" t="s">
        <v>229</v>
      </c>
      <c r="B155" s="352"/>
      <c r="C155" s="170"/>
      <c r="D155" s="170"/>
      <c r="E155" s="171"/>
      <c r="F155" s="171"/>
      <c r="G155" s="171"/>
      <c r="H155" s="171"/>
      <c r="I155" s="171"/>
      <c r="J155" s="171"/>
      <c r="K155" s="171"/>
      <c r="L155" s="171"/>
      <c r="M155" s="171"/>
      <c r="N155" s="171"/>
      <c r="O155" s="171"/>
      <c r="P155" s="171"/>
    </row>
    <row r="156" spans="1:16" ht="17.100000000000001" customHeight="1" x14ac:dyDescent="0.25">
      <c r="A156" s="349" t="s">
        <v>54</v>
      </c>
      <c r="B156" s="353"/>
      <c r="C156" s="353"/>
      <c r="D156" s="353"/>
      <c r="E156" s="353"/>
      <c r="F156" s="353"/>
      <c r="G156" s="353"/>
      <c r="H156" s="353"/>
      <c r="I156" s="353"/>
      <c r="J156" s="353"/>
      <c r="K156" s="353"/>
      <c r="L156" s="353"/>
      <c r="M156" s="353"/>
      <c r="N156" s="353"/>
      <c r="O156" s="353"/>
      <c r="P156" s="353"/>
    </row>
    <row r="157" spans="1:16" ht="17.100000000000001" customHeight="1" x14ac:dyDescent="0.25">
      <c r="A157" s="141">
        <v>222</v>
      </c>
      <c r="B157" s="142" t="s">
        <v>127</v>
      </c>
      <c r="C157" s="143">
        <v>160</v>
      </c>
      <c r="D157" s="144">
        <f>G157/12</f>
        <v>2.7899999999999996</v>
      </c>
      <c r="E157" s="157">
        <v>16.48</v>
      </c>
      <c r="F157" s="157">
        <v>13.92</v>
      </c>
      <c r="G157" s="157">
        <v>33.479999999999997</v>
      </c>
      <c r="H157" s="157">
        <f>G157*4+F157*9+E157*4</f>
        <v>325.12</v>
      </c>
      <c r="I157" s="157">
        <v>0.1</v>
      </c>
      <c r="J157" s="157">
        <v>0.42</v>
      </c>
      <c r="K157" s="157">
        <v>0.83</v>
      </c>
      <c r="L157" s="157">
        <v>0</v>
      </c>
      <c r="M157" s="157">
        <v>170.72</v>
      </c>
      <c r="N157" s="157">
        <v>224.08</v>
      </c>
      <c r="O157" s="157">
        <v>29.82</v>
      </c>
      <c r="P157" s="157">
        <v>1.18</v>
      </c>
    </row>
    <row r="158" spans="1:16" ht="17.100000000000001" customHeight="1" x14ac:dyDescent="0.25">
      <c r="A158" s="176">
        <v>327</v>
      </c>
      <c r="B158" s="207" t="s">
        <v>230</v>
      </c>
      <c r="C158" s="208">
        <v>15</v>
      </c>
      <c r="D158" s="144">
        <f t="shared" ref="D158:D162" si="48">G158/12</f>
        <v>0.71177944862155373</v>
      </c>
      <c r="E158" s="145">
        <v>1.1278195488721805</v>
      </c>
      <c r="F158" s="145">
        <v>3.0075187969924809E-3</v>
      </c>
      <c r="G158" s="145">
        <v>8.5413533834586453</v>
      </c>
      <c r="H158" s="157">
        <f t="shared" ref="H158:H161" si="49">G158*4+F158*9+E158*4</f>
        <v>38.703759398496231</v>
      </c>
      <c r="I158" s="145">
        <v>7.5187969924812026E-3</v>
      </c>
      <c r="J158" s="145">
        <v>0.15037593984962405</v>
      </c>
      <c r="K158" s="145">
        <v>0</v>
      </c>
      <c r="L158" s="145">
        <v>0</v>
      </c>
      <c r="M158" s="145">
        <v>47.669172932330824</v>
      </c>
      <c r="N158" s="145">
        <v>34.436090225563909</v>
      </c>
      <c r="O158" s="145">
        <v>5.1127819548872173</v>
      </c>
      <c r="P158" s="145">
        <v>3.007518796992481E-2</v>
      </c>
    </row>
    <row r="159" spans="1:16" ht="17.100000000000001" customHeight="1" x14ac:dyDescent="0.25">
      <c r="A159" s="141">
        <v>397</v>
      </c>
      <c r="B159" s="142" t="s">
        <v>87</v>
      </c>
      <c r="C159" s="143">
        <v>200</v>
      </c>
      <c r="D159" s="144">
        <f t="shared" si="48"/>
        <v>1.4583333333333333</v>
      </c>
      <c r="E159" s="27">
        <v>4.07</v>
      </c>
      <c r="F159" s="27">
        <v>3.5</v>
      </c>
      <c r="G159" s="27">
        <v>17.5</v>
      </c>
      <c r="H159" s="157">
        <f t="shared" si="49"/>
        <v>117.78</v>
      </c>
      <c r="I159" s="27">
        <f>0.28*0.18</f>
        <v>5.04E-2</v>
      </c>
      <c r="J159" s="27">
        <v>1.57</v>
      </c>
      <c r="K159" s="27">
        <v>0.24</v>
      </c>
      <c r="L159" s="27">
        <v>0.2</v>
      </c>
      <c r="M159" s="27">
        <v>152.19999999999999</v>
      </c>
      <c r="N159" s="27">
        <v>124.5</v>
      </c>
      <c r="O159" s="27">
        <v>21.34</v>
      </c>
      <c r="P159" s="27">
        <v>0.47</v>
      </c>
    </row>
    <row r="160" spans="1:16" ht="17.100000000000001" customHeight="1" x14ac:dyDescent="0.25">
      <c r="A160" s="195"/>
      <c r="B160" s="142" t="s">
        <v>6</v>
      </c>
      <c r="C160" s="143">
        <v>40</v>
      </c>
      <c r="D160" s="144">
        <f t="shared" si="48"/>
        <v>1.6716666666666666</v>
      </c>
      <c r="E160" s="145">
        <f>1.35*2</f>
        <v>2.7</v>
      </c>
      <c r="F160" s="145">
        <f>0.172*2</f>
        <v>0.34399999999999997</v>
      </c>
      <c r="G160" s="145">
        <f>10.03*2</f>
        <v>20.059999999999999</v>
      </c>
      <c r="H160" s="145">
        <f t="shared" si="49"/>
        <v>94.135999999999996</v>
      </c>
      <c r="I160" s="145">
        <v>2.4E-2</v>
      </c>
      <c r="J160" s="145">
        <v>0</v>
      </c>
      <c r="K160" s="145">
        <v>0</v>
      </c>
      <c r="L160" s="145">
        <v>0.42</v>
      </c>
      <c r="M160" s="145">
        <v>8</v>
      </c>
      <c r="N160" s="145">
        <v>26</v>
      </c>
      <c r="O160" s="145">
        <v>5.6</v>
      </c>
      <c r="P160" s="145">
        <v>0.4</v>
      </c>
    </row>
    <row r="161" spans="1:16" ht="17.100000000000001" customHeight="1" x14ac:dyDescent="0.25">
      <c r="A161" s="195"/>
      <c r="B161" s="142" t="s">
        <v>129</v>
      </c>
      <c r="C161" s="143">
        <v>180</v>
      </c>
      <c r="D161" s="144">
        <f t="shared" si="48"/>
        <v>0.52500000000000002</v>
      </c>
      <c r="E161" s="27">
        <f>5*1.8</f>
        <v>9</v>
      </c>
      <c r="F161" s="27">
        <f>3.2*1.8</f>
        <v>5.7600000000000007</v>
      </c>
      <c r="G161" s="27">
        <f>3.5*1.8</f>
        <v>6.3</v>
      </c>
      <c r="H161" s="157">
        <f t="shared" si="49"/>
        <v>113.04</v>
      </c>
      <c r="I161" s="27">
        <f>0.04*0.75</f>
        <v>0.03</v>
      </c>
      <c r="J161" s="27">
        <v>0.54</v>
      </c>
      <c r="K161" s="27">
        <v>0.36</v>
      </c>
      <c r="L161" s="27">
        <v>0</v>
      </c>
      <c r="M161" s="27">
        <v>223.2</v>
      </c>
      <c r="N161" s="27">
        <v>165.6</v>
      </c>
      <c r="O161" s="27">
        <v>25.2</v>
      </c>
      <c r="P161" s="27">
        <v>0.18</v>
      </c>
    </row>
    <row r="162" spans="1:16" ht="17.100000000000001" customHeight="1" x14ac:dyDescent="0.25">
      <c r="A162" s="149"/>
      <c r="B162" s="150" t="s">
        <v>76</v>
      </c>
      <c r="C162" s="151">
        <f>SUM(C157:C161)</f>
        <v>595</v>
      </c>
      <c r="D162" s="152">
        <f t="shared" si="48"/>
        <v>7.1567794486215535</v>
      </c>
      <c r="E162" s="153">
        <f t="shared" ref="E162:P162" si="50">SUM(E157:E161)</f>
        <v>33.377819548872182</v>
      </c>
      <c r="F162" s="153">
        <f t="shared" si="50"/>
        <v>23.527007518796996</v>
      </c>
      <c r="G162" s="153">
        <f t="shared" si="50"/>
        <v>85.881353383458645</v>
      </c>
      <c r="H162" s="153">
        <f t="shared" si="50"/>
        <v>688.77975939849614</v>
      </c>
      <c r="I162" s="153">
        <f t="shared" si="50"/>
        <v>0.2119187969924812</v>
      </c>
      <c r="J162" s="153">
        <f t="shared" si="50"/>
        <v>2.6803759398496241</v>
      </c>
      <c r="K162" s="153">
        <f t="shared" si="50"/>
        <v>1.4299999999999997</v>
      </c>
      <c r="L162" s="153">
        <f t="shared" si="50"/>
        <v>0.62</v>
      </c>
      <c r="M162" s="153">
        <f t="shared" si="50"/>
        <v>601.78917293233076</v>
      </c>
      <c r="N162" s="153">
        <f t="shared" si="50"/>
        <v>574.61609022556388</v>
      </c>
      <c r="O162" s="153">
        <f t="shared" si="50"/>
        <v>87.072781954887219</v>
      </c>
      <c r="P162" s="153">
        <f t="shared" si="50"/>
        <v>2.260075187969925</v>
      </c>
    </row>
    <row r="163" spans="1:16" ht="17.100000000000001" customHeight="1" x14ac:dyDescent="0.25">
      <c r="A163" s="349" t="s">
        <v>8</v>
      </c>
      <c r="B163" s="353"/>
      <c r="C163" s="353"/>
      <c r="D163" s="353"/>
      <c r="E163" s="353"/>
      <c r="F163" s="353"/>
      <c r="G163" s="353"/>
      <c r="H163" s="353"/>
      <c r="I163" s="353"/>
      <c r="J163" s="353"/>
      <c r="K163" s="353"/>
      <c r="L163" s="353"/>
      <c r="M163" s="353"/>
      <c r="N163" s="353"/>
      <c r="O163" s="353"/>
      <c r="P163" s="353"/>
    </row>
    <row r="164" spans="1:16" ht="17.100000000000001" customHeight="1" x14ac:dyDescent="0.25">
      <c r="A164" s="190" t="s">
        <v>188</v>
      </c>
      <c r="B164" s="155" t="s">
        <v>189</v>
      </c>
      <c r="C164" s="156">
        <v>250</v>
      </c>
      <c r="D164" s="161">
        <f>G164/12</f>
        <v>0.76250000000000007</v>
      </c>
      <c r="E164" s="161">
        <v>1.59</v>
      </c>
      <c r="F164" s="161">
        <v>4.9000000000000004</v>
      </c>
      <c r="G164" s="161">
        <v>9.15</v>
      </c>
      <c r="H164" s="161">
        <f t="shared" ref="H164:H165" si="51">E164*4+F164*9+G164*4</f>
        <v>87.06</v>
      </c>
      <c r="I164" s="161">
        <v>7.0000000000000007E-2</v>
      </c>
      <c r="J164" s="161">
        <v>10.38</v>
      </c>
      <c r="K164" s="161">
        <v>0</v>
      </c>
      <c r="L164" s="161">
        <v>0.3</v>
      </c>
      <c r="M164" s="161">
        <v>34.85</v>
      </c>
      <c r="N164" s="161">
        <v>49.28</v>
      </c>
      <c r="O164" s="161">
        <v>20.75</v>
      </c>
      <c r="P164" s="163">
        <v>0.78</v>
      </c>
    </row>
    <row r="165" spans="1:16" ht="17.100000000000001" customHeight="1" x14ac:dyDescent="0.25">
      <c r="A165" s="190">
        <v>267</v>
      </c>
      <c r="B165" s="155" t="s">
        <v>190</v>
      </c>
      <c r="C165" s="156">
        <v>75</v>
      </c>
      <c r="D165" s="161">
        <f t="shared" ref="D165:D171" si="52">G165/12</f>
        <v>0.7583333333333333</v>
      </c>
      <c r="E165" s="161">
        <v>13.2</v>
      </c>
      <c r="F165" s="161">
        <v>18.8</v>
      </c>
      <c r="G165" s="161">
        <v>9.1</v>
      </c>
      <c r="H165" s="161">
        <f t="shared" si="51"/>
        <v>258.39999999999998</v>
      </c>
      <c r="I165" s="161">
        <v>0.09</v>
      </c>
      <c r="J165" s="161">
        <v>0</v>
      </c>
      <c r="K165" s="161">
        <v>0.45</v>
      </c>
      <c r="L165" s="161">
        <v>0.3</v>
      </c>
      <c r="M165" s="161">
        <v>18.329999999999998</v>
      </c>
      <c r="N165" s="161">
        <v>208.98</v>
      </c>
      <c r="O165" s="161">
        <v>32.299999999999997</v>
      </c>
      <c r="P165" s="163">
        <v>3.81</v>
      </c>
    </row>
    <row r="166" spans="1:16" ht="17.100000000000001" customHeight="1" x14ac:dyDescent="0.25">
      <c r="A166" s="165"/>
      <c r="B166" s="159" t="s">
        <v>231</v>
      </c>
      <c r="C166" s="166">
        <v>155</v>
      </c>
      <c r="D166" s="161">
        <f t="shared" si="52"/>
        <v>1.7333333333333334</v>
      </c>
      <c r="E166" s="27">
        <v>3.2</v>
      </c>
      <c r="F166" s="27">
        <v>5.2</v>
      </c>
      <c r="G166" s="27">
        <v>20.8</v>
      </c>
      <c r="H166" s="162">
        <f>E166*4+F166*9+G166*4</f>
        <v>142.80000000000001</v>
      </c>
      <c r="I166" s="27">
        <v>0.06</v>
      </c>
      <c r="J166" s="27">
        <v>0</v>
      </c>
      <c r="K166" s="27">
        <v>0</v>
      </c>
      <c r="L166" s="161">
        <v>0.5</v>
      </c>
      <c r="M166" s="27">
        <v>26.82</v>
      </c>
      <c r="N166" s="27">
        <v>111.2</v>
      </c>
      <c r="O166" s="27">
        <v>15.99</v>
      </c>
      <c r="P166" s="27">
        <v>0.57999999999999996</v>
      </c>
    </row>
    <row r="167" spans="1:16" ht="17.100000000000001" customHeight="1" x14ac:dyDescent="0.25">
      <c r="A167" s="158" t="s">
        <v>191</v>
      </c>
      <c r="B167" s="155" t="s">
        <v>192</v>
      </c>
      <c r="C167" s="160">
        <v>200</v>
      </c>
      <c r="D167" s="161">
        <f t="shared" si="52"/>
        <v>2.625</v>
      </c>
      <c r="E167" s="162">
        <v>0.52</v>
      </c>
      <c r="F167" s="162">
        <v>0</v>
      </c>
      <c r="G167" s="162">
        <v>31.5</v>
      </c>
      <c r="H167" s="157">
        <f t="shared" ref="H167" si="53">E167*4+F167*9+G167*4</f>
        <v>128.08000000000001</v>
      </c>
      <c r="I167" s="162">
        <v>0.02</v>
      </c>
      <c r="J167" s="162">
        <v>3.07</v>
      </c>
      <c r="K167" s="162">
        <v>0</v>
      </c>
      <c r="L167" s="162">
        <v>0.15</v>
      </c>
      <c r="M167" s="162">
        <v>16.100000000000001</v>
      </c>
      <c r="N167" s="162">
        <v>13.2</v>
      </c>
      <c r="O167" s="162">
        <v>7.51</v>
      </c>
      <c r="P167" s="164">
        <v>2.39</v>
      </c>
    </row>
    <row r="168" spans="1:16" ht="17.100000000000001" customHeight="1" x14ac:dyDescent="0.25">
      <c r="A168" s="158"/>
      <c r="B168" s="159" t="s">
        <v>144</v>
      </c>
      <c r="C168" s="160">
        <v>40</v>
      </c>
      <c r="D168" s="161">
        <f t="shared" si="52"/>
        <v>1.6716666666666666</v>
      </c>
      <c r="E168" s="193">
        <v>2.7</v>
      </c>
      <c r="F168" s="193">
        <v>0.34</v>
      </c>
      <c r="G168" s="193">
        <v>20.059999999999999</v>
      </c>
      <c r="H168" s="193">
        <v>94.1</v>
      </c>
      <c r="I168" s="193">
        <v>0.04</v>
      </c>
      <c r="J168" s="193">
        <v>0</v>
      </c>
      <c r="K168" s="193">
        <v>0</v>
      </c>
      <c r="L168" s="193">
        <v>0.44</v>
      </c>
      <c r="M168" s="193">
        <v>8</v>
      </c>
      <c r="N168" s="193">
        <v>26</v>
      </c>
      <c r="O168" s="193">
        <v>5.6</v>
      </c>
      <c r="P168" s="193">
        <v>0.44</v>
      </c>
    </row>
    <row r="169" spans="1:16" ht="17.100000000000001" customHeight="1" x14ac:dyDescent="0.25">
      <c r="A169" s="158"/>
      <c r="B169" s="159" t="s">
        <v>92</v>
      </c>
      <c r="C169" s="160">
        <v>20</v>
      </c>
      <c r="D169" s="161">
        <f t="shared" si="52"/>
        <v>0.6974999999999999</v>
      </c>
      <c r="E169" s="162">
        <v>1.33</v>
      </c>
      <c r="F169" s="162">
        <v>0.24</v>
      </c>
      <c r="G169" s="162">
        <v>8.3699999999999992</v>
      </c>
      <c r="H169" s="157">
        <f t="shared" ref="H169" si="54">E169*4+F169*9+G169*4</f>
        <v>40.959999999999994</v>
      </c>
      <c r="I169" s="162">
        <v>0.11</v>
      </c>
      <c r="J169" s="162">
        <v>0.14000000000000001</v>
      </c>
      <c r="K169" s="162">
        <v>0</v>
      </c>
      <c r="L169" s="162">
        <v>0.11</v>
      </c>
      <c r="M169" s="162">
        <v>25.55</v>
      </c>
      <c r="N169" s="162">
        <v>43.75</v>
      </c>
      <c r="O169" s="162">
        <v>14</v>
      </c>
      <c r="P169" s="164">
        <v>0.98</v>
      </c>
    </row>
    <row r="170" spans="1:16" ht="17.100000000000001" customHeight="1" x14ac:dyDescent="0.25">
      <c r="A170" s="158"/>
      <c r="B170" s="159" t="s">
        <v>193</v>
      </c>
      <c r="C170" s="160">
        <v>180</v>
      </c>
      <c r="D170" s="161">
        <f t="shared" si="52"/>
        <v>0.59791666666666665</v>
      </c>
      <c r="E170" s="161">
        <v>4.37</v>
      </c>
      <c r="F170" s="161">
        <f>2.7*1.8</f>
        <v>4.8600000000000003</v>
      </c>
      <c r="G170" s="161">
        <v>7.1749999999999998</v>
      </c>
      <c r="H170" s="161">
        <f>E170*4+F170*9+G170*4</f>
        <v>89.92</v>
      </c>
      <c r="I170" s="161">
        <v>3.5000000000000003E-2</v>
      </c>
      <c r="J170" s="161">
        <v>0.52</v>
      </c>
      <c r="K170" s="161">
        <v>0.35</v>
      </c>
      <c r="L170" s="161">
        <v>0.5</v>
      </c>
      <c r="M170" s="161">
        <v>217</v>
      </c>
      <c r="N170" s="161">
        <v>57.96</v>
      </c>
      <c r="O170" s="161">
        <v>24.5</v>
      </c>
      <c r="P170" s="161">
        <v>0.17499999999999999</v>
      </c>
    </row>
    <row r="171" spans="1:16" ht="17.100000000000001" customHeight="1" x14ac:dyDescent="0.25">
      <c r="A171" s="181"/>
      <c r="B171" s="209" t="s">
        <v>7</v>
      </c>
      <c r="C171" s="183">
        <f>SUM(C164:C170)</f>
        <v>920</v>
      </c>
      <c r="D171" s="169">
        <f t="shared" si="52"/>
        <v>8.8462499999999995</v>
      </c>
      <c r="E171" s="184">
        <f>SUM(E164:E170)</f>
        <v>26.91</v>
      </c>
      <c r="F171" s="184">
        <f t="shared" ref="F171:P171" si="55">SUM(F164:F170)</f>
        <v>34.340000000000003</v>
      </c>
      <c r="G171" s="184">
        <f t="shared" si="55"/>
        <v>106.155</v>
      </c>
      <c r="H171" s="184">
        <f t="shared" si="55"/>
        <v>841.32</v>
      </c>
      <c r="I171" s="184">
        <f t="shared" si="55"/>
        <v>0.42499999999999993</v>
      </c>
      <c r="J171" s="184">
        <f t="shared" si="55"/>
        <v>14.110000000000001</v>
      </c>
      <c r="K171" s="184">
        <f t="shared" si="55"/>
        <v>0.8</v>
      </c>
      <c r="L171" s="184">
        <f t="shared" si="55"/>
        <v>2.2999999999999998</v>
      </c>
      <c r="M171" s="184">
        <f t="shared" si="55"/>
        <v>346.65</v>
      </c>
      <c r="N171" s="184">
        <f t="shared" si="55"/>
        <v>510.36999999999995</v>
      </c>
      <c r="O171" s="184">
        <f t="shared" si="55"/>
        <v>120.64999999999999</v>
      </c>
      <c r="P171" s="184">
        <f t="shared" si="55"/>
        <v>9.1550000000000011</v>
      </c>
    </row>
    <row r="172" spans="1:16" ht="17.100000000000001" customHeight="1" x14ac:dyDescent="0.25">
      <c r="A172" s="351" t="s">
        <v>232</v>
      </c>
      <c r="B172" s="352"/>
      <c r="C172" s="170"/>
      <c r="D172" s="170"/>
      <c r="E172" s="171"/>
      <c r="F172" s="171"/>
      <c r="G172" s="171"/>
      <c r="H172" s="171"/>
      <c r="I172" s="171"/>
      <c r="J172" s="171"/>
      <c r="K172" s="171"/>
      <c r="L172" s="171"/>
      <c r="M172" s="171"/>
      <c r="N172" s="171"/>
      <c r="O172" s="171"/>
      <c r="P172" s="171"/>
    </row>
    <row r="173" spans="1:16" ht="17.100000000000001" customHeight="1" x14ac:dyDescent="0.25">
      <c r="A173" s="349" t="s">
        <v>54</v>
      </c>
      <c r="B173" s="353"/>
      <c r="C173" s="353"/>
      <c r="D173" s="353"/>
      <c r="E173" s="353"/>
      <c r="F173" s="353"/>
      <c r="G173" s="353"/>
      <c r="H173" s="353"/>
      <c r="I173" s="353"/>
      <c r="J173" s="353"/>
      <c r="K173" s="353"/>
      <c r="L173" s="353"/>
      <c r="M173" s="353"/>
      <c r="N173" s="353"/>
      <c r="O173" s="353"/>
      <c r="P173" s="353"/>
    </row>
    <row r="174" spans="1:16" ht="17.100000000000001" customHeight="1" x14ac:dyDescent="0.25">
      <c r="A174" s="141"/>
      <c r="B174" s="142" t="s">
        <v>110</v>
      </c>
      <c r="C174" s="143">
        <v>70</v>
      </c>
      <c r="D174" s="144">
        <f>G174/12</f>
        <v>0.11019999999999998</v>
      </c>
      <c r="E174" s="145">
        <v>0.48719999999999997</v>
      </c>
      <c r="F174" s="145">
        <v>6.9599999999999995E-2</v>
      </c>
      <c r="G174" s="145">
        <v>1.3223999999999998</v>
      </c>
      <c r="H174" s="145">
        <f>G174*4+F174*9+E174*4</f>
        <v>7.8647999999999989</v>
      </c>
      <c r="I174" s="145">
        <v>2.3199999999999998E-2</v>
      </c>
      <c r="J174" s="145">
        <v>3.4103999999999997</v>
      </c>
      <c r="K174" s="145">
        <v>0</v>
      </c>
      <c r="L174" s="145">
        <v>6.9599999999999995E-2</v>
      </c>
      <c r="M174" s="145">
        <v>11.831999999999999</v>
      </c>
      <c r="N174" s="145">
        <v>20.88</v>
      </c>
      <c r="O174" s="145">
        <v>9.7439999999999998</v>
      </c>
      <c r="P174" s="145">
        <v>0.34799999999999998</v>
      </c>
    </row>
    <row r="175" spans="1:16" ht="17.100000000000001" customHeight="1" x14ac:dyDescent="0.25">
      <c r="A175" s="141">
        <v>297</v>
      </c>
      <c r="B175" s="142" t="s">
        <v>233</v>
      </c>
      <c r="C175" s="143">
        <f>65</f>
        <v>65</v>
      </c>
      <c r="D175" s="144">
        <f t="shared" ref="D175:D182" si="56">G175/12</f>
        <v>0.33749999999999997</v>
      </c>
      <c r="E175" s="145">
        <v>6.86</v>
      </c>
      <c r="F175" s="145">
        <v>10.24</v>
      </c>
      <c r="G175" s="145">
        <v>4.05</v>
      </c>
      <c r="H175" s="145">
        <f t="shared" ref="H175:H181" si="57">G175*4+F175*9+E175*4</f>
        <v>135.80000000000001</v>
      </c>
      <c r="I175" s="145">
        <v>0.02</v>
      </c>
      <c r="J175" s="145">
        <v>0.51</v>
      </c>
      <c r="K175" s="145">
        <v>0.39</v>
      </c>
      <c r="L175" s="145">
        <v>2.4049999999999998</v>
      </c>
      <c r="M175" s="145">
        <v>24.21</v>
      </c>
      <c r="N175" s="145">
        <v>53.55</v>
      </c>
      <c r="O175" s="145">
        <v>7.21</v>
      </c>
      <c r="P175" s="145">
        <v>0.56999999999999995</v>
      </c>
    </row>
    <row r="176" spans="1:16" ht="17.100000000000001" customHeight="1" x14ac:dyDescent="0.25">
      <c r="A176" s="185"/>
      <c r="B176" s="142" t="s">
        <v>199</v>
      </c>
      <c r="C176" s="143">
        <v>50</v>
      </c>
      <c r="D176" s="144">
        <f t="shared" si="56"/>
        <v>0.55249999999999999</v>
      </c>
      <c r="E176" s="157">
        <v>0.7</v>
      </c>
      <c r="F176" s="157">
        <v>1.2</v>
      </c>
      <c r="G176" s="157">
        <v>6.63</v>
      </c>
      <c r="H176" s="145">
        <f t="shared" si="57"/>
        <v>40.119999999999997</v>
      </c>
      <c r="I176" s="157">
        <v>0.01</v>
      </c>
      <c r="J176" s="157">
        <v>1.9E-2</v>
      </c>
      <c r="K176" s="157">
        <v>0.17</v>
      </c>
      <c r="L176" s="157">
        <v>0</v>
      </c>
      <c r="M176" s="157">
        <v>21.5</v>
      </c>
      <c r="N176" s="157">
        <v>39.56</v>
      </c>
      <c r="O176" s="157">
        <v>2.64</v>
      </c>
      <c r="P176" s="157">
        <v>0.1</v>
      </c>
    </row>
    <row r="177" spans="1:16" ht="17.100000000000001" customHeight="1" x14ac:dyDescent="0.25">
      <c r="A177" s="185">
        <v>203</v>
      </c>
      <c r="B177" s="173" t="s">
        <v>234</v>
      </c>
      <c r="C177" s="174">
        <v>115</v>
      </c>
      <c r="D177" s="144">
        <f t="shared" si="56"/>
        <v>1.95</v>
      </c>
      <c r="E177" s="27">
        <v>4.1399999999999997</v>
      </c>
      <c r="F177" s="27">
        <v>5</v>
      </c>
      <c r="G177" s="27">
        <v>23.4</v>
      </c>
      <c r="H177" s="145">
        <f t="shared" si="57"/>
        <v>155.16</v>
      </c>
      <c r="I177" s="27">
        <v>0.04</v>
      </c>
      <c r="J177" s="27">
        <v>0</v>
      </c>
      <c r="K177" s="27">
        <v>0</v>
      </c>
      <c r="L177" s="27">
        <v>0.56999999999999995</v>
      </c>
      <c r="M177" s="27">
        <v>8.1999999999999993</v>
      </c>
      <c r="N177" s="27">
        <v>27.2</v>
      </c>
      <c r="O177" s="27">
        <v>6.32</v>
      </c>
      <c r="P177" s="27">
        <v>0.62</v>
      </c>
    </row>
    <row r="178" spans="1:16" ht="17.100000000000001" customHeight="1" x14ac:dyDescent="0.25">
      <c r="A178" s="141">
        <v>379</v>
      </c>
      <c r="B178" s="142" t="s">
        <v>135</v>
      </c>
      <c r="C178" s="143">
        <v>200</v>
      </c>
      <c r="D178" s="144">
        <f t="shared" si="56"/>
        <v>1.2249999999999999</v>
      </c>
      <c r="E178" s="145">
        <v>2.9</v>
      </c>
      <c r="F178" s="145">
        <v>2.5</v>
      </c>
      <c r="G178" s="145">
        <v>14.7</v>
      </c>
      <c r="H178" s="145">
        <f t="shared" si="57"/>
        <v>92.899999999999991</v>
      </c>
      <c r="I178" s="145">
        <v>0.02</v>
      </c>
      <c r="J178" s="145">
        <v>0.6</v>
      </c>
      <c r="K178" s="145">
        <v>0.1</v>
      </c>
      <c r="L178" s="145">
        <v>0.1</v>
      </c>
      <c r="M178" s="145">
        <v>120.3</v>
      </c>
      <c r="N178" s="145">
        <v>110</v>
      </c>
      <c r="O178" s="145">
        <v>14</v>
      </c>
      <c r="P178" s="145">
        <v>0.13</v>
      </c>
    </row>
    <row r="179" spans="1:16" ht="17.100000000000001" customHeight="1" x14ac:dyDescent="0.25">
      <c r="A179" s="141"/>
      <c r="B179" s="142" t="s">
        <v>92</v>
      </c>
      <c r="C179" s="143">
        <v>25</v>
      </c>
      <c r="D179" s="144">
        <f t="shared" si="56"/>
        <v>0.87187499999999984</v>
      </c>
      <c r="E179" s="145">
        <v>1.6625000000000001</v>
      </c>
      <c r="F179" s="145">
        <v>0.3</v>
      </c>
      <c r="G179" s="145">
        <v>10.462499999999999</v>
      </c>
      <c r="H179" s="145">
        <f t="shared" si="57"/>
        <v>51.199999999999996</v>
      </c>
      <c r="I179" s="145">
        <v>0.13124999999999998</v>
      </c>
      <c r="J179" s="145">
        <v>0.17499999999999996</v>
      </c>
      <c r="K179" s="145">
        <v>0</v>
      </c>
      <c r="L179" s="145">
        <v>0.13124999999999998</v>
      </c>
      <c r="M179" s="145">
        <v>31.937499999999996</v>
      </c>
      <c r="N179" s="145">
        <v>54.6875</v>
      </c>
      <c r="O179" s="145">
        <v>17.5</v>
      </c>
      <c r="P179" s="145">
        <v>1.2249999999999999</v>
      </c>
    </row>
    <row r="180" spans="1:16" ht="17.100000000000001" customHeight="1" x14ac:dyDescent="0.25">
      <c r="A180" s="195"/>
      <c r="B180" s="142" t="s">
        <v>6</v>
      </c>
      <c r="C180" s="143">
        <v>40</v>
      </c>
      <c r="D180" s="144">
        <f t="shared" si="56"/>
        <v>1.6716666666666666</v>
      </c>
      <c r="E180" s="145">
        <f>1.35*2</f>
        <v>2.7</v>
      </c>
      <c r="F180" s="145">
        <f>0.172*2</f>
        <v>0.34399999999999997</v>
      </c>
      <c r="G180" s="145">
        <f>10.03*2</f>
        <v>20.059999999999999</v>
      </c>
      <c r="H180" s="145">
        <f t="shared" si="57"/>
        <v>94.135999999999996</v>
      </c>
      <c r="I180" s="145">
        <v>2.4E-2</v>
      </c>
      <c r="J180" s="145">
        <v>0</v>
      </c>
      <c r="K180" s="145">
        <v>0</v>
      </c>
      <c r="L180" s="145">
        <v>0.42</v>
      </c>
      <c r="M180" s="145">
        <v>8</v>
      </c>
      <c r="N180" s="145">
        <v>26</v>
      </c>
      <c r="O180" s="145">
        <v>5.6</v>
      </c>
      <c r="P180" s="145">
        <v>0.4</v>
      </c>
    </row>
    <row r="181" spans="1:16" ht="17.100000000000001" customHeight="1" x14ac:dyDescent="0.25">
      <c r="A181" s="141">
        <v>368</v>
      </c>
      <c r="B181" s="142" t="s">
        <v>136</v>
      </c>
      <c r="C181" s="143">
        <v>120</v>
      </c>
      <c r="D181" s="144">
        <f t="shared" si="56"/>
        <v>0.95000000000000007</v>
      </c>
      <c r="E181" s="27">
        <f>0.9*1.2</f>
        <v>1.08</v>
      </c>
      <c r="F181" s="27">
        <f>0.1*1.2</f>
        <v>0.12</v>
      </c>
      <c r="G181" s="27">
        <f>9.5*1.2</f>
        <v>11.4</v>
      </c>
      <c r="H181" s="145">
        <f t="shared" si="57"/>
        <v>51</v>
      </c>
      <c r="I181" s="27">
        <v>0.04</v>
      </c>
      <c r="J181" s="27">
        <v>5</v>
      </c>
      <c r="K181" s="27">
        <v>0</v>
      </c>
      <c r="L181" s="27">
        <v>0.33</v>
      </c>
      <c r="M181" s="27">
        <v>25</v>
      </c>
      <c r="N181" s="27">
        <v>18.3</v>
      </c>
      <c r="O181" s="27">
        <v>14.16</v>
      </c>
      <c r="P181" s="27">
        <v>0.5</v>
      </c>
    </row>
    <row r="182" spans="1:16" ht="17.100000000000001" customHeight="1" x14ac:dyDescent="0.25">
      <c r="A182" s="149"/>
      <c r="B182" s="150" t="s">
        <v>76</v>
      </c>
      <c r="C182" s="151">
        <f>SUM(C174:C181)</f>
        <v>685</v>
      </c>
      <c r="D182" s="152">
        <f t="shared" si="56"/>
        <v>7.6687416666666666</v>
      </c>
      <c r="E182" s="153">
        <f t="shared" ref="E182:P182" si="58">SUM(E174:E181)</f>
        <v>20.529699999999998</v>
      </c>
      <c r="F182" s="153">
        <f t="shared" si="58"/>
        <v>19.773600000000002</v>
      </c>
      <c r="G182" s="153">
        <f t="shared" si="58"/>
        <v>92.024900000000002</v>
      </c>
      <c r="H182" s="153">
        <f t="shared" si="58"/>
        <v>628.18079999999998</v>
      </c>
      <c r="I182" s="153">
        <f t="shared" si="58"/>
        <v>0.30845</v>
      </c>
      <c r="J182" s="153">
        <f t="shared" si="58"/>
        <v>9.7143999999999995</v>
      </c>
      <c r="K182" s="153">
        <f t="shared" si="58"/>
        <v>0.66</v>
      </c>
      <c r="L182" s="153">
        <f t="shared" si="58"/>
        <v>4.0258499999999993</v>
      </c>
      <c r="M182" s="153">
        <f t="shared" si="58"/>
        <v>250.9795</v>
      </c>
      <c r="N182" s="153">
        <f t="shared" si="58"/>
        <v>350.17750000000001</v>
      </c>
      <c r="O182" s="153">
        <f t="shared" si="58"/>
        <v>77.174000000000007</v>
      </c>
      <c r="P182" s="153">
        <f t="shared" si="58"/>
        <v>3.8929999999999993</v>
      </c>
    </row>
    <row r="183" spans="1:16" ht="17.100000000000001" customHeight="1" x14ac:dyDescent="0.25">
      <c r="A183" s="210"/>
      <c r="B183" s="349" t="s">
        <v>8</v>
      </c>
      <c r="C183" s="350"/>
      <c r="D183" s="350"/>
      <c r="E183" s="350"/>
      <c r="F183" s="350"/>
      <c r="G183" s="350"/>
      <c r="H183" s="350"/>
      <c r="I183" s="350"/>
      <c r="J183" s="350"/>
      <c r="K183" s="350"/>
      <c r="L183" s="350"/>
      <c r="M183" s="350"/>
      <c r="N183" s="350"/>
      <c r="O183" s="350"/>
      <c r="P183" s="350"/>
    </row>
    <row r="184" spans="1:16" ht="17.100000000000001" customHeight="1" x14ac:dyDescent="0.25">
      <c r="A184" s="198">
        <v>82</v>
      </c>
      <c r="B184" s="192" t="s">
        <v>197</v>
      </c>
      <c r="C184" s="166">
        <v>250</v>
      </c>
      <c r="D184" s="211">
        <f>G184/12</f>
        <v>0.91083333333333327</v>
      </c>
      <c r="E184" s="157">
        <v>1.8</v>
      </c>
      <c r="F184" s="157">
        <v>4.92</v>
      </c>
      <c r="G184" s="157">
        <v>10.93</v>
      </c>
      <c r="H184" s="145">
        <f t="shared" ref="H184:H187" si="59">G184*4+F184*9+E184*4</f>
        <v>95.2</v>
      </c>
      <c r="I184" s="157">
        <v>0.05</v>
      </c>
      <c r="J184" s="157">
        <v>10.68</v>
      </c>
      <c r="K184" s="157">
        <v>0</v>
      </c>
      <c r="L184" s="157">
        <v>0.5</v>
      </c>
      <c r="M184" s="157">
        <v>49.73</v>
      </c>
      <c r="N184" s="157">
        <v>54.6</v>
      </c>
      <c r="O184" s="157">
        <v>26.13</v>
      </c>
      <c r="P184" s="180">
        <v>1.23</v>
      </c>
    </row>
    <row r="185" spans="1:16" ht="17.100000000000001" customHeight="1" x14ac:dyDescent="0.25">
      <c r="A185" s="158">
        <v>250</v>
      </c>
      <c r="B185" s="159" t="s">
        <v>198</v>
      </c>
      <c r="C185" s="160">
        <v>70</v>
      </c>
      <c r="D185" s="211">
        <f t="shared" ref="D185:D192" si="60">G185/12</f>
        <v>0.10833333333333334</v>
      </c>
      <c r="E185" s="157">
        <v>12.5</v>
      </c>
      <c r="F185" s="157">
        <v>6.4</v>
      </c>
      <c r="G185" s="157">
        <v>1.3</v>
      </c>
      <c r="H185" s="145">
        <f t="shared" si="59"/>
        <v>112.80000000000001</v>
      </c>
      <c r="I185" s="157">
        <v>2.7E-2</v>
      </c>
      <c r="J185" s="157">
        <v>1.1299999999999999</v>
      </c>
      <c r="K185" s="157">
        <v>0.3</v>
      </c>
      <c r="L185" s="157">
        <v>0.5</v>
      </c>
      <c r="M185" s="157">
        <v>74.63</v>
      </c>
      <c r="N185" s="157">
        <v>89</v>
      </c>
      <c r="O185" s="157">
        <v>26.85</v>
      </c>
      <c r="P185" s="180">
        <v>0.53</v>
      </c>
    </row>
    <row r="186" spans="1:16" ht="17.100000000000001" customHeight="1" x14ac:dyDescent="0.25">
      <c r="A186" s="212"/>
      <c r="B186" s="142" t="s">
        <v>199</v>
      </c>
      <c r="C186" s="143">
        <v>50</v>
      </c>
      <c r="D186" s="211">
        <f t="shared" si="60"/>
        <v>0.55249999999999999</v>
      </c>
      <c r="E186" s="157">
        <v>0.7</v>
      </c>
      <c r="F186" s="157">
        <v>1.2</v>
      </c>
      <c r="G186" s="157">
        <v>6.63</v>
      </c>
      <c r="H186" s="145">
        <f t="shared" si="59"/>
        <v>40.119999999999997</v>
      </c>
      <c r="I186" s="157">
        <v>0.01</v>
      </c>
      <c r="J186" s="157">
        <v>1.9E-2</v>
      </c>
      <c r="K186" s="157">
        <v>0.17</v>
      </c>
      <c r="L186" s="157">
        <v>0</v>
      </c>
      <c r="M186" s="157">
        <v>21.5</v>
      </c>
      <c r="N186" s="157">
        <v>39.56</v>
      </c>
      <c r="O186" s="157">
        <v>2.64</v>
      </c>
      <c r="P186" s="157">
        <v>0.1</v>
      </c>
    </row>
    <row r="187" spans="1:16" ht="17.100000000000001" customHeight="1" x14ac:dyDescent="0.25">
      <c r="A187" s="165">
        <v>205</v>
      </c>
      <c r="B187" s="192" t="s">
        <v>235</v>
      </c>
      <c r="C187" s="166">
        <v>130</v>
      </c>
      <c r="D187" s="211">
        <f t="shared" si="60"/>
        <v>1.9808333333333332</v>
      </c>
      <c r="E187" s="27">
        <v>4.3099999999999996</v>
      </c>
      <c r="F187" s="27">
        <v>5.99</v>
      </c>
      <c r="G187" s="27">
        <v>23.77</v>
      </c>
      <c r="H187" s="145">
        <f t="shared" si="59"/>
        <v>166.23000000000002</v>
      </c>
      <c r="I187" s="27">
        <v>0.06</v>
      </c>
      <c r="J187" s="27">
        <v>2.2599999999999998</v>
      </c>
      <c r="K187" s="27">
        <v>0</v>
      </c>
      <c r="L187" s="157">
        <v>0.05</v>
      </c>
      <c r="M187" s="27">
        <v>16.18</v>
      </c>
      <c r="N187" s="27">
        <v>42.4</v>
      </c>
      <c r="O187" s="27">
        <v>14.45</v>
      </c>
      <c r="P187" s="27">
        <v>0.86</v>
      </c>
    </row>
    <row r="188" spans="1:16" ht="17.100000000000001" customHeight="1" x14ac:dyDescent="0.25">
      <c r="A188" s="200"/>
      <c r="B188" s="159" t="s">
        <v>200</v>
      </c>
      <c r="C188" s="160">
        <v>35</v>
      </c>
      <c r="D188" s="211">
        <f t="shared" si="60"/>
        <v>1.9133333333333331</v>
      </c>
      <c r="E188" s="157">
        <f>6.8*0.32</f>
        <v>2.1760000000000002</v>
      </c>
      <c r="F188" s="157">
        <f>32.4*0.35</f>
        <v>11.339999999999998</v>
      </c>
      <c r="G188" s="157">
        <f>65.6*0.35</f>
        <v>22.959999999999997</v>
      </c>
      <c r="H188" s="145">
        <f>G188*4+F188*9+E188*4</f>
        <v>202.60399999999998</v>
      </c>
      <c r="I188" s="157">
        <v>0.04</v>
      </c>
      <c r="J188" s="157">
        <v>0</v>
      </c>
      <c r="K188" s="157">
        <v>0.2797</v>
      </c>
      <c r="L188" s="157">
        <f>7.7*0.45</f>
        <v>3.4650000000000003</v>
      </c>
      <c r="M188" s="157">
        <v>10.14</v>
      </c>
      <c r="N188" s="157">
        <v>64.59</v>
      </c>
      <c r="O188" s="157">
        <v>7.69</v>
      </c>
      <c r="P188" s="180">
        <v>0.64</v>
      </c>
    </row>
    <row r="189" spans="1:16" ht="17.100000000000001" customHeight="1" x14ac:dyDescent="0.25">
      <c r="A189" s="165"/>
      <c r="B189" s="159" t="s">
        <v>144</v>
      </c>
      <c r="C189" s="166">
        <v>60</v>
      </c>
      <c r="D189" s="211">
        <f t="shared" si="60"/>
        <v>2.5074999999999998</v>
      </c>
      <c r="E189" s="193">
        <v>4.05</v>
      </c>
      <c r="F189" s="193">
        <v>0.51</v>
      </c>
      <c r="G189" s="193">
        <v>30.09</v>
      </c>
      <c r="H189" s="145">
        <f>G189*4+F189*9+E189*4</f>
        <v>141.15</v>
      </c>
      <c r="I189" s="193">
        <v>0.06</v>
      </c>
      <c r="J189" s="193">
        <v>0</v>
      </c>
      <c r="K189" s="193">
        <v>0</v>
      </c>
      <c r="L189" s="193">
        <v>0.66</v>
      </c>
      <c r="M189" s="193">
        <v>12</v>
      </c>
      <c r="N189" s="193">
        <v>39</v>
      </c>
      <c r="O189" s="193">
        <v>8.4</v>
      </c>
      <c r="P189" s="193">
        <v>0.66</v>
      </c>
    </row>
    <row r="190" spans="1:16" ht="17.100000000000001" customHeight="1" x14ac:dyDescent="0.25">
      <c r="A190" s="200"/>
      <c r="B190" s="159" t="s">
        <v>201</v>
      </c>
      <c r="C190" s="160">
        <v>20</v>
      </c>
      <c r="D190" s="211">
        <f t="shared" si="60"/>
        <v>0.6974999999999999</v>
      </c>
      <c r="E190" s="162">
        <v>1.33</v>
      </c>
      <c r="F190" s="162">
        <v>0.24</v>
      </c>
      <c r="G190" s="162">
        <v>8.3699999999999992</v>
      </c>
      <c r="H190" s="145">
        <f>G190*4+F190*9+E190*4</f>
        <v>40.96</v>
      </c>
      <c r="I190" s="162">
        <v>0.11</v>
      </c>
      <c r="J190" s="162">
        <v>0.14000000000000001</v>
      </c>
      <c r="K190" s="162">
        <v>0</v>
      </c>
      <c r="L190" s="162">
        <v>0.11</v>
      </c>
      <c r="M190" s="162">
        <v>25.55</v>
      </c>
      <c r="N190" s="162">
        <v>43.75</v>
      </c>
      <c r="O190" s="162">
        <v>14</v>
      </c>
      <c r="P190" s="164">
        <v>0.98</v>
      </c>
    </row>
    <row r="191" spans="1:16" ht="17.100000000000001" customHeight="1" x14ac:dyDescent="0.25">
      <c r="A191" s="158"/>
      <c r="B191" s="159" t="s">
        <v>150</v>
      </c>
      <c r="C191" s="160">
        <v>200</v>
      </c>
      <c r="D191" s="211">
        <f t="shared" si="60"/>
        <v>0.5</v>
      </c>
      <c r="E191" s="193">
        <f>2.5*2</f>
        <v>5</v>
      </c>
      <c r="F191" s="193">
        <f>2.5*2</f>
        <v>5</v>
      </c>
      <c r="G191" s="193">
        <f>8*0.75</f>
        <v>6</v>
      </c>
      <c r="H191" s="145">
        <f>G191*4+F191*9+E191*4</f>
        <v>89</v>
      </c>
      <c r="I191" s="193">
        <v>0.08</v>
      </c>
      <c r="J191" s="193">
        <v>2.6</v>
      </c>
      <c r="K191" s="193">
        <v>0.4</v>
      </c>
      <c r="L191" s="193">
        <v>0.5</v>
      </c>
      <c r="M191" s="193">
        <v>240</v>
      </c>
      <c r="N191" s="193">
        <v>180</v>
      </c>
      <c r="O191" s="193">
        <v>28</v>
      </c>
      <c r="P191" s="193">
        <v>0.2</v>
      </c>
    </row>
    <row r="192" spans="1:16" ht="17.100000000000001" customHeight="1" x14ac:dyDescent="0.25">
      <c r="A192" s="213"/>
      <c r="B192" s="209" t="s">
        <v>7</v>
      </c>
      <c r="C192" s="183">
        <f>SUM(C184:C191)</f>
        <v>815</v>
      </c>
      <c r="D192" s="194">
        <f t="shared" si="60"/>
        <v>9.1708333333333325</v>
      </c>
      <c r="E192" s="184">
        <f t="shared" ref="E192:P192" si="61">SUM(E184:E191)</f>
        <v>31.866</v>
      </c>
      <c r="F192" s="184">
        <f t="shared" si="61"/>
        <v>35.599999999999994</v>
      </c>
      <c r="G192" s="184">
        <f t="shared" si="61"/>
        <v>110.05</v>
      </c>
      <c r="H192" s="184">
        <f t="shared" si="61"/>
        <v>888.06399999999996</v>
      </c>
      <c r="I192" s="184">
        <f t="shared" si="61"/>
        <v>0.437</v>
      </c>
      <c r="J192" s="184">
        <f t="shared" si="61"/>
        <v>16.829000000000001</v>
      </c>
      <c r="K192" s="184">
        <f t="shared" si="61"/>
        <v>1.1497000000000002</v>
      </c>
      <c r="L192" s="184">
        <f t="shared" si="61"/>
        <v>5.785000000000001</v>
      </c>
      <c r="M192" s="184">
        <f t="shared" si="61"/>
        <v>449.73</v>
      </c>
      <c r="N192" s="184">
        <f t="shared" si="61"/>
        <v>552.9</v>
      </c>
      <c r="O192" s="184">
        <f t="shared" si="61"/>
        <v>128.16000000000003</v>
      </c>
      <c r="P192" s="184">
        <f t="shared" si="61"/>
        <v>5.2</v>
      </c>
    </row>
    <row r="193" spans="1:16" ht="17.100000000000001" customHeight="1" x14ac:dyDescent="0.25">
      <c r="A193" s="214"/>
      <c r="B193" s="215"/>
      <c r="C193" s="215"/>
      <c r="D193" s="216"/>
      <c r="E193" s="217"/>
      <c r="F193" s="217"/>
      <c r="G193" s="217"/>
      <c r="H193" s="217"/>
      <c r="I193" s="217"/>
      <c r="J193" s="217"/>
      <c r="K193" s="217"/>
      <c r="L193" s="217"/>
      <c r="M193" s="217"/>
      <c r="N193" s="217"/>
      <c r="O193" s="217"/>
      <c r="P193" s="217"/>
    </row>
    <row r="194" spans="1:16" ht="17.100000000000001" customHeight="1" x14ac:dyDescent="0.25">
      <c r="A194" s="218"/>
      <c r="B194" s="218"/>
      <c r="C194" s="218"/>
      <c r="D194" s="219"/>
      <c r="E194" s="220"/>
      <c r="F194" s="220"/>
      <c r="G194" s="220"/>
      <c r="H194" s="220"/>
      <c r="I194" s="220"/>
      <c r="J194" s="220"/>
      <c r="K194" s="220"/>
      <c r="L194" s="220"/>
      <c r="M194" s="220"/>
      <c r="N194" s="220"/>
      <c r="O194" s="220"/>
      <c r="P194" s="220"/>
    </row>
    <row r="195" spans="1:16" ht="17.100000000000001" customHeight="1" x14ac:dyDescent="0.25">
      <c r="F195" s="29">
        <v>10</v>
      </c>
    </row>
    <row r="196" spans="1:16" ht="17.100000000000001" customHeight="1" x14ac:dyDescent="0.25">
      <c r="A196" s="354" t="s">
        <v>38</v>
      </c>
      <c r="B196" s="355"/>
      <c r="C196" s="231">
        <v>6605</v>
      </c>
      <c r="D196" s="222">
        <f>D11+D30+D50+D68+D86+D105+D124+D144+D162+D182</f>
        <v>71.261537028909132</v>
      </c>
      <c r="E196" s="222">
        <f>E11+E30+E50+E68+E86+E105+E124+E144+E162+E182</f>
        <v>217.30979111749861</v>
      </c>
      <c r="F196" s="222">
        <f t="shared" ref="F196:P196" si="62">F11+F30+F50+F68+F86+F105+F124+F144+F162+F182</f>
        <v>197.69528253376848</v>
      </c>
      <c r="G196" s="222">
        <f t="shared" si="62"/>
        <v>855.13844434690964</v>
      </c>
      <c r="H196" s="222">
        <f t="shared" si="62"/>
        <v>6170.6764846615479</v>
      </c>
      <c r="I196" s="222">
        <f t="shared" si="62"/>
        <v>3.8827173741775485</v>
      </c>
      <c r="J196" s="222">
        <f t="shared" si="62"/>
        <v>196.89215202471718</v>
      </c>
      <c r="K196" s="222">
        <f t="shared" si="62"/>
        <v>10.430999999999999</v>
      </c>
      <c r="L196" s="222">
        <f t="shared" si="62"/>
        <v>51.329027936808473</v>
      </c>
      <c r="M196" s="222">
        <f t="shared" si="62"/>
        <v>2784.4441882403457</v>
      </c>
      <c r="N196" s="222">
        <f t="shared" si="62"/>
        <v>4087.2264532697191</v>
      </c>
      <c r="O196" s="222">
        <f t="shared" si="62"/>
        <v>1125.7848757270176</v>
      </c>
      <c r="P196" s="222">
        <f t="shared" si="62"/>
        <v>111.89941463647075</v>
      </c>
    </row>
    <row r="197" spans="1:16" ht="17.100000000000001" customHeight="1" x14ac:dyDescent="0.25">
      <c r="A197" s="354" t="s">
        <v>39</v>
      </c>
      <c r="B197" s="355"/>
      <c r="C197" s="231">
        <v>660.5</v>
      </c>
      <c r="D197" s="222">
        <f>D196/10</f>
        <v>7.126153702890913</v>
      </c>
      <c r="E197" s="140">
        <f>E196/10</f>
        <v>21.730979111749861</v>
      </c>
      <c r="F197" s="140">
        <f t="shared" ref="F197:P197" si="63">F196/10</f>
        <v>19.769528253376848</v>
      </c>
      <c r="G197" s="140">
        <f t="shared" si="63"/>
        <v>85.513844434690967</v>
      </c>
      <c r="H197" s="140">
        <f t="shared" si="63"/>
        <v>617.06764846615476</v>
      </c>
      <c r="I197" s="140">
        <f t="shared" si="63"/>
        <v>0.38827173741775484</v>
      </c>
      <c r="J197" s="140">
        <f t="shared" si="63"/>
        <v>19.689215202471718</v>
      </c>
      <c r="K197" s="140">
        <f t="shared" si="63"/>
        <v>1.0430999999999999</v>
      </c>
      <c r="L197" s="140">
        <f t="shared" si="63"/>
        <v>5.1329027936808469</v>
      </c>
      <c r="M197" s="140">
        <f t="shared" si="63"/>
        <v>278.44441882403459</v>
      </c>
      <c r="N197" s="140">
        <f t="shared" si="63"/>
        <v>408.72264532697193</v>
      </c>
      <c r="O197" s="140">
        <f t="shared" si="63"/>
        <v>112.57848757270176</v>
      </c>
      <c r="P197" s="140">
        <f t="shared" si="63"/>
        <v>11.189941463647076</v>
      </c>
    </row>
    <row r="198" spans="1:16" ht="17.100000000000001" customHeight="1" x14ac:dyDescent="0.25">
      <c r="A198" s="354" t="s">
        <v>5</v>
      </c>
      <c r="B198" s="355"/>
      <c r="C198" s="231"/>
      <c r="D198" s="222"/>
      <c r="E198" s="223">
        <f>4*E197/$H$197</f>
        <v>0.1408661054635845</v>
      </c>
      <c r="F198" s="223">
        <f t="shared" ref="F198:G198" si="64">4*F197/$H$197</f>
        <v>0.12815144856495375</v>
      </c>
      <c r="G198" s="223">
        <f t="shared" si="64"/>
        <v>0.55432395230735398</v>
      </c>
      <c r="H198" s="224"/>
      <c r="I198" s="140"/>
      <c r="J198" s="140"/>
      <c r="K198" s="140"/>
      <c r="L198" s="140"/>
      <c r="M198" s="140"/>
      <c r="N198" s="140"/>
      <c r="O198" s="140"/>
      <c r="P198" s="140"/>
    </row>
    <row r="199" spans="1:16" ht="17.100000000000001" customHeight="1" x14ac:dyDescent="0.25">
      <c r="A199" s="354" t="s">
        <v>236</v>
      </c>
      <c r="B199" s="355"/>
      <c r="C199" s="231"/>
      <c r="D199" s="234"/>
      <c r="E199" s="225">
        <f>E197/E207</f>
        <v>0.28222050794480336</v>
      </c>
      <c r="F199" s="225">
        <f t="shared" ref="F199:P199" si="65">F197/F207</f>
        <v>0.25024719308071958</v>
      </c>
      <c r="G199" s="225">
        <f t="shared" si="65"/>
        <v>0.25526520726773422</v>
      </c>
      <c r="H199" s="225">
        <f t="shared" si="65"/>
        <v>0.26258197807070416</v>
      </c>
      <c r="I199" s="225">
        <f t="shared" si="65"/>
        <v>0.2773369552983963</v>
      </c>
      <c r="J199" s="225">
        <f t="shared" si="65"/>
        <v>0.32815358670786199</v>
      </c>
      <c r="K199" s="225">
        <f t="shared" si="65"/>
        <v>1.4901428571428572</v>
      </c>
      <c r="L199" s="225">
        <f t="shared" si="65"/>
        <v>0.51329027936808469</v>
      </c>
      <c r="M199" s="225">
        <f t="shared" si="65"/>
        <v>0.25313128984003141</v>
      </c>
      <c r="N199" s="225">
        <f t="shared" si="65"/>
        <v>0.24771069413755875</v>
      </c>
      <c r="O199" s="225">
        <f t="shared" si="65"/>
        <v>0.45031395029080706</v>
      </c>
      <c r="P199" s="225">
        <f t="shared" si="65"/>
        <v>0.93249512197058959</v>
      </c>
    </row>
    <row r="200" spans="1:16" ht="17.100000000000001" customHeight="1" x14ac:dyDescent="0.25">
      <c r="A200" s="347" t="s">
        <v>237</v>
      </c>
      <c r="B200" s="348"/>
      <c r="C200" s="232">
        <v>9775</v>
      </c>
      <c r="D200" s="222">
        <f>D21+D40+D59+D77+D95+D114+D133+D154+D171+D192</f>
        <v>94.821249999999992</v>
      </c>
      <c r="E200" s="222">
        <f>E21+E40+E59+E77+E95+E114+E133+E154+E171+E192</f>
        <v>290.57599999999996</v>
      </c>
      <c r="F200" s="222">
        <f t="shared" ref="F200:P200" si="66">F21+F40+F59+F77+F95+F114+F133+F154+F171+F192</f>
        <v>291.447</v>
      </c>
      <c r="G200" s="222">
        <f t="shared" si="66"/>
        <v>1137.855</v>
      </c>
      <c r="H200" s="222">
        <f t="shared" si="66"/>
        <v>8337.5469999999987</v>
      </c>
      <c r="I200" s="222">
        <f t="shared" si="66"/>
        <v>4.9160000000000004</v>
      </c>
      <c r="J200" s="222">
        <f t="shared" si="66"/>
        <v>393.483</v>
      </c>
      <c r="K200" s="222">
        <f t="shared" si="66"/>
        <v>11.251700000000003</v>
      </c>
      <c r="L200" s="222">
        <f t="shared" si="66"/>
        <v>31.007800000000003</v>
      </c>
      <c r="M200" s="222">
        <f t="shared" si="66"/>
        <v>3720.87</v>
      </c>
      <c r="N200" s="222">
        <f t="shared" si="66"/>
        <v>5084.3099999999995</v>
      </c>
      <c r="O200" s="222">
        <f t="shared" si="66"/>
        <v>1308.7300000000002</v>
      </c>
      <c r="P200" s="222">
        <f t="shared" si="66"/>
        <v>79.355999999999995</v>
      </c>
    </row>
    <row r="201" spans="1:16" ht="17.100000000000001" customHeight="1" x14ac:dyDescent="0.25">
      <c r="A201" s="347" t="s">
        <v>40</v>
      </c>
      <c r="B201" s="348"/>
      <c r="C201" s="232">
        <v>977.5</v>
      </c>
      <c r="D201" s="222">
        <f>D200/10</f>
        <v>9.4821249999999999</v>
      </c>
      <c r="E201" s="140">
        <f>E200/10</f>
        <v>29.057599999999997</v>
      </c>
      <c r="F201" s="140">
        <f t="shared" ref="F201:P201" si="67">F200/10</f>
        <v>29.1447</v>
      </c>
      <c r="G201" s="140">
        <f t="shared" si="67"/>
        <v>113.7855</v>
      </c>
      <c r="H201" s="140">
        <f t="shared" si="67"/>
        <v>833.75469999999984</v>
      </c>
      <c r="I201" s="140">
        <f t="shared" si="67"/>
        <v>0.49160000000000004</v>
      </c>
      <c r="J201" s="140">
        <f t="shared" si="67"/>
        <v>39.348300000000002</v>
      </c>
      <c r="K201" s="140">
        <f t="shared" si="67"/>
        <v>1.1251700000000002</v>
      </c>
      <c r="L201" s="140">
        <f t="shared" si="67"/>
        <v>3.1007800000000003</v>
      </c>
      <c r="M201" s="140">
        <f t="shared" si="67"/>
        <v>372.08699999999999</v>
      </c>
      <c r="N201" s="140">
        <f t="shared" si="67"/>
        <v>508.43099999999993</v>
      </c>
      <c r="O201" s="140">
        <f t="shared" si="67"/>
        <v>130.87300000000002</v>
      </c>
      <c r="P201" s="140">
        <f t="shared" si="67"/>
        <v>7.9355999999999991</v>
      </c>
    </row>
    <row r="202" spans="1:16" ht="17.100000000000001" customHeight="1" x14ac:dyDescent="0.25">
      <c r="A202" s="347" t="s">
        <v>5</v>
      </c>
      <c r="B202" s="348"/>
      <c r="C202" s="232"/>
      <c r="D202" s="221"/>
      <c r="E202" s="223">
        <f>4*E201/$H$201</f>
        <v>0.13940599075483473</v>
      </c>
      <c r="F202" s="223">
        <f t="shared" ref="F202:G202" si="68">4*F201/$H$201</f>
        <v>0.13982385946370079</v>
      </c>
      <c r="G202" s="223">
        <f t="shared" si="68"/>
        <v>0.54589437396874652</v>
      </c>
      <c r="H202" s="140"/>
      <c r="I202" s="140"/>
      <c r="J202" s="140"/>
      <c r="K202" s="140"/>
      <c r="L202" s="140"/>
      <c r="M202" s="140"/>
      <c r="N202" s="140"/>
      <c r="O202" s="140"/>
      <c r="P202" s="140"/>
    </row>
    <row r="203" spans="1:16" ht="17.100000000000001" customHeight="1" x14ac:dyDescent="0.25">
      <c r="A203" s="347" t="s">
        <v>236</v>
      </c>
      <c r="B203" s="348"/>
      <c r="C203" s="232"/>
      <c r="D203" s="226"/>
      <c r="E203" s="227">
        <f>E201/E207</f>
        <v>0.37737142857142852</v>
      </c>
      <c r="F203" s="227">
        <f t="shared" ref="F203:P203" si="69">F201/F207</f>
        <v>0.36892025316455695</v>
      </c>
      <c r="G203" s="227">
        <f t="shared" si="69"/>
        <v>0.33965820895522386</v>
      </c>
      <c r="H203" s="227">
        <f t="shared" si="69"/>
        <v>0.35478923404255314</v>
      </c>
      <c r="I203" s="227">
        <f t="shared" si="69"/>
        <v>0.3511428571428572</v>
      </c>
      <c r="J203" s="227">
        <f t="shared" si="69"/>
        <v>0.65580500000000008</v>
      </c>
      <c r="K203" s="227">
        <f t="shared" si="69"/>
        <v>1.6073857142857146</v>
      </c>
      <c r="L203" s="227">
        <f t="shared" si="69"/>
        <v>0.31007800000000002</v>
      </c>
      <c r="M203" s="227">
        <f t="shared" si="69"/>
        <v>0.33826090909090906</v>
      </c>
      <c r="N203" s="227">
        <f t="shared" si="69"/>
        <v>0.30813999999999997</v>
      </c>
      <c r="O203" s="227">
        <f t="shared" si="69"/>
        <v>0.52349200000000007</v>
      </c>
      <c r="P203" s="227">
        <f t="shared" si="69"/>
        <v>0.66129999999999989</v>
      </c>
    </row>
    <row r="204" spans="1:16" ht="17.100000000000001" customHeight="1" x14ac:dyDescent="0.25">
      <c r="A204" s="345" t="s">
        <v>41</v>
      </c>
      <c r="B204" s="346"/>
      <c r="C204" s="233"/>
      <c r="D204" s="222">
        <f>D196+D200</f>
        <v>166.08278702890914</v>
      </c>
      <c r="E204" s="228">
        <f>E196+E200</f>
        <v>507.88579111749857</v>
      </c>
      <c r="F204" s="228">
        <f t="shared" ref="F204:P205" si="70">F196+F200</f>
        <v>489.14228253376848</v>
      </c>
      <c r="G204" s="228">
        <f t="shared" si="70"/>
        <v>1992.9934443469097</v>
      </c>
      <c r="H204" s="228">
        <f t="shared" si="70"/>
        <v>14508.223484661547</v>
      </c>
      <c r="I204" s="228">
        <f t="shared" si="70"/>
        <v>8.7987173741775493</v>
      </c>
      <c r="J204" s="228">
        <f t="shared" si="70"/>
        <v>590.37515202471718</v>
      </c>
      <c r="K204" s="228">
        <f t="shared" si="70"/>
        <v>21.682700000000004</v>
      </c>
      <c r="L204" s="228">
        <f t="shared" si="70"/>
        <v>82.336827936808476</v>
      </c>
      <c r="M204" s="228">
        <f t="shared" si="70"/>
        <v>6505.3141882403452</v>
      </c>
      <c r="N204" s="228">
        <f t="shared" si="70"/>
        <v>9171.5364532697185</v>
      </c>
      <c r="O204" s="228">
        <f t="shared" si="70"/>
        <v>2434.5148757270181</v>
      </c>
      <c r="P204" s="228">
        <f t="shared" si="70"/>
        <v>191.25541463647073</v>
      </c>
    </row>
    <row r="205" spans="1:16" ht="17.100000000000001" customHeight="1" x14ac:dyDescent="0.25">
      <c r="A205" s="345" t="s">
        <v>42</v>
      </c>
      <c r="B205" s="346"/>
      <c r="C205" s="233"/>
      <c r="D205" s="222">
        <f>D197+D201</f>
        <v>16.608278702890914</v>
      </c>
      <c r="E205" s="140">
        <f>E197+E201</f>
        <v>50.788579111749854</v>
      </c>
      <c r="F205" s="140">
        <f t="shared" si="70"/>
        <v>48.914228253376848</v>
      </c>
      <c r="G205" s="140">
        <f t="shared" si="70"/>
        <v>199.29934443469097</v>
      </c>
      <c r="H205" s="140">
        <f t="shared" si="70"/>
        <v>1450.8223484661546</v>
      </c>
      <c r="I205" s="140">
        <f t="shared" si="70"/>
        <v>0.87987173741775493</v>
      </c>
      <c r="J205" s="140">
        <f t="shared" si="70"/>
        <v>59.037515202471724</v>
      </c>
      <c r="K205" s="140">
        <f t="shared" si="70"/>
        <v>2.1682700000000001</v>
      </c>
      <c r="L205" s="140">
        <f t="shared" si="70"/>
        <v>8.2336827936808472</v>
      </c>
      <c r="M205" s="140">
        <f t="shared" si="70"/>
        <v>650.53141882403452</v>
      </c>
      <c r="N205" s="140">
        <f t="shared" si="70"/>
        <v>917.15364532697185</v>
      </c>
      <c r="O205" s="140">
        <f t="shared" si="70"/>
        <v>243.45148757270178</v>
      </c>
      <c r="P205" s="140">
        <f t="shared" si="70"/>
        <v>19.125541463647075</v>
      </c>
    </row>
    <row r="206" spans="1:16" ht="17.100000000000001" customHeight="1" x14ac:dyDescent="0.25">
      <c r="A206" s="345" t="s">
        <v>5</v>
      </c>
      <c r="B206" s="346"/>
      <c r="C206" s="233"/>
      <c r="D206" s="221"/>
      <c r="E206" s="223">
        <f>4*E205/$H$205</f>
        <v>0.14002701065487391</v>
      </c>
      <c r="F206" s="223">
        <f t="shared" ref="F206:G206" si="71">4*F205/$H$205</f>
        <v>0.13485931838612822</v>
      </c>
      <c r="G206" s="223">
        <f t="shared" si="71"/>
        <v>0.54947966481325627</v>
      </c>
      <c r="H206" s="140"/>
      <c r="I206" s="140"/>
      <c r="J206" s="140"/>
      <c r="K206" s="140"/>
      <c r="L206" s="140"/>
      <c r="M206" s="140"/>
      <c r="N206" s="140"/>
      <c r="O206" s="140"/>
      <c r="P206" s="140"/>
    </row>
    <row r="207" spans="1:16" ht="17.100000000000001" customHeight="1" x14ac:dyDescent="0.25">
      <c r="A207" s="345" t="s">
        <v>238</v>
      </c>
      <c r="B207" s="346"/>
      <c r="C207" s="233"/>
      <c r="D207" s="221"/>
      <c r="E207" s="30">
        <v>77</v>
      </c>
      <c r="F207" s="30">
        <v>79</v>
      </c>
      <c r="G207" s="30">
        <v>335</v>
      </c>
      <c r="H207" s="30">
        <v>2350</v>
      </c>
      <c r="I207" s="30">
        <v>1.4</v>
      </c>
      <c r="J207" s="30">
        <v>60</v>
      </c>
      <c r="K207" s="30">
        <v>0.7</v>
      </c>
      <c r="L207" s="229">
        <v>10</v>
      </c>
      <c r="M207" s="30">
        <v>1100</v>
      </c>
      <c r="N207" s="30">
        <v>1650</v>
      </c>
      <c r="O207" s="30">
        <v>250</v>
      </c>
      <c r="P207" s="30">
        <v>12</v>
      </c>
    </row>
    <row r="208" spans="1:16" ht="17.100000000000001" customHeight="1" x14ac:dyDescent="0.25">
      <c r="A208" s="345"/>
      <c r="B208" s="346"/>
      <c r="C208" s="233"/>
      <c r="D208" s="221"/>
      <c r="E208" s="230"/>
      <c r="F208" s="230"/>
      <c r="G208" s="230"/>
      <c r="H208" s="230"/>
      <c r="I208" s="230"/>
      <c r="J208" s="230"/>
      <c r="K208" s="230"/>
      <c r="L208" s="230"/>
      <c r="M208" s="230"/>
      <c r="N208" s="230"/>
      <c r="O208" s="230"/>
      <c r="P208" s="230"/>
    </row>
    <row r="209" spans="1:16" ht="17.100000000000001" customHeight="1" x14ac:dyDescent="0.25">
      <c r="A209" s="345" t="s">
        <v>236</v>
      </c>
      <c r="B209" s="346"/>
      <c r="C209" s="233"/>
      <c r="D209" s="221"/>
      <c r="E209" s="31">
        <f>E205/E207</f>
        <v>0.65959193651623182</v>
      </c>
      <c r="F209" s="31">
        <f t="shared" ref="F209:P209" si="72">F205/F207</f>
        <v>0.61916744624527653</v>
      </c>
      <c r="G209" s="31">
        <f t="shared" si="72"/>
        <v>0.59492341622295808</v>
      </c>
      <c r="H209" s="31">
        <f t="shared" si="72"/>
        <v>0.61737121211325729</v>
      </c>
      <c r="I209" s="31">
        <f t="shared" si="72"/>
        <v>0.62847981244125362</v>
      </c>
      <c r="J209" s="31">
        <f t="shared" si="72"/>
        <v>0.98395858670786207</v>
      </c>
      <c r="K209" s="31">
        <f t="shared" si="72"/>
        <v>3.0975285714285716</v>
      </c>
      <c r="L209" s="31">
        <f t="shared" si="72"/>
        <v>0.82336827936808477</v>
      </c>
      <c r="M209" s="31">
        <f t="shared" si="72"/>
        <v>0.59139219893094042</v>
      </c>
      <c r="N209" s="31">
        <f t="shared" si="72"/>
        <v>0.55585069413755872</v>
      </c>
      <c r="O209" s="31">
        <f t="shared" si="72"/>
        <v>0.97380595029080708</v>
      </c>
      <c r="P209" s="31">
        <f t="shared" si="72"/>
        <v>1.5937951219705895</v>
      </c>
    </row>
  </sheetData>
  <mergeCells count="53">
    <mergeCell ref="A1:P1"/>
    <mergeCell ref="A2:H2"/>
    <mergeCell ref="A3:A4"/>
    <mergeCell ref="B3:B4"/>
    <mergeCell ref="C3:C4"/>
    <mergeCell ref="D3:D4"/>
    <mergeCell ref="E3:G3"/>
    <mergeCell ref="H3:H4"/>
    <mergeCell ref="A61:P61"/>
    <mergeCell ref="I3:L3"/>
    <mergeCell ref="M3:P3"/>
    <mergeCell ref="A5:P5"/>
    <mergeCell ref="A13:P13"/>
    <mergeCell ref="A22:B22"/>
    <mergeCell ref="A23:P23"/>
    <mergeCell ref="A31:P31"/>
    <mergeCell ref="A41:B41"/>
    <mergeCell ref="A42:P42"/>
    <mergeCell ref="A51:P51"/>
    <mergeCell ref="A60:B60"/>
    <mergeCell ref="A135:P135"/>
    <mergeCell ref="A69:P69"/>
    <mergeCell ref="A78:B78"/>
    <mergeCell ref="A79:P79"/>
    <mergeCell ref="A87:P87"/>
    <mergeCell ref="A96:B96"/>
    <mergeCell ref="A97:P97"/>
    <mergeCell ref="A106:P106"/>
    <mergeCell ref="A115:B115"/>
    <mergeCell ref="A116:P116"/>
    <mergeCell ref="A125:P125"/>
    <mergeCell ref="A134:B134"/>
    <mergeCell ref="A200:B200"/>
    <mergeCell ref="A145:P145"/>
    <mergeCell ref="A155:B155"/>
    <mergeCell ref="A156:P156"/>
    <mergeCell ref="A163:P163"/>
    <mergeCell ref="A172:B172"/>
    <mergeCell ref="A173:P173"/>
    <mergeCell ref="B183:P183"/>
    <mergeCell ref="A196:B196"/>
    <mergeCell ref="A197:B197"/>
    <mergeCell ref="A198:B198"/>
    <mergeCell ref="A199:B199"/>
    <mergeCell ref="A207:B207"/>
    <mergeCell ref="A208:B208"/>
    <mergeCell ref="A209:B209"/>
    <mergeCell ref="A201:B201"/>
    <mergeCell ref="A202:B202"/>
    <mergeCell ref="A203:B203"/>
    <mergeCell ref="A204:B204"/>
    <mergeCell ref="A205:B205"/>
    <mergeCell ref="A206:B206"/>
  </mergeCells>
  <pageMargins left="0.70866141732283472" right="0.70866141732283472" top="0.39370078740157483" bottom="0.39370078740157483" header="0" footer="0"/>
  <pageSetup paperSize="9" scale="62" orientation="landscape" r:id="rId1"/>
  <rowBreaks count="7" manualBreakCount="7">
    <brk id="28" max="16383" man="1"/>
    <brk id="60" max="15" man="1"/>
    <brk id="81" max="16383" man="1"/>
    <brk id="108" max="16383" man="1"/>
    <brk id="135" max="16383" man="1"/>
    <brk id="162" max="16383" man="1"/>
    <brk id="193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P67"/>
  <sheetViews>
    <sheetView workbookViewId="0">
      <selection activeCell="C29" sqref="C29"/>
    </sheetView>
  </sheetViews>
  <sheetFormatPr defaultColWidth="9.109375" defaultRowHeight="10.199999999999999" x14ac:dyDescent="0.2"/>
  <cols>
    <col min="1" max="1" width="9.109375" style="36"/>
    <col min="2" max="2" width="12.33203125" style="36" customWidth="1"/>
    <col min="3" max="3" width="7.6640625" style="36" customWidth="1"/>
    <col min="4" max="4" width="7.109375" style="36" customWidth="1"/>
    <col min="5" max="5" width="7.33203125" style="36" customWidth="1"/>
    <col min="6" max="6" width="6.88671875" style="36" customWidth="1"/>
    <col min="7" max="7" width="7.88671875" style="36" customWidth="1"/>
    <col min="8" max="8" width="9.109375" style="36"/>
    <col min="9" max="12" width="9.44140625" style="36" bestFit="1" customWidth="1"/>
    <col min="13" max="13" width="9.109375" style="36"/>
    <col min="14" max="15" width="9.44140625" style="36" bestFit="1" customWidth="1"/>
    <col min="16" max="16" width="10.33203125" style="36" customWidth="1"/>
    <col min="17" max="16384" width="9.109375" style="36"/>
  </cols>
  <sheetData>
    <row r="1" spans="1:16" ht="13.2" x14ac:dyDescent="0.25">
      <c r="O1" s="37"/>
      <c r="P1" s="38" t="s">
        <v>264</v>
      </c>
    </row>
    <row r="2" spans="1:16" ht="32.25" customHeight="1" x14ac:dyDescent="0.2">
      <c r="A2" s="378" t="s">
        <v>287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</row>
    <row r="3" spans="1:16" x14ac:dyDescent="0.2">
      <c r="A3" s="33" t="s">
        <v>246</v>
      </c>
    </row>
    <row r="4" spans="1:16" ht="8.25" customHeight="1" x14ac:dyDescent="0.2">
      <c r="A4" s="33"/>
    </row>
    <row r="5" spans="1:16" s="34" customFormat="1" ht="11.4" x14ac:dyDescent="0.2">
      <c r="A5" s="379" t="s">
        <v>329</v>
      </c>
      <c r="B5" s="380"/>
      <c r="C5" s="46"/>
      <c r="D5" s="137">
        <v>94</v>
      </c>
      <c r="E5" s="137">
        <v>68</v>
      </c>
      <c r="F5" s="137">
        <v>264</v>
      </c>
      <c r="G5" s="137">
        <v>2046</v>
      </c>
    </row>
    <row r="6" spans="1:16" s="34" customFormat="1" ht="10.8" x14ac:dyDescent="0.25">
      <c r="A6" s="368" t="s">
        <v>265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</row>
    <row r="7" spans="1:16" s="34" customFormat="1" ht="12.75" customHeight="1" x14ac:dyDescent="0.2">
      <c r="A7" s="370" t="s">
        <v>32</v>
      </c>
      <c r="B7" s="370"/>
      <c r="C7" s="44"/>
      <c r="D7" s="372" t="s">
        <v>1</v>
      </c>
      <c r="E7" s="372"/>
      <c r="F7" s="372"/>
      <c r="G7" s="370" t="s">
        <v>31</v>
      </c>
      <c r="I7" s="373" t="s">
        <v>266</v>
      </c>
      <c r="J7" s="374"/>
      <c r="K7" s="374"/>
      <c r="L7" s="375"/>
      <c r="N7" s="373" t="s">
        <v>267</v>
      </c>
      <c r="O7" s="374"/>
      <c r="P7" s="374"/>
    </row>
    <row r="8" spans="1:16" s="34" customFormat="1" ht="18.75" customHeight="1" x14ac:dyDescent="0.2">
      <c r="A8" s="371"/>
      <c r="B8" s="371"/>
      <c r="C8" s="40" t="s">
        <v>55</v>
      </c>
      <c r="D8" s="39" t="s">
        <v>2</v>
      </c>
      <c r="E8" s="39" t="s">
        <v>3</v>
      </c>
      <c r="F8" s="39" t="s">
        <v>4</v>
      </c>
      <c r="G8" s="371"/>
      <c r="I8" s="40" t="str">
        <f>D8</f>
        <v>Б</v>
      </c>
      <c r="J8" s="40" t="str">
        <f>E8</f>
        <v>Ж</v>
      </c>
      <c r="K8" s="40" t="str">
        <f>F8</f>
        <v>У</v>
      </c>
      <c r="L8" s="40" t="s">
        <v>268</v>
      </c>
      <c r="N8" s="40" t="str">
        <f>I8</f>
        <v>Б</v>
      </c>
      <c r="O8" s="40" t="str">
        <f>J8</f>
        <v>Ж</v>
      </c>
      <c r="P8" s="40" t="str">
        <f>K8</f>
        <v>У</v>
      </c>
    </row>
    <row r="9" spans="1:16" s="34" customFormat="1" ht="10.8" x14ac:dyDescent="0.2">
      <c r="A9" s="366" t="s">
        <v>269</v>
      </c>
      <c r="B9" s="366"/>
      <c r="C9" s="45">
        <f>' МЕНЮ_ХЭХ '!D14</f>
        <v>4.8601666666666672</v>
      </c>
      <c r="D9" s="45">
        <f>' МЕНЮ_ХЭХ '!E14</f>
        <v>25.06</v>
      </c>
      <c r="E9" s="45">
        <f>' МЕНЮ_ХЭХ '!F14</f>
        <v>18.170999999999999</v>
      </c>
      <c r="F9" s="45">
        <f>' МЕНЮ_ХЭХ '!G14</f>
        <v>58.322000000000003</v>
      </c>
      <c r="G9" s="45">
        <f>' МЕНЮ_ХЭХ '!H14</f>
        <v>502.16500000000002</v>
      </c>
      <c r="I9" s="41">
        <f>D9/$D$5</f>
        <v>0.26659574468085107</v>
      </c>
      <c r="J9" s="41">
        <f>E9/$E$5</f>
        <v>0.2672205882352941</v>
      </c>
      <c r="K9" s="41">
        <f>F9/$F$5</f>
        <v>0.22091666666666668</v>
      </c>
      <c r="L9" s="41">
        <f>G9/$G$5</f>
        <v>0.24543743890518085</v>
      </c>
      <c r="N9" s="41">
        <f>4*D9/G9</f>
        <v>0.19961566417412602</v>
      </c>
      <c r="O9" s="41">
        <f>9*E9/G9</f>
        <v>0.3256678581741061</v>
      </c>
      <c r="P9" s="41">
        <f>4*F9/G9</f>
        <v>0.46456443599215397</v>
      </c>
    </row>
    <row r="10" spans="1:16" s="34" customFormat="1" ht="10.8" x14ac:dyDescent="0.2">
      <c r="A10" s="366" t="s">
        <v>270</v>
      </c>
      <c r="B10" s="366"/>
      <c r="C10" s="45">
        <f>' МЕНЮ_ХЭХ '!D43</f>
        <v>3.7504166666666667</v>
      </c>
      <c r="D10" s="45">
        <f>' МЕНЮ_ХЭХ '!E43</f>
        <v>27.248000000000005</v>
      </c>
      <c r="E10" s="45">
        <f>' МЕНЮ_ХЭХ '!F43</f>
        <v>17.858000000000001</v>
      </c>
      <c r="F10" s="45">
        <f>' МЕНЮ_ХЭХ '!G43</f>
        <v>45.005000000000003</v>
      </c>
      <c r="G10" s="45">
        <f>' МЕНЮ_ХЭХ '!H43</f>
        <v>456.90499999999997</v>
      </c>
      <c r="I10" s="41">
        <f t="shared" ref="I10:I19" si="0">D10/$D$5</f>
        <v>0.28987234042553195</v>
      </c>
      <c r="J10" s="41">
        <f t="shared" ref="J10:J19" si="1">E10/$E$5</f>
        <v>0.26261764705882351</v>
      </c>
      <c r="K10" s="41">
        <f t="shared" ref="K10:K19" si="2">F10/$F$5</f>
        <v>0.17047348484848485</v>
      </c>
      <c r="L10" s="41">
        <f t="shared" ref="L10:L19" si="3">G10/$G$5</f>
        <v>0.2233162267839687</v>
      </c>
      <c r="N10" s="41">
        <f t="shared" ref="N10:N18" si="4">4*D10/G10</f>
        <v>0.23854411748612955</v>
      </c>
      <c r="O10" s="41">
        <f t="shared" ref="O10:O18" si="5">9*E10/G10</f>
        <v>0.35176240137446518</v>
      </c>
      <c r="P10" s="41">
        <f t="shared" ref="P10:P18" si="6">4*F10/G10</f>
        <v>0.39399875247589766</v>
      </c>
    </row>
    <row r="11" spans="1:16" s="34" customFormat="1" ht="10.8" x14ac:dyDescent="0.2">
      <c r="A11" s="366" t="s">
        <v>271</v>
      </c>
      <c r="B11" s="366"/>
      <c r="C11" s="45">
        <f>' МЕНЮ_ХЭХ '!D74</f>
        <v>4.6648333333333332</v>
      </c>
      <c r="D11" s="45">
        <f>' МЕНЮ_ХЭХ '!E74</f>
        <v>24.04</v>
      </c>
      <c r="E11" s="45">
        <f>' МЕНЮ_ХЭХ '!F74</f>
        <v>25.271000000000001</v>
      </c>
      <c r="F11" s="45">
        <f>' МЕНЮ_ХЭХ '!G74</f>
        <v>55.977999999999994</v>
      </c>
      <c r="G11" s="45">
        <f>' МЕНЮ_ХЭХ '!H74</f>
        <v>545.23199999999997</v>
      </c>
      <c r="I11" s="41">
        <f t="shared" si="0"/>
        <v>0.25574468085106383</v>
      </c>
      <c r="J11" s="41">
        <f t="shared" si="1"/>
        <v>0.37163235294117647</v>
      </c>
      <c r="K11" s="41">
        <f t="shared" si="2"/>
        <v>0.21203787878787878</v>
      </c>
      <c r="L11" s="41">
        <f t="shared" si="3"/>
        <v>0.26648680351906157</v>
      </c>
      <c r="N11" s="41">
        <f t="shared" si="4"/>
        <v>0.17636529037180504</v>
      </c>
      <c r="O11" s="41">
        <f t="shared" si="5"/>
        <v>0.41714169381107497</v>
      </c>
      <c r="P11" s="41">
        <f t="shared" si="6"/>
        <v>0.4106728878715849</v>
      </c>
    </row>
    <row r="12" spans="1:16" s="34" customFormat="1" ht="10.8" x14ac:dyDescent="0.2">
      <c r="A12" s="366" t="s">
        <v>272</v>
      </c>
      <c r="B12" s="366"/>
      <c r="C12" s="45">
        <f>' МЕНЮ_ХЭХ '!D103</f>
        <v>4.459833333333334</v>
      </c>
      <c r="D12" s="45">
        <f>' МЕНЮ_ХЭХ '!E103</f>
        <v>23.398</v>
      </c>
      <c r="E12" s="45">
        <f>' МЕНЮ_ХЭХ '!F103</f>
        <v>17.095000000000002</v>
      </c>
      <c r="F12" s="45">
        <f>' МЕНЮ_ХЭХ '!G103</f>
        <v>53.518000000000008</v>
      </c>
      <c r="G12" s="45">
        <f>' МЕНЮ_ХЭХ '!H103</f>
        <v>465.13799999999998</v>
      </c>
      <c r="I12" s="41">
        <f t="shared" si="0"/>
        <v>0.24891489361702127</v>
      </c>
      <c r="J12" s="41">
        <f t="shared" si="1"/>
        <v>0.25139705882352947</v>
      </c>
      <c r="K12" s="41">
        <f t="shared" si="2"/>
        <v>0.20271969696969699</v>
      </c>
      <c r="L12" s="41">
        <f t="shared" si="3"/>
        <v>0.22734017595307918</v>
      </c>
      <c r="N12" s="41">
        <f t="shared" si="4"/>
        <v>0.20121340333406432</v>
      </c>
      <c r="O12" s="41">
        <f t="shared" si="5"/>
        <v>0.33077280291010414</v>
      </c>
      <c r="P12" s="41">
        <f t="shared" si="6"/>
        <v>0.46023330710455829</v>
      </c>
    </row>
    <row r="13" spans="1:16" s="34" customFormat="1" ht="10.8" x14ac:dyDescent="0.2">
      <c r="A13" s="366" t="s">
        <v>273</v>
      </c>
      <c r="B13" s="366"/>
      <c r="C13" s="45">
        <f>' МЕНЮ_ХЭХ '!D132</f>
        <v>3.5522499999999995</v>
      </c>
      <c r="D13" s="45">
        <f>' МЕНЮ_ХЭХ '!E132</f>
        <v>20.668000000000003</v>
      </c>
      <c r="E13" s="45">
        <f>' МЕНЮ_ХЭХ '!F132</f>
        <v>9.0300000000000011</v>
      </c>
      <c r="F13" s="45">
        <f>' МЕНЮ_ХЭХ '!G132</f>
        <v>42.626999999999995</v>
      </c>
      <c r="G13" s="45">
        <f>' МЕНЮ_ХЭХ '!H132</f>
        <v>337.58100000000002</v>
      </c>
      <c r="I13" s="41">
        <f t="shared" si="0"/>
        <v>0.21987234042553194</v>
      </c>
      <c r="J13" s="41">
        <f t="shared" si="1"/>
        <v>0.13279411764705884</v>
      </c>
      <c r="K13" s="41">
        <f t="shared" si="2"/>
        <v>0.16146590909090908</v>
      </c>
      <c r="L13" s="41">
        <f t="shared" si="3"/>
        <v>0.16499560117302053</v>
      </c>
      <c r="N13" s="41">
        <f t="shared" si="4"/>
        <v>0.24489529920226555</v>
      </c>
      <c r="O13" s="41">
        <f t="shared" si="5"/>
        <v>0.24074222186675201</v>
      </c>
      <c r="P13" s="41">
        <f t="shared" si="6"/>
        <v>0.50508766784860515</v>
      </c>
    </row>
    <row r="14" spans="1:16" s="34" customFormat="1" ht="10.8" x14ac:dyDescent="0.2">
      <c r="A14" s="366" t="s">
        <v>274</v>
      </c>
      <c r="B14" s="366"/>
      <c r="C14" s="45">
        <f>' МЕНЮ_ХЭХ '!D162</f>
        <v>5.14825</v>
      </c>
      <c r="D14" s="45">
        <f>' МЕНЮ_ХЭХ '!E162</f>
        <v>21.823</v>
      </c>
      <c r="E14" s="45">
        <f>' МЕНЮ_ХЭХ '!F162</f>
        <v>14.314</v>
      </c>
      <c r="F14" s="45">
        <f>' МЕНЮ_ХЭХ '!G162</f>
        <v>61.779000000000003</v>
      </c>
      <c r="G14" s="45">
        <f>' МЕНЮ_ХЭХ '!H162</f>
        <v>469.57799999999997</v>
      </c>
      <c r="I14" s="41">
        <f t="shared" si="0"/>
        <v>0.23215957446808511</v>
      </c>
      <c r="J14" s="41">
        <f t="shared" si="1"/>
        <v>0.21049999999999999</v>
      </c>
      <c r="K14" s="41">
        <f t="shared" si="2"/>
        <v>0.23401136363636366</v>
      </c>
      <c r="L14" s="41">
        <f t="shared" si="3"/>
        <v>0.22951026392961876</v>
      </c>
      <c r="N14" s="41">
        <f t="shared" si="4"/>
        <v>0.18589456916635788</v>
      </c>
      <c r="O14" s="41">
        <f t="shared" si="5"/>
        <v>0.27434419840793223</v>
      </c>
      <c r="P14" s="41">
        <f t="shared" si="6"/>
        <v>0.52625122982763251</v>
      </c>
    </row>
    <row r="15" spans="1:16" s="34" customFormat="1" ht="10.8" x14ac:dyDescent="0.2">
      <c r="A15" s="366" t="s">
        <v>275</v>
      </c>
      <c r="B15" s="366"/>
      <c r="C15" s="45">
        <f>' МЕНЮ_ХЭХ '!D192</f>
        <v>5.7164999999999999</v>
      </c>
      <c r="D15" s="45">
        <f>' МЕНЮ_ХЭХ '!E192</f>
        <v>21.167000000000002</v>
      </c>
      <c r="E15" s="45">
        <f>' МЕНЮ_ХЭХ '!F192</f>
        <v>18.375</v>
      </c>
      <c r="F15" s="45">
        <f>' МЕНЮ_ХЭХ '!G192</f>
        <v>68.597999999999999</v>
      </c>
      <c r="G15" s="45">
        <f>' МЕНЮ_ХЭХ '!H192</f>
        <v>530.91999999999996</v>
      </c>
      <c r="I15" s="41">
        <f t="shared" si="0"/>
        <v>0.22518085106382982</v>
      </c>
      <c r="J15" s="41">
        <f t="shared" si="1"/>
        <v>0.2702205882352941</v>
      </c>
      <c r="K15" s="41">
        <f t="shared" si="2"/>
        <v>0.25984090909090907</v>
      </c>
      <c r="L15" s="41">
        <f t="shared" si="3"/>
        <v>0.2594916911045943</v>
      </c>
      <c r="N15" s="41">
        <f t="shared" si="4"/>
        <v>0.15947412039478642</v>
      </c>
      <c r="O15" s="41">
        <f>9*E15/G15</f>
        <v>0.31148760641904621</v>
      </c>
      <c r="P15" s="41">
        <f t="shared" si="6"/>
        <v>0.51682362691177586</v>
      </c>
    </row>
    <row r="16" spans="1:16" s="34" customFormat="1" ht="10.8" x14ac:dyDescent="0.2">
      <c r="A16" s="366" t="s">
        <v>276</v>
      </c>
      <c r="B16" s="366"/>
      <c r="C16" s="45">
        <f>' МЕНЮ_ХЭХ '!D223</f>
        <v>4.4147499999999997</v>
      </c>
      <c r="D16" s="45">
        <f>' МЕНЮ_ХЭХ '!E223</f>
        <v>18.711000000000002</v>
      </c>
      <c r="E16" s="45">
        <f>' МЕНЮ_ХЭХ '!F223</f>
        <v>18.093</v>
      </c>
      <c r="F16" s="45">
        <f>' МЕНЮ_ХЭХ '!G223</f>
        <v>52.976999999999997</v>
      </c>
      <c r="G16" s="45">
        <f>' МЕНЮ_ХЭХ '!H223</f>
        <v>451.94799999999998</v>
      </c>
      <c r="I16" s="41">
        <f t="shared" si="0"/>
        <v>0.19905319148936174</v>
      </c>
      <c r="J16" s="41">
        <f t="shared" si="1"/>
        <v>0.26607352941176471</v>
      </c>
      <c r="K16" s="41">
        <f t="shared" si="2"/>
        <v>0.20067045454545454</v>
      </c>
      <c r="L16" s="41">
        <f t="shared" si="3"/>
        <v>0.2208934506353861</v>
      </c>
      <c r="N16" s="41">
        <f t="shared" si="4"/>
        <v>0.16560312248311757</v>
      </c>
      <c r="O16" s="41">
        <f t="shared" si="5"/>
        <v>0.36030030003451724</v>
      </c>
      <c r="P16" s="41">
        <f t="shared" si="6"/>
        <v>0.46887695044562649</v>
      </c>
    </row>
    <row r="17" spans="1:16" s="34" customFormat="1" ht="10.8" x14ac:dyDescent="0.2">
      <c r="A17" s="366" t="s">
        <v>277</v>
      </c>
      <c r="B17" s="366"/>
      <c r="C17" s="45">
        <f>' МЕНЮ_ХЭХ '!D253</f>
        <v>3.863583333333334</v>
      </c>
      <c r="D17" s="45">
        <f>' МЕНЮ_ХЭХ '!E253</f>
        <v>43.723999999999997</v>
      </c>
      <c r="E17" s="45">
        <f>' МЕНЮ_ХЭХ '!F253</f>
        <v>18.591000000000001</v>
      </c>
      <c r="F17" s="45">
        <f>' МЕНЮ_ХЭХ '!G253</f>
        <v>46.363000000000007</v>
      </c>
      <c r="G17" s="45">
        <f>' МЕНЮ_ХЭХ '!H253</f>
        <v>540.20799999999997</v>
      </c>
      <c r="I17" s="41">
        <f t="shared" si="0"/>
        <v>0.46514893617021275</v>
      </c>
      <c r="J17" s="41">
        <f t="shared" si="1"/>
        <v>0.27339705882352944</v>
      </c>
      <c r="K17" s="41">
        <f t="shared" si="2"/>
        <v>0.17561742424242427</v>
      </c>
      <c r="L17" s="41">
        <f t="shared" si="3"/>
        <v>0.26403128054740954</v>
      </c>
      <c r="N17" s="41">
        <f t="shared" si="4"/>
        <v>0.32375677516808338</v>
      </c>
      <c r="O17" s="41">
        <f t="shared" si="5"/>
        <v>0.30973069632437883</v>
      </c>
      <c r="P17" s="41">
        <f t="shared" si="6"/>
        <v>0.34329739655836278</v>
      </c>
    </row>
    <row r="18" spans="1:16" s="34" customFormat="1" ht="10.8" x14ac:dyDescent="0.2">
      <c r="A18" s="366" t="s">
        <v>278</v>
      </c>
      <c r="B18" s="366"/>
      <c r="C18" s="45">
        <f>' МЕНЮ_ХЭХ '!D284</f>
        <v>3.9559166666666665</v>
      </c>
      <c r="D18" s="45">
        <f>' МЕНЮ_ХЭХ '!E284</f>
        <v>22.562000000000001</v>
      </c>
      <c r="E18" s="45">
        <f>' МЕНЮ_ХЭХ '!F284</f>
        <v>21.177</v>
      </c>
      <c r="F18" s="45">
        <f>' МЕНЮ_ХЭХ '!G284</f>
        <v>47.470999999999997</v>
      </c>
      <c r="G18" s="45">
        <f>' МЕНЮ_ХЭХ '!H284</f>
        <v>473.11699999999996</v>
      </c>
      <c r="I18" s="41">
        <f t="shared" si="0"/>
        <v>0.24002127659574468</v>
      </c>
      <c r="J18" s="41">
        <f t="shared" si="1"/>
        <v>0.3114264705882353</v>
      </c>
      <c r="K18" s="41">
        <f t="shared" si="2"/>
        <v>0.17981439393939391</v>
      </c>
      <c r="L18" s="41">
        <f t="shared" si="3"/>
        <v>0.23123998044965785</v>
      </c>
      <c r="N18" s="41">
        <f t="shared" si="4"/>
        <v>0.19075197044282918</v>
      </c>
      <c r="O18" s="41">
        <f t="shared" si="5"/>
        <v>0.40284538496820027</v>
      </c>
      <c r="P18" s="41">
        <f t="shared" si="6"/>
        <v>0.40134681273342537</v>
      </c>
    </row>
    <row r="19" spans="1:16" s="34" customFormat="1" ht="10.8" x14ac:dyDescent="0.2">
      <c r="A19" s="366" t="s">
        <v>279</v>
      </c>
      <c r="B19" s="366"/>
      <c r="C19" s="45">
        <f>AVERAGE(C9:C18)</f>
        <v>4.43865</v>
      </c>
      <c r="D19" s="45">
        <f t="shared" ref="D19:G19" si="7">AVERAGE(D9:D18)</f>
        <v>24.840100000000003</v>
      </c>
      <c r="E19" s="45">
        <f t="shared" si="7"/>
        <v>17.797499999999999</v>
      </c>
      <c r="F19" s="45">
        <f t="shared" si="7"/>
        <v>53.263799999999989</v>
      </c>
      <c r="G19" s="45">
        <f t="shared" si="7"/>
        <v>477.27919999999995</v>
      </c>
      <c r="I19" s="42">
        <f t="shared" si="0"/>
        <v>0.26425638297872345</v>
      </c>
      <c r="J19" s="42">
        <f t="shared" si="1"/>
        <v>0.26172794117647058</v>
      </c>
      <c r="K19" s="42">
        <f t="shared" si="2"/>
        <v>0.20175681818181815</v>
      </c>
      <c r="L19" s="42">
        <f t="shared" si="3"/>
        <v>0.23327429130009772</v>
      </c>
      <c r="M19" s="43"/>
      <c r="N19" s="41">
        <f>AVERAGE(N9:N18)</f>
        <v>0.20861143322235648</v>
      </c>
      <c r="O19" s="41">
        <f>AVERAGE(O9:O18)</f>
        <v>0.33247951642905771</v>
      </c>
      <c r="P19" s="41">
        <f>AVERAGE(P9:P18)</f>
        <v>0.44911530677696232</v>
      </c>
    </row>
    <row r="20" spans="1:16" s="34" customFormat="1" x14ac:dyDescent="0.2"/>
    <row r="21" spans="1:16" s="34" customFormat="1" ht="10.8" x14ac:dyDescent="0.25">
      <c r="A21" s="368" t="s">
        <v>249</v>
      </c>
      <c r="B21" s="368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</row>
    <row r="22" spans="1:16" s="34" customFormat="1" x14ac:dyDescent="0.2">
      <c r="A22" s="370" t="s">
        <v>32</v>
      </c>
      <c r="B22" s="370"/>
      <c r="C22" s="376" t="s">
        <v>55</v>
      </c>
      <c r="D22" s="372" t="s">
        <v>1</v>
      </c>
      <c r="E22" s="372"/>
      <c r="F22" s="372"/>
      <c r="G22" s="370" t="s">
        <v>31</v>
      </c>
      <c r="I22" s="373" t="s">
        <v>266</v>
      </c>
      <c r="J22" s="374"/>
      <c r="K22" s="374"/>
      <c r="L22" s="375"/>
      <c r="N22" s="373" t="s">
        <v>267</v>
      </c>
      <c r="O22" s="374"/>
      <c r="P22" s="374"/>
    </row>
    <row r="23" spans="1:16" s="34" customFormat="1" x14ac:dyDescent="0.2">
      <c r="A23" s="371"/>
      <c r="B23" s="371"/>
      <c r="C23" s="377"/>
      <c r="D23" s="39" t="s">
        <v>2</v>
      </c>
      <c r="E23" s="39" t="s">
        <v>3</v>
      </c>
      <c r="F23" s="39" t="s">
        <v>4</v>
      </c>
      <c r="G23" s="371"/>
      <c r="I23" s="40" t="str">
        <f>D23</f>
        <v>Б</v>
      </c>
      <c r="J23" s="40" t="str">
        <f>E23</f>
        <v>Ж</v>
      </c>
      <c r="K23" s="40" t="str">
        <f>F23</f>
        <v>У</v>
      </c>
      <c r="L23" s="40" t="s">
        <v>268</v>
      </c>
      <c r="N23" s="40" t="str">
        <f>I23</f>
        <v>Б</v>
      </c>
      <c r="O23" s="40" t="str">
        <f>J23</f>
        <v>Ж</v>
      </c>
      <c r="P23" s="40" t="str">
        <f>K23</f>
        <v>У</v>
      </c>
    </row>
    <row r="24" spans="1:16" s="34" customFormat="1" ht="10.8" x14ac:dyDescent="0.2">
      <c r="A24" s="366" t="s">
        <v>269</v>
      </c>
      <c r="B24" s="366"/>
      <c r="C24" s="45">
        <f>' МЕНЮ_ХЭХ '!D19</f>
        <v>2.0252500000000002</v>
      </c>
      <c r="D24" s="45">
        <f>' МЕНЮ_ХЭХ '!E19</f>
        <v>6.5360000000000005</v>
      </c>
      <c r="E24" s="45">
        <f>' МЕНЮ_ХЭХ '!F19</f>
        <v>6.0919999999999996</v>
      </c>
      <c r="F24" s="45">
        <f>' МЕНЮ_ХЭХ '!G19</f>
        <v>24.303000000000001</v>
      </c>
      <c r="G24" s="45">
        <f>' МЕНЮ_ХЭХ '!H19</f>
        <v>186.76400000000001</v>
      </c>
      <c r="I24" s="41">
        <f>D24/$D$5</f>
        <v>6.9531914893617028E-2</v>
      </c>
      <c r="J24" s="41">
        <f>E24/$E$5</f>
        <v>8.9588235294117635E-2</v>
      </c>
      <c r="K24" s="41">
        <f>F24/$F$5</f>
        <v>9.2056818181818184E-2</v>
      </c>
      <c r="L24" s="41">
        <f>G24/$G$5</f>
        <v>9.1282502443792768E-2</v>
      </c>
      <c r="N24" s="41">
        <f>4*D24/G24</f>
        <v>0.13998415112120108</v>
      </c>
      <c r="O24" s="41">
        <f>9*E24/G24</f>
        <v>0.29356835364417122</v>
      </c>
      <c r="P24" s="41">
        <f>4*F24/G24</f>
        <v>0.52050716412156517</v>
      </c>
    </row>
    <row r="25" spans="1:16" s="34" customFormat="1" ht="10.8" x14ac:dyDescent="0.2">
      <c r="A25" s="366" t="s">
        <v>270</v>
      </c>
      <c r="B25" s="366"/>
      <c r="C25" s="45">
        <f>' МЕНЮ_ХЭХ '!D48</f>
        <v>2.3127499999999999</v>
      </c>
      <c r="D25" s="45">
        <f>' МЕНЮ_ХЭХ '!E48</f>
        <v>5.9359999999999999</v>
      </c>
      <c r="E25" s="45">
        <f>' МЕНЮ_ХЭХ '!F48</f>
        <v>6.3919999999999995</v>
      </c>
      <c r="F25" s="45">
        <f>' МЕНЮ_ХЭХ '!G48</f>
        <v>27.753</v>
      </c>
      <c r="G25" s="45">
        <f>' МЕНЮ_ХЭХ '!H48</f>
        <v>200.26400000000001</v>
      </c>
      <c r="I25" s="41">
        <f t="shared" ref="I25:I33" si="8">D25/$D$5</f>
        <v>6.3148936170212763E-2</v>
      </c>
      <c r="J25" s="41">
        <f t="shared" ref="J25:J33" si="9">E25/$E$5</f>
        <v>9.3999999999999986E-2</v>
      </c>
      <c r="K25" s="41">
        <f t="shared" ref="K25:K33" si="10">F25/$F$5</f>
        <v>0.105125</v>
      </c>
      <c r="L25" s="41">
        <f t="shared" ref="L25:L33" si="11">G25/$G$5</f>
        <v>9.7880742913000987E-2</v>
      </c>
      <c r="N25" s="41">
        <f t="shared" ref="N25:N33" si="12">4*D25/G25</f>
        <v>0.11856349618503574</v>
      </c>
      <c r="O25" s="41">
        <f t="shared" ref="O25:O33" si="13">9*E25/G25</f>
        <v>0.28726081572324524</v>
      </c>
      <c r="P25" s="41">
        <f t="shared" ref="P25:P33" si="14">4*F25/G25</f>
        <v>0.55432828666160661</v>
      </c>
    </row>
    <row r="26" spans="1:16" s="34" customFormat="1" ht="10.8" x14ac:dyDescent="0.2">
      <c r="A26" s="366" t="s">
        <v>271</v>
      </c>
      <c r="B26" s="366"/>
      <c r="C26" s="45">
        <f>' МЕНЮ_ХЭХ '!D79</f>
        <v>2.0252500000000002</v>
      </c>
      <c r="D26" s="45">
        <f>' МЕНЮ_ХЭХ '!E79</f>
        <v>6.5360000000000005</v>
      </c>
      <c r="E26" s="45">
        <f>' МЕНЮ_ХЭХ '!F79</f>
        <v>6.0919999999999996</v>
      </c>
      <c r="F26" s="45">
        <f>' МЕНЮ_ХЭХ '!G79</f>
        <v>24.303000000000001</v>
      </c>
      <c r="G26" s="45">
        <f>' МЕНЮ_ХЭХ '!H79</f>
        <v>186.76400000000001</v>
      </c>
      <c r="I26" s="41">
        <f t="shared" si="8"/>
        <v>6.9531914893617028E-2</v>
      </c>
      <c r="J26" s="41">
        <f t="shared" si="9"/>
        <v>8.9588235294117635E-2</v>
      </c>
      <c r="K26" s="41">
        <f t="shared" si="10"/>
        <v>9.2056818181818184E-2</v>
      </c>
      <c r="L26" s="41">
        <f t="shared" si="11"/>
        <v>9.1282502443792768E-2</v>
      </c>
      <c r="N26" s="41">
        <f t="shared" si="12"/>
        <v>0.13998415112120108</v>
      </c>
      <c r="O26" s="41">
        <f t="shared" si="13"/>
        <v>0.29356835364417122</v>
      </c>
      <c r="P26" s="41">
        <f t="shared" si="14"/>
        <v>0.52050716412156517</v>
      </c>
    </row>
    <row r="27" spans="1:16" s="34" customFormat="1" ht="10.8" x14ac:dyDescent="0.2">
      <c r="A27" s="366" t="s">
        <v>272</v>
      </c>
      <c r="B27" s="366"/>
      <c r="C27" s="45">
        <f>' МЕНЮ_ХЭХ '!D108</f>
        <v>2.3127499999999999</v>
      </c>
      <c r="D27" s="45">
        <f>' МЕНЮ_ХЭХ '!E108</f>
        <v>5.9359999999999999</v>
      </c>
      <c r="E27" s="45">
        <f>' МЕНЮ_ХЭХ '!F108</f>
        <v>6.3919999999999995</v>
      </c>
      <c r="F27" s="45">
        <f>' МЕНЮ_ХЭХ '!G108</f>
        <v>27.753</v>
      </c>
      <c r="G27" s="45">
        <f>' МЕНЮ_ХЭХ '!H108</f>
        <v>200.26400000000001</v>
      </c>
      <c r="I27" s="41">
        <f t="shared" si="8"/>
        <v>6.3148936170212763E-2</v>
      </c>
      <c r="J27" s="41">
        <f t="shared" si="9"/>
        <v>9.3999999999999986E-2</v>
      </c>
      <c r="K27" s="41">
        <f t="shared" si="10"/>
        <v>0.105125</v>
      </c>
      <c r="L27" s="41">
        <f t="shared" si="11"/>
        <v>9.7880742913000987E-2</v>
      </c>
      <c r="N27" s="41">
        <f t="shared" si="12"/>
        <v>0.11856349618503574</v>
      </c>
      <c r="O27" s="41">
        <f t="shared" si="13"/>
        <v>0.28726081572324524</v>
      </c>
      <c r="P27" s="41">
        <f t="shared" si="14"/>
        <v>0.55432828666160661</v>
      </c>
    </row>
    <row r="28" spans="1:16" s="34" customFormat="1" ht="10.8" x14ac:dyDescent="0.2">
      <c r="A28" s="366" t="s">
        <v>273</v>
      </c>
      <c r="B28" s="366"/>
      <c r="C28" s="45">
        <f>' МЕНЮ_ХЭХ '!D137</f>
        <v>2.0252500000000002</v>
      </c>
      <c r="D28" s="45">
        <f>' МЕНЮ_ХЭХ '!E137</f>
        <v>6.5360000000000005</v>
      </c>
      <c r="E28" s="45">
        <f>' МЕНЮ_ХЭХ '!F137</f>
        <v>6.0919999999999996</v>
      </c>
      <c r="F28" s="45">
        <f>' МЕНЮ_ХЭХ '!G137</f>
        <v>24.303000000000001</v>
      </c>
      <c r="G28" s="45">
        <f>' МЕНЮ_ХЭХ '!H137</f>
        <v>186.76400000000001</v>
      </c>
      <c r="I28" s="41">
        <f t="shared" si="8"/>
        <v>6.9531914893617028E-2</v>
      </c>
      <c r="J28" s="41">
        <f t="shared" si="9"/>
        <v>8.9588235294117635E-2</v>
      </c>
      <c r="K28" s="41">
        <f t="shared" si="10"/>
        <v>9.2056818181818184E-2</v>
      </c>
      <c r="L28" s="41">
        <f t="shared" si="11"/>
        <v>9.1282502443792768E-2</v>
      </c>
      <c r="N28" s="41">
        <f t="shared" si="12"/>
        <v>0.13998415112120108</v>
      </c>
      <c r="O28" s="41">
        <f t="shared" si="13"/>
        <v>0.29356835364417122</v>
      </c>
      <c r="P28" s="41">
        <f t="shared" si="14"/>
        <v>0.52050716412156517</v>
      </c>
    </row>
    <row r="29" spans="1:16" s="34" customFormat="1" ht="10.8" x14ac:dyDescent="0.2">
      <c r="A29" s="366" t="s">
        <v>274</v>
      </c>
      <c r="B29" s="366"/>
      <c r="C29" s="45">
        <f>' МЕНЮ_ХЭХ '!D167</f>
        <v>2.0252500000000002</v>
      </c>
      <c r="D29" s="45">
        <f>' МЕНЮ_ХЭХ '!E167</f>
        <v>6.5360000000000005</v>
      </c>
      <c r="E29" s="45">
        <f>' МЕНЮ_ХЭХ '!F167</f>
        <v>6.0919999999999996</v>
      </c>
      <c r="F29" s="45">
        <f>' МЕНЮ_ХЭХ '!G167</f>
        <v>24.303000000000001</v>
      </c>
      <c r="G29" s="45">
        <f>' МЕНЮ_ХЭХ '!H167</f>
        <v>186.76400000000001</v>
      </c>
      <c r="I29" s="41">
        <f t="shared" si="8"/>
        <v>6.9531914893617028E-2</v>
      </c>
      <c r="J29" s="41">
        <f t="shared" si="9"/>
        <v>8.9588235294117635E-2</v>
      </c>
      <c r="K29" s="41">
        <f t="shared" si="10"/>
        <v>9.2056818181818184E-2</v>
      </c>
      <c r="L29" s="41">
        <f t="shared" si="11"/>
        <v>9.1282502443792768E-2</v>
      </c>
      <c r="N29" s="41">
        <f t="shared" si="12"/>
        <v>0.13998415112120108</v>
      </c>
      <c r="O29" s="41">
        <f t="shared" si="13"/>
        <v>0.29356835364417122</v>
      </c>
      <c r="P29" s="41">
        <f t="shared" si="14"/>
        <v>0.52050716412156517</v>
      </c>
    </row>
    <row r="30" spans="1:16" s="34" customFormat="1" ht="10.8" x14ac:dyDescent="0.2">
      <c r="A30" s="366" t="s">
        <v>275</v>
      </c>
      <c r="B30" s="366"/>
      <c r="C30" s="45">
        <f>' МЕНЮ_ХЭХ '!D197</f>
        <v>2.3127499999999999</v>
      </c>
      <c r="D30" s="45">
        <f>' МЕНЮ_ХЭХ '!E197</f>
        <v>5.9359999999999999</v>
      </c>
      <c r="E30" s="45">
        <f>' МЕНЮ_ХЭХ '!F197</f>
        <v>6.3919999999999995</v>
      </c>
      <c r="F30" s="45">
        <f>' МЕНЮ_ХЭХ '!G197</f>
        <v>27.753</v>
      </c>
      <c r="G30" s="45">
        <f>' МЕНЮ_ХЭХ '!H197</f>
        <v>200.26400000000001</v>
      </c>
      <c r="I30" s="41">
        <f t="shared" si="8"/>
        <v>6.3148936170212763E-2</v>
      </c>
      <c r="J30" s="41">
        <f t="shared" si="9"/>
        <v>9.3999999999999986E-2</v>
      </c>
      <c r="K30" s="41">
        <f t="shared" si="10"/>
        <v>0.105125</v>
      </c>
      <c r="L30" s="41">
        <f t="shared" si="11"/>
        <v>9.7880742913000987E-2</v>
      </c>
      <c r="N30" s="41">
        <f t="shared" si="12"/>
        <v>0.11856349618503574</v>
      </c>
      <c r="O30" s="41">
        <f t="shared" si="13"/>
        <v>0.28726081572324524</v>
      </c>
      <c r="P30" s="41">
        <f t="shared" si="14"/>
        <v>0.55432828666160661</v>
      </c>
    </row>
    <row r="31" spans="1:16" s="34" customFormat="1" ht="10.8" x14ac:dyDescent="0.2">
      <c r="A31" s="366" t="s">
        <v>276</v>
      </c>
      <c r="B31" s="366"/>
      <c r="C31" s="45">
        <f>' МЕНЮ_ХЭХ '!D228</f>
        <v>2.0252500000000002</v>
      </c>
      <c r="D31" s="45">
        <f>' МЕНЮ_ХЭХ '!E228</f>
        <v>6.5360000000000005</v>
      </c>
      <c r="E31" s="45">
        <f>' МЕНЮ_ХЭХ '!F228</f>
        <v>6.0919999999999996</v>
      </c>
      <c r="F31" s="45">
        <f>' МЕНЮ_ХЭХ '!G228</f>
        <v>24.303000000000001</v>
      </c>
      <c r="G31" s="45">
        <f>' МЕНЮ_ХЭХ '!H228</f>
        <v>186.76400000000001</v>
      </c>
      <c r="I31" s="41">
        <f t="shared" si="8"/>
        <v>6.9531914893617028E-2</v>
      </c>
      <c r="J31" s="41">
        <f t="shared" si="9"/>
        <v>8.9588235294117635E-2</v>
      </c>
      <c r="K31" s="41">
        <f t="shared" si="10"/>
        <v>9.2056818181818184E-2</v>
      </c>
      <c r="L31" s="41">
        <f t="shared" si="11"/>
        <v>9.1282502443792768E-2</v>
      </c>
      <c r="N31" s="41">
        <f t="shared" si="12"/>
        <v>0.13998415112120108</v>
      </c>
      <c r="O31" s="41">
        <f t="shared" si="13"/>
        <v>0.29356835364417122</v>
      </c>
      <c r="P31" s="41">
        <f t="shared" si="14"/>
        <v>0.52050716412156517</v>
      </c>
    </row>
    <row r="32" spans="1:16" s="34" customFormat="1" ht="10.8" x14ac:dyDescent="0.2">
      <c r="A32" s="366" t="s">
        <v>277</v>
      </c>
      <c r="B32" s="366"/>
      <c r="C32" s="45">
        <f>' МЕНЮ_ХЭХ '!D258</f>
        <v>2.3127499999999999</v>
      </c>
      <c r="D32" s="45">
        <f>' МЕНЮ_ХЭХ '!E258</f>
        <v>5.9359999999999999</v>
      </c>
      <c r="E32" s="45">
        <f>' МЕНЮ_ХЭХ '!F258</f>
        <v>6.3919999999999995</v>
      </c>
      <c r="F32" s="45">
        <f>' МЕНЮ_ХЭХ '!G258</f>
        <v>27.753</v>
      </c>
      <c r="G32" s="45">
        <f>' МЕНЮ_ХЭХ '!H258</f>
        <v>200.26400000000001</v>
      </c>
      <c r="I32" s="41">
        <f t="shared" si="8"/>
        <v>6.3148936170212763E-2</v>
      </c>
      <c r="J32" s="41">
        <f t="shared" si="9"/>
        <v>9.3999999999999986E-2</v>
      </c>
      <c r="K32" s="41">
        <f t="shared" si="10"/>
        <v>0.105125</v>
      </c>
      <c r="L32" s="41">
        <f t="shared" si="11"/>
        <v>9.7880742913000987E-2</v>
      </c>
      <c r="N32" s="41">
        <f t="shared" si="12"/>
        <v>0.11856349618503574</v>
      </c>
      <c r="O32" s="41">
        <f t="shared" si="13"/>
        <v>0.28726081572324524</v>
      </c>
      <c r="P32" s="41">
        <f t="shared" si="14"/>
        <v>0.55432828666160661</v>
      </c>
    </row>
    <row r="33" spans="1:16" s="34" customFormat="1" ht="10.8" x14ac:dyDescent="0.2">
      <c r="A33" s="366" t="s">
        <v>278</v>
      </c>
      <c r="B33" s="366"/>
      <c r="C33" s="45">
        <f>' МЕНЮ_ХЭХ '!D289</f>
        <v>2.0252500000000002</v>
      </c>
      <c r="D33" s="45">
        <f>' МЕНЮ_ХЭХ '!E289</f>
        <v>6.5360000000000005</v>
      </c>
      <c r="E33" s="45">
        <f>' МЕНЮ_ХЭХ '!F289</f>
        <v>6.0919999999999996</v>
      </c>
      <c r="F33" s="45">
        <f>' МЕНЮ_ХЭХ '!G289</f>
        <v>24.303000000000001</v>
      </c>
      <c r="G33" s="45">
        <f>' МЕНЮ_ХЭХ '!H289</f>
        <v>186.76400000000001</v>
      </c>
      <c r="I33" s="41">
        <f t="shared" si="8"/>
        <v>6.9531914893617028E-2</v>
      </c>
      <c r="J33" s="41">
        <f t="shared" si="9"/>
        <v>8.9588235294117635E-2</v>
      </c>
      <c r="K33" s="41">
        <f t="shared" si="10"/>
        <v>9.2056818181818184E-2</v>
      </c>
      <c r="L33" s="41">
        <f t="shared" si="11"/>
        <v>9.1282502443792768E-2</v>
      </c>
      <c r="N33" s="41">
        <f t="shared" si="12"/>
        <v>0.13998415112120108</v>
      </c>
      <c r="O33" s="41">
        <f t="shared" si="13"/>
        <v>0.29356835364417122</v>
      </c>
      <c r="P33" s="41">
        <f t="shared" si="14"/>
        <v>0.52050716412156517</v>
      </c>
    </row>
    <row r="34" spans="1:16" s="34" customFormat="1" ht="10.8" x14ac:dyDescent="0.2">
      <c r="A34" s="366" t="s">
        <v>279</v>
      </c>
      <c r="B34" s="366"/>
      <c r="C34" s="45">
        <f>AVERAGE(C24:C33)</f>
        <v>2.14025</v>
      </c>
      <c r="D34" s="45">
        <f t="shared" ref="D34:G34" si="15">AVERAGE(D24:D33)</f>
        <v>6.2960000000000012</v>
      </c>
      <c r="E34" s="45">
        <f t="shared" si="15"/>
        <v>6.2119999999999989</v>
      </c>
      <c r="F34" s="45">
        <f t="shared" si="15"/>
        <v>25.683</v>
      </c>
      <c r="G34" s="45">
        <f t="shared" si="15"/>
        <v>192.16400000000004</v>
      </c>
      <c r="I34" s="42">
        <f>AVERAGE(I24:I33)</f>
        <v>6.6978723404255328E-2</v>
      </c>
      <c r="J34" s="42">
        <f>AVERAGE(J24:J33)</f>
        <v>9.1352941176470567E-2</v>
      </c>
      <c r="K34" s="42">
        <f>AVERAGE(K24:K33)</f>
        <v>9.7284090909090931E-2</v>
      </c>
      <c r="L34" s="42">
        <f>AVERAGE(L24:L33)</f>
        <v>9.3921798631476053E-2</v>
      </c>
      <c r="M34" s="43"/>
      <c r="N34" s="41">
        <f>AVERAGE(N24:N33)</f>
        <v>0.13141588914673491</v>
      </c>
      <c r="O34" s="41">
        <f>AVERAGE(O24:O33)</f>
        <v>0.29104533847580083</v>
      </c>
      <c r="P34" s="41">
        <f>AVERAGE(P24:P33)</f>
        <v>0.53403561313758174</v>
      </c>
    </row>
    <row r="35" spans="1:16" s="34" customFormat="1" x14ac:dyDescent="0.2"/>
    <row r="36" spans="1:16" s="34" customFormat="1" ht="12.75" customHeight="1" x14ac:dyDescent="0.25">
      <c r="A36" s="368" t="s">
        <v>280</v>
      </c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8"/>
    </row>
    <row r="37" spans="1:16" s="34" customFormat="1" ht="12.75" customHeight="1" x14ac:dyDescent="0.2">
      <c r="A37" s="370" t="s">
        <v>32</v>
      </c>
      <c r="B37" s="370"/>
      <c r="C37" s="376" t="s">
        <v>55</v>
      </c>
      <c r="D37" s="372" t="s">
        <v>1</v>
      </c>
      <c r="E37" s="372"/>
      <c r="F37" s="372"/>
      <c r="G37" s="370" t="s">
        <v>31</v>
      </c>
      <c r="I37" s="373" t="s">
        <v>266</v>
      </c>
      <c r="J37" s="374"/>
      <c r="K37" s="374"/>
      <c r="L37" s="375"/>
      <c r="N37" s="373" t="s">
        <v>267</v>
      </c>
      <c r="O37" s="374"/>
      <c r="P37" s="374"/>
    </row>
    <row r="38" spans="1:16" s="34" customFormat="1" ht="21" customHeight="1" x14ac:dyDescent="0.2">
      <c r="A38" s="371"/>
      <c r="B38" s="371"/>
      <c r="C38" s="377"/>
      <c r="D38" s="39" t="s">
        <v>2</v>
      </c>
      <c r="E38" s="39" t="s">
        <v>3</v>
      </c>
      <c r="F38" s="39" t="s">
        <v>4</v>
      </c>
      <c r="G38" s="371"/>
      <c r="I38" s="40" t="str">
        <f>D38</f>
        <v>Б</v>
      </c>
      <c r="J38" s="40" t="str">
        <f>E38</f>
        <v>Ж</v>
      </c>
      <c r="K38" s="40" t="str">
        <f>F38</f>
        <v>У</v>
      </c>
      <c r="L38" s="40" t="s">
        <v>268</v>
      </c>
      <c r="N38" s="40" t="str">
        <f>I38</f>
        <v>Б</v>
      </c>
      <c r="O38" s="40" t="str">
        <f>J38</f>
        <v>Ж</v>
      </c>
      <c r="P38" s="40" t="str">
        <f>K38</f>
        <v>У</v>
      </c>
    </row>
    <row r="39" spans="1:16" s="34" customFormat="1" ht="10.8" x14ac:dyDescent="0.2">
      <c r="A39" s="366" t="s">
        <v>269</v>
      </c>
      <c r="B39" s="366"/>
      <c r="C39" s="45">
        <f>' МЕНЮ_ХЭХ '!D27</f>
        <v>6.4145000000000003</v>
      </c>
      <c r="D39" s="45">
        <f>' МЕНЮ_ХЭХ '!E27</f>
        <v>26.226000000000003</v>
      </c>
      <c r="E39" s="45">
        <f>' МЕНЮ_ХЭХ '!F27</f>
        <v>20.67</v>
      </c>
      <c r="F39" s="45">
        <f>' МЕНЮ_ХЭХ '!G27</f>
        <v>76.974000000000004</v>
      </c>
      <c r="G39" s="45">
        <f>' МЕНЮ_ХЭХ '!H27</f>
        <v>606.08199999999999</v>
      </c>
      <c r="I39" s="41">
        <f>D39/$D$5</f>
        <v>0.27900000000000003</v>
      </c>
      <c r="J39" s="41">
        <f>E39/$E$5</f>
        <v>0.30397058823529416</v>
      </c>
      <c r="K39" s="41">
        <f>F39/$F$5</f>
        <v>0.29156818181818184</v>
      </c>
      <c r="L39" s="41">
        <f>G39/$G$5</f>
        <v>0.29622776148582602</v>
      </c>
      <c r="N39" s="41">
        <f>4*D39/G39</f>
        <v>0.17308549008220012</v>
      </c>
      <c r="O39" s="41">
        <f>9*E39/G39</f>
        <v>0.30693866506512324</v>
      </c>
      <c r="P39" s="41">
        <f>4*F39/G39</f>
        <v>0.5080104672305068</v>
      </c>
    </row>
    <row r="40" spans="1:16" s="34" customFormat="1" ht="10.8" x14ac:dyDescent="0.2">
      <c r="A40" s="366" t="s">
        <v>270</v>
      </c>
      <c r="B40" s="366"/>
      <c r="C40" s="45">
        <f>' МЕНЮ_ХЭХ '!D57</f>
        <v>4.5428333333333333</v>
      </c>
      <c r="D40" s="45">
        <f>' МЕНЮ_ХЭХ '!E57</f>
        <v>33.514000000000003</v>
      </c>
      <c r="E40" s="45">
        <f>' МЕНЮ_ХЭХ '!F57</f>
        <v>17.54</v>
      </c>
      <c r="F40" s="45">
        <f>' МЕНЮ_ХЭХ '!G57</f>
        <v>54.514000000000003</v>
      </c>
      <c r="G40" s="45">
        <f>' МЕНЮ_ХЭХ '!H57</f>
        <v>513.72900000000004</v>
      </c>
      <c r="I40" s="41">
        <f t="shared" ref="I40:I48" si="16">D40/$D$5</f>
        <v>0.35653191489361707</v>
      </c>
      <c r="J40" s="41">
        <f t="shared" ref="J40:J48" si="17">E40/$E$5</f>
        <v>0.25794117647058823</v>
      </c>
      <c r="K40" s="41">
        <f t="shared" ref="K40:K48" si="18">F40/$F$5</f>
        <v>0.20649242424242426</v>
      </c>
      <c r="L40" s="41">
        <f t="shared" ref="L40:L48" si="19">G40/$G$5</f>
        <v>0.25108944281524931</v>
      </c>
      <c r="N40" s="41">
        <f t="shared" ref="N40:N48" si="20">4*D40/G40</f>
        <v>0.26094691948478671</v>
      </c>
      <c r="O40" s="41">
        <f t="shared" ref="O40:O48" si="21">9*E40/G40</f>
        <v>0.30728263345071033</v>
      </c>
      <c r="P40" s="41">
        <f t="shared" ref="P40:P48" si="22">4*F40/G40</f>
        <v>0.42445725275388385</v>
      </c>
    </row>
    <row r="41" spans="1:16" s="34" customFormat="1" ht="10.8" x14ac:dyDescent="0.2">
      <c r="A41" s="366" t="s">
        <v>271</v>
      </c>
      <c r="B41" s="366"/>
      <c r="C41" s="45">
        <f>' МЕНЮ_ХЭХ '!D87</f>
        <v>4.832583333333333</v>
      </c>
      <c r="D41" s="45">
        <f>' МЕНЮ_ХЭХ '!E87</f>
        <v>50.731999999999999</v>
      </c>
      <c r="E41" s="45">
        <f>' МЕНЮ_ХЭХ '!F87</f>
        <v>22.841999999999999</v>
      </c>
      <c r="F41" s="45">
        <f>' МЕНЮ_ХЭХ '!G87</f>
        <v>57.991</v>
      </c>
      <c r="G41" s="45">
        <f>' МЕНЮ_ХЭХ '!H87</f>
        <v>646.07399999999996</v>
      </c>
      <c r="I41" s="41">
        <f t="shared" si="16"/>
        <v>0.53970212765957448</v>
      </c>
      <c r="J41" s="41">
        <f t="shared" si="17"/>
        <v>0.33591176470588235</v>
      </c>
      <c r="K41" s="41">
        <f t="shared" si="18"/>
        <v>0.2196628787878788</v>
      </c>
      <c r="L41" s="41">
        <f t="shared" si="19"/>
        <v>0.31577419354838709</v>
      </c>
      <c r="N41" s="41">
        <f t="shared" si="20"/>
        <v>0.31409405114584399</v>
      </c>
      <c r="O41" s="41">
        <f t="shared" si="21"/>
        <v>0.31819574847463294</v>
      </c>
      <c r="P41" s="41">
        <f t="shared" si="22"/>
        <v>0.359036271386869</v>
      </c>
    </row>
    <row r="42" spans="1:16" s="34" customFormat="1" ht="10.8" x14ac:dyDescent="0.2">
      <c r="A42" s="369" t="s">
        <v>272</v>
      </c>
      <c r="B42" s="369"/>
      <c r="C42" s="45">
        <f>' МЕНЮ_ХЭХ '!D116</f>
        <v>4.9750833333333331</v>
      </c>
      <c r="D42" s="45">
        <f>' МЕНЮ_ХЭХ '!E116</f>
        <v>33.844999999999999</v>
      </c>
      <c r="E42" s="45">
        <f>' МЕНЮ_ХЭХ '!F116</f>
        <v>17.696000000000002</v>
      </c>
      <c r="F42" s="45">
        <f>' МЕНЮ_ХЭХ '!G116</f>
        <v>59.701000000000001</v>
      </c>
      <c r="G42" s="45">
        <f>' МЕНЮ_ХЭХ '!H116</f>
        <v>537.52</v>
      </c>
      <c r="I42" s="41">
        <f t="shared" si="16"/>
        <v>0.36005319148936171</v>
      </c>
      <c r="J42" s="41">
        <f t="shared" si="17"/>
        <v>0.26023529411764706</v>
      </c>
      <c r="K42" s="41">
        <f t="shared" si="18"/>
        <v>0.22614015151515152</v>
      </c>
      <c r="L42" s="41">
        <f t="shared" si="19"/>
        <v>0.26271749755620721</v>
      </c>
      <c r="N42" s="41">
        <f t="shared" si="20"/>
        <v>0.25186039589224585</v>
      </c>
      <c r="O42" s="41">
        <f t="shared" si="21"/>
        <v>0.29629409138264623</v>
      </c>
      <c r="P42" s="41">
        <f t="shared" si="22"/>
        <v>0.44426998065188272</v>
      </c>
    </row>
    <row r="43" spans="1:16" s="34" customFormat="1" ht="10.8" x14ac:dyDescent="0.2">
      <c r="A43" s="366" t="s">
        <v>273</v>
      </c>
      <c r="B43" s="366"/>
      <c r="C43" s="45">
        <f>' МЕНЮ_ХЭХ '!D145</f>
        <v>6.7672500000000007</v>
      </c>
      <c r="D43" s="45">
        <f>' МЕНЮ_ХЭХ '!E145</f>
        <v>23.797000000000001</v>
      </c>
      <c r="E43" s="45">
        <f>' МЕНЮ_ХЭХ '!F145</f>
        <v>18.114000000000001</v>
      </c>
      <c r="F43" s="45">
        <f>' МЕНЮ_ХЭХ '!G145</f>
        <v>81.207000000000008</v>
      </c>
      <c r="G43" s="45">
        <f>' МЕНЮ_ХЭХ '!H145</f>
        <v>591.94599999999991</v>
      </c>
      <c r="I43" s="41">
        <f t="shared" si="16"/>
        <v>0.25315957446808512</v>
      </c>
      <c r="J43" s="41">
        <f t="shared" si="17"/>
        <v>0.26638235294117646</v>
      </c>
      <c r="K43" s="41">
        <f t="shared" si="18"/>
        <v>0.30760227272727275</v>
      </c>
      <c r="L43" s="41">
        <f t="shared" si="19"/>
        <v>0.28931867057673505</v>
      </c>
      <c r="N43" s="41">
        <f t="shared" si="20"/>
        <v>0.1608052085832154</v>
      </c>
      <c r="O43" s="41">
        <f t="shared" si="21"/>
        <v>0.27540687833011801</v>
      </c>
      <c r="P43" s="41">
        <f t="shared" si="22"/>
        <v>0.54874600047977362</v>
      </c>
    </row>
    <row r="44" spans="1:16" s="34" customFormat="1" ht="10.8" x14ac:dyDescent="0.2">
      <c r="A44" s="366" t="s">
        <v>274</v>
      </c>
      <c r="B44" s="366"/>
      <c r="C44" s="45">
        <f>' МЕНЮ_ХЭХ '!D175</f>
        <v>4.3910833333333334</v>
      </c>
      <c r="D44" s="45">
        <f>' МЕНЮ_ХЭХ '!E175</f>
        <v>26.846000000000004</v>
      </c>
      <c r="E44" s="45">
        <f>' МЕНЮ_ХЭХ '!F175</f>
        <v>17.244999999999997</v>
      </c>
      <c r="F44" s="45">
        <f>' МЕНЮ_ХЭХ '!G175</f>
        <v>52.692999999999998</v>
      </c>
      <c r="G44" s="45">
        <f>' МЕНЮ_ХЭХ '!H175</f>
        <v>471.57500000000005</v>
      </c>
      <c r="I44" s="41">
        <f t="shared" si="16"/>
        <v>0.28559574468085108</v>
      </c>
      <c r="J44" s="41">
        <f t="shared" si="17"/>
        <v>0.25360294117647053</v>
      </c>
      <c r="K44" s="41">
        <f t="shared" si="18"/>
        <v>0.19959469696969695</v>
      </c>
      <c r="L44" s="41">
        <f t="shared" si="19"/>
        <v>0.23048631476050832</v>
      </c>
      <c r="N44" s="41">
        <f t="shared" si="20"/>
        <v>0.22771351322695224</v>
      </c>
      <c r="O44" s="41">
        <f t="shared" si="21"/>
        <v>0.32912050045061753</v>
      </c>
      <c r="P44" s="41">
        <f t="shared" si="22"/>
        <v>0.44695329480994533</v>
      </c>
    </row>
    <row r="45" spans="1:16" s="34" customFormat="1" ht="10.8" x14ac:dyDescent="0.2">
      <c r="A45" s="366" t="s">
        <v>275</v>
      </c>
      <c r="B45" s="366"/>
      <c r="C45" s="45">
        <f>' МЕНЮ_ХЭХ '!D205</f>
        <v>6.8940833333333318</v>
      </c>
      <c r="D45" s="45">
        <f>' МЕНЮ_ХЭХ '!E205</f>
        <v>27.746000000000002</v>
      </c>
      <c r="E45" s="45">
        <f>' МЕНЮ_ХЭХ '!F205</f>
        <v>22.04</v>
      </c>
      <c r="F45" s="45">
        <f>' МЕНЮ_ХЭХ '!G205</f>
        <v>82.728999999999985</v>
      </c>
      <c r="G45" s="45">
        <f>' МЕНЮ_ХЭХ '!H205</f>
        <v>647.82299999999998</v>
      </c>
      <c r="I45" s="41">
        <f t="shared" si="16"/>
        <v>0.29517021276595745</v>
      </c>
      <c r="J45" s="41">
        <f t="shared" si="17"/>
        <v>0.32411764705882351</v>
      </c>
      <c r="K45" s="41">
        <f t="shared" si="18"/>
        <v>0.3133674242424242</v>
      </c>
      <c r="L45" s="41">
        <f t="shared" si="19"/>
        <v>0.31662903225806449</v>
      </c>
      <c r="N45" s="41">
        <f t="shared" si="20"/>
        <v>0.17131840024204145</v>
      </c>
      <c r="O45" s="41">
        <f t="shared" si="21"/>
        <v>0.30619474763940147</v>
      </c>
      <c r="P45" s="41">
        <f t="shared" si="22"/>
        <v>0.5108123669582586</v>
      </c>
    </row>
    <row r="46" spans="1:16" s="34" customFormat="1" ht="10.8" x14ac:dyDescent="0.2">
      <c r="A46" s="366" t="s">
        <v>276</v>
      </c>
      <c r="B46" s="366"/>
      <c r="C46" s="45">
        <f>' МЕНЮ_ХЭХ '!D237</f>
        <v>7.0409999999999995</v>
      </c>
      <c r="D46" s="45">
        <f>' МЕНЮ_ХЭХ '!E237</f>
        <v>25.474000000000004</v>
      </c>
      <c r="E46" s="45">
        <f>' МЕНЮ_ХЭХ '!F237</f>
        <v>16.175999999999998</v>
      </c>
      <c r="F46" s="45">
        <f>' МЕНЮ_ХЭХ '!G237</f>
        <v>84.49199999999999</v>
      </c>
      <c r="G46" s="45">
        <f>' МЕНЮ_ХЭХ '!H237</f>
        <v>587.64599999999996</v>
      </c>
      <c r="I46" s="41">
        <f t="shared" si="16"/>
        <v>0.27100000000000002</v>
      </c>
      <c r="J46" s="41">
        <f t="shared" si="17"/>
        <v>0.23788235294117643</v>
      </c>
      <c r="K46" s="41">
        <f t="shared" si="18"/>
        <v>0.32004545454545452</v>
      </c>
      <c r="L46" s="41">
        <f t="shared" si="19"/>
        <v>0.28721700879765394</v>
      </c>
      <c r="N46" s="41">
        <f t="shared" si="20"/>
        <v>0.17339690902345975</v>
      </c>
      <c r="O46" s="41">
        <f t="shared" si="21"/>
        <v>0.24774098692069713</v>
      </c>
      <c r="P46" s="41">
        <f t="shared" si="22"/>
        <v>0.57512175697613865</v>
      </c>
    </row>
    <row r="47" spans="1:16" s="34" customFormat="1" ht="10.8" x14ac:dyDescent="0.2">
      <c r="A47" s="369" t="s">
        <v>277</v>
      </c>
      <c r="B47" s="369"/>
      <c r="C47" s="45">
        <f>' МЕНЮ_ХЭХ '!D266</f>
        <v>6.8926666666666661</v>
      </c>
      <c r="D47" s="45">
        <f>' МЕНЮ_ХЭХ '!E266</f>
        <v>27.521999999999998</v>
      </c>
      <c r="E47" s="45">
        <f>' МЕНЮ_ХЭХ '!F266</f>
        <v>39.902000000000001</v>
      </c>
      <c r="F47" s="45">
        <f>' МЕНЮ_ХЭХ '!G266</f>
        <v>82.711999999999989</v>
      </c>
      <c r="G47" s="45">
        <f>' МЕНЮ_ХЭХ '!H266</f>
        <v>801.31</v>
      </c>
      <c r="I47" s="41">
        <f t="shared" si="16"/>
        <v>0.29278723404255319</v>
      </c>
      <c r="J47" s="41">
        <f t="shared" si="17"/>
        <v>0.5867941176470588</v>
      </c>
      <c r="K47" s="41">
        <f t="shared" si="18"/>
        <v>0.31330303030303025</v>
      </c>
      <c r="L47" s="41">
        <f t="shared" si="19"/>
        <v>0.39164711632453564</v>
      </c>
      <c r="N47" s="41">
        <f t="shared" si="20"/>
        <v>0.13738503201008348</v>
      </c>
      <c r="O47" s="41">
        <f t="shared" si="21"/>
        <v>0.44816363205251403</v>
      </c>
      <c r="P47" s="41">
        <f t="shared" si="22"/>
        <v>0.41288390260947694</v>
      </c>
    </row>
    <row r="48" spans="1:16" s="34" customFormat="1" ht="10.8" x14ac:dyDescent="0.2">
      <c r="A48" s="366" t="s">
        <v>278</v>
      </c>
      <c r="B48" s="366"/>
      <c r="C48" s="45">
        <f>' МЕНЮ_ХЭХ '!D296</f>
        <v>7.0031666666666679</v>
      </c>
      <c r="D48" s="45">
        <f>' МЕНЮ_ХЭХ '!E296</f>
        <v>37.759</v>
      </c>
      <c r="E48" s="45">
        <f>' МЕНЮ_ХЭХ '!F296</f>
        <v>18.553999999999998</v>
      </c>
      <c r="F48" s="45">
        <f>' МЕНЮ_ХЭХ '!G296</f>
        <v>84.038000000000011</v>
      </c>
      <c r="G48" s="45">
        <f>' МЕНЮ_ХЭХ '!H296</f>
        <v>658.57099999999991</v>
      </c>
      <c r="I48" s="41">
        <f t="shared" si="16"/>
        <v>0.40169148936170213</v>
      </c>
      <c r="J48" s="41">
        <f t="shared" si="17"/>
        <v>0.27285294117647058</v>
      </c>
      <c r="K48" s="41">
        <f t="shared" si="18"/>
        <v>0.3183257575757576</v>
      </c>
      <c r="L48" s="41">
        <f t="shared" si="19"/>
        <v>0.32188220918866078</v>
      </c>
      <c r="N48" s="41">
        <f t="shared" si="20"/>
        <v>0.22933897787785981</v>
      </c>
      <c r="O48" s="41">
        <f t="shared" si="21"/>
        <v>0.25355808257575874</v>
      </c>
      <c r="P48" s="41">
        <f t="shared" si="22"/>
        <v>0.51042636253342477</v>
      </c>
    </row>
    <row r="49" spans="1:16" s="34" customFormat="1" ht="10.8" x14ac:dyDescent="0.2">
      <c r="A49" s="366" t="s">
        <v>279</v>
      </c>
      <c r="B49" s="366"/>
      <c r="C49" s="45">
        <f>AVERAGE(C39:C48)</f>
        <v>5.9754249999999995</v>
      </c>
      <c r="D49" s="45">
        <f t="shared" ref="D49:G49" si="23">AVERAGE(D39:D48)</f>
        <v>31.3461</v>
      </c>
      <c r="E49" s="45">
        <f t="shared" si="23"/>
        <v>21.077899999999996</v>
      </c>
      <c r="F49" s="45">
        <f t="shared" si="23"/>
        <v>71.705099999999987</v>
      </c>
      <c r="G49" s="45">
        <f t="shared" si="23"/>
        <v>606.22759999999994</v>
      </c>
      <c r="I49" s="42">
        <f>AVERAGE(I39:I48)</f>
        <v>0.33346914893617019</v>
      </c>
      <c r="J49" s="42">
        <f>AVERAGE(J39:J48)</f>
        <v>0.30996911764705876</v>
      </c>
      <c r="K49" s="42">
        <f>AVERAGE(K39:K48)</f>
        <v>0.27161022727272727</v>
      </c>
      <c r="L49" s="42">
        <f>AVERAGE(L39:L48)</f>
        <v>0.2962989247311828</v>
      </c>
      <c r="M49" s="43"/>
      <c r="N49" s="41">
        <f>AVERAGE(N39:N48)</f>
        <v>0.20999448975686891</v>
      </c>
      <c r="O49" s="41">
        <f>AVERAGE(O39:O48)</f>
        <v>0.30888959663422189</v>
      </c>
      <c r="P49" s="41">
        <f>AVERAGE(P39:P48)</f>
        <v>0.47407176563901599</v>
      </c>
    </row>
    <row r="50" spans="1:16" s="34" customFormat="1" x14ac:dyDescent="0.2"/>
    <row r="51" spans="1:16" s="34" customFormat="1" ht="12.75" customHeight="1" x14ac:dyDescent="0.25">
      <c r="A51" s="368" t="s">
        <v>281</v>
      </c>
      <c r="B51" s="368"/>
      <c r="C51" s="368"/>
      <c r="D51" s="368"/>
      <c r="E51" s="368"/>
      <c r="F51" s="368"/>
      <c r="G51" s="368"/>
      <c r="H51" s="368"/>
      <c r="I51" s="368"/>
      <c r="J51" s="368"/>
      <c r="K51" s="368"/>
      <c r="L51" s="368"/>
      <c r="M51" s="368"/>
      <c r="N51" s="368"/>
      <c r="O51" s="368"/>
      <c r="P51" s="368"/>
    </row>
    <row r="52" spans="1:16" s="34" customFormat="1" ht="12.75" customHeight="1" x14ac:dyDescent="0.2">
      <c r="A52" s="370" t="s">
        <v>32</v>
      </c>
      <c r="B52" s="370"/>
      <c r="C52" s="376" t="s">
        <v>55</v>
      </c>
      <c r="D52" s="372" t="s">
        <v>1</v>
      </c>
      <c r="E52" s="372"/>
      <c r="F52" s="372"/>
      <c r="G52" s="370" t="s">
        <v>31</v>
      </c>
      <c r="I52" s="373" t="s">
        <v>266</v>
      </c>
      <c r="J52" s="374"/>
      <c r="K52" s="374"/>
      <c r="L52" s="375"/>
      <c r="N52" s="373" t="s">
        <v>267</v>
      </c>
      <c r="O52" s="374"/>
      <c r="P52" s="374"/>
    </row>
    <row r="53" spans="1:16" s="34" customFormat="1" ht="23.25" customHeight="1" x14ac:dyDescent="0.2">
      <c r="A53" s="371"/>
      <c r="B53" s="371"/>
      <c r="C53" s="377"/>
      <c r="D53" s="39" t="s">
        <v>2</v>
      </c>
      <c r="E53" s="39" t="s">
        <v>3</v>
      </c>
      <c r="F53" s="39" t="s">
        <v>4</v>
      </c>
      <c r="G53" s="371"/>
      <c r="I53" s="40" t="str">
        <f>D53</f>
        <v>Б</v>
      </c>
      <c r="J53" s="40" t="str">
        <f>E53</f>
        <v>Ж</v>
      </c>
      <c r="K53" s="40" t="str">
        <f>F53</f>
        <v>У</v>
      </c>
      <c r="L53" s="40" t="s">
        <v>268</v>
      </c>
      <c r="N53" s="40" t="str">
        <f>I53</f>
        <v>Б</v>
      </c>
      <c r="O53" s="40" t="str">
        <f>J53</f>
        <v>Ж</v>
      </c>
      <c r="P53" s="40" t="str">
        <f>K53</f>
        <v>У</v>
      </c>
    </row>
    <row r="54" spans="1:16" s="34" customFormat="1" ht="10.8" x14ac:dyDescent="0.2">
      <c r="A54" s="366" t="s">
        <v>269</v>
      </c>
      <c r="B54" s="366"/>
      <c r="C54" s="45">
        <f>' МЕНЮ_ХЭХ '!D32</f>
        <v>2.0252500000000002</v>
      </c>
      <c r="D54" s="45">
        <f>' МЕНЮ_ХЭХ '!E32</f>
        <v>6.5360000000000005</v>
      </c>
      <c r="E54" s="45">
        <f>' МЕНЮ_ХЭХ '!F32</f>
        <v>6.0919999999999996</v>
      </c>
      <c r="F54" s="45">
        <f>' МЕНЮ_ХЭХ '!G32</f>
        <v>24.303000000000001</v>
      </c>
      <c r="G54" s="45">
        <f>' МЕНЮ_ХЭХ '!H32</f>
        <v>186.76400000000001</v>
      </c>
      <c r="I54" s="41">
        <f>D54/$D$5</f>
        <v>6.9531914893617028E-2</v>
      </c>
      <c r="J54" s="41">
        <f>E54/$E$5</f>
        <v>8.9588235294117635E-2</v>
      </c>
      <c r="K54" s="41">
        <f>F54/$F$5</f>
        <v>9.2056818181818184E-2</v>
      </c>
      <c r="L54" s="41">
        <f>G54/$G$5</f>
        <v>9.1282502443792768E-2</v>
      </c>
      <c r="N54" s="41">
        <f>4*D54/G54</f>
        <v>0.13998415112120108</v>
      </c>
      <c r="O54" s="41">
        <f>9*E54/G54</f>
        <v>0.29356835364417122</v>
      </c>
      <c r="P54" s="41">
        <f>4*F54/G54</f>
        <v>0.52050716412156517</v>
      </c>
    </row>
    <row r="55" spans="1:16" s="34" customFormat="1" ht="10.8" x14ac:dyDescent="0.2">
      <c r="A55" s="366" t="s">
        <v>270</v>
      </c>
      <c r="B55" s="366"/>
      <c r="C55" s="45">
        <f>' МЕНЮ_ХЭХ '!D62</f>
        <v>2.3127499999999999</v>
      </c>
      <c r="D55" s="45">
        <f>' МЕНЮ_ХЭХ '!E62</f>
        <v>5.9359999999999999</v>
      </c>
      <c r="E55" s="45">
        <f>' МЕНЮ_ХЭХ '!F62</f>
        <v>6.3919999999999995</v>
      </c>
      <c r="F55" s="45">
        <f>' МЕНЮ_ХЭХ '!G62</f>
        <v>27.753</v>
      </c>
      <c r="G55" s="45">
        <f>' МЕНЮ_ХЭХ '!H62</f>
        <v>200.26400000000001</v>
      </c>
      <c r="I55" s="41">
        <f t="shared" ref="I55:I63" si="24">D55/$D$5</f>
        <v>6.3148936170212763E-2</v>
      </c>
      <c r="J55" s="41">
        <f t="shared" ref="J55:J63" si="25">E55/$E$5</f>
        <v>9.3999999999999986E-2</v>
      </c>
      <c r="K55" s="41">
        <f t="shared" ref="K55:K63" si="26">F55/$F$5</f>
        <v>0.105125</v>
      </c>
      <c r="L55" s="41">
        <f t="shared" ref="L55:L63" si="27">G55/$G$5</f>
        <v>9.7880742913000987E-2</v>
      </c>
      <c r="N55" s="41">
        <f t="shared" ref="N55:N63" si="28">4*D55/G55</f>
        <v>0.11856349618503574</v>
      </c>
      <c r="O55" s="41">
        <f t="shared" ref="O55:O63" si="29">9*E55/G55</f>
        <v>0.28726081572324524</v>
      </c>
      <c r="P55" s="41">
        <f t="shared" ref="P55:P63" si="30">4*F55/G55</f>
        <v>0.55432828666160661</v>
      </c>
    </row>
    <row r="56" spans="1:16" s="34" customFormat="1" ht="10.8" x14ac:dyDescent="0.2">
      <c r="A56" s="366" t="s">
        <v>271</v>
      </c>
      <c r="B56" s="366"/>
      <c r="C56" s="45">
        <f>' МЕНЮ_ХЭХ '!D92</f>
        <v>2.0252500000000002</v>
      </c>
      <c r="D56" s="45">
        <f>' МЕНЮ_ХЭХ '!E92</f>
        <v>6.5360000000000005</v>
      </c>
      <c r="E56" s="45">
        <f>' МЕНЮ_ХЭХ '!F92</f>
        <v>6.0919999999999996</v>
      </c>
      <c r="F56" s="45">
        <f>' МЕНЮ_ХЭХ '!G92</f>
        <v>24.303000000000001</v>
      </c>
      <c r="G56" s="45">
        <f>' МЕНЮ_ХЭХ '!H92</f>
        <v>186.76400000000001</v>
      </c>
      <c r="I56" s="41">
        <f t="shared" si="24"/>
        <v>6.9531914893617028E-2</v>
      </c>
      <c r="J56" s="41">
        <f t="shared" si="25"/>
        <v>8.9588235294117635E-2</v>
      </c>
      <c r="K56" s="41">
        <f t="shared" si="26"/>
        <v>9.2056818181818184E-2</v>
      </c>
      <c r="L56" s="41">
        <f t="shared" si="27"/>
        <v>9.1282502443792768E-2</v>
      </c>
      <c r="N56" s="41">
        <f t="shared" si="28"/>
        <v>0.13998415112120108</v>
      </c>
      <c r="O56" s="41">
        <f t="shared" si="29"/>
        <v>0.29356835364417122</v>
      </c>
      <c r="P56" s="41">
        <f t="shared" si="30"/>
        <v>0.52050716412156517</v>
      </c>
    </row>
    <row r="57" spans="1:16" s="34" customFormat="1" ht="10.8" x14ac:dyDescent="0.2">
      <c r="A57" s="366" t="s">
        <v>272</v>
      </c>
      <c r="B57" s="366"/>
      <c r="C57" s="45">
        <f>' МЕНЮ_ХЭХ '!D121</f>
        <v>2.3127499999999999</v>
      </c>
      <c r="D57" s="45">
        <f>' МЕНЮ_ХЭХ '!E121</f>
        <v>5.9359999999999999</v>
      </c>
      <c r="E57" s="45">
        <f>' МЕНЮ_ХЭХ '!F121</f>
        <v>6.3919999999999995</v>
      </c>
      <c r="F57" s="45">
        <f>' МЕНЮ_ХЭХ '!G121</f>
        <v>27.753</v>
      </c>
      <c r="G57" s="45">
        <f>' МЕНЮ_ХЭХ '!H121</f>
        <v>200.26400000000001</v>
      </c>
      <c r="I57" s="41">
        <f t="shared" si="24"/>
        <v>6.3148936170212763E-2</v>
      </c>
      <c r="J57" s="41">
        <f t="shared" si="25"/>
        <v>9.3999999999999986E-2</v>
      </c>
      <c r="K57" s="41">
        <f t="shared" si="26"/>
        <v>0.105125</v>
      </c>
      <c r="L57" s="41">
        <f t="shared" si="27"/>
        <v>9.7880742913000987E-2</v>
      </c>
      <c r="N57" s="41">
        <f t="shared" si="28"/>
        <v>0.11856349618503574</v>
      </c>
      <c r="O57" s="41">
        <f t="shared" si="29"/>
        <v>0.28726081572324524</v>
      </c>
      <c r="P57" s="41">
        <f t="shared" si="30"/>
        <v>0.55432828666160661</v>
      </c>
    </row>
    <row r="58" spans="1:16" s="34" customFormat="1" ht="10.8" x14ac:dyDescent="0.2">
      <c r="A58" s="366" t="s">
        <v>273</v>
      </c>
      <c r="B58" s="366"/>
      <c r="C58" s="45">
        <f>' МЕНЮ_ХЭХ '!D150</f>
        <v>2.0252500000000002</v>
      </c>
      <c r="D58" s="45">
        <f>' МЕНЮ_ХЭХ '!E150</f>
        <v>6.5360000000000005</v>
      </c>
      <c r="E58" s="45">
        <f>' МЕНЮ_ХЭХ '!F150</f>
        <v>6.0919999999999996</v>
      </c>
      <c r="F58" s="45">
        <f>' МЕНЮ_ХЭХ '!G150</f>
        <v>24.303000000000001</v>
      </c>
      <c r="G58" s="45">
        <f>' МЕНЮ_ХЭХ '!H150</f>
        <v>186.76400000000001</v>
      </c>
      <c r="I58" s="41">
        <f t="shared" si="24"/>
        <v>6.9531914893617028E-2</v>
      </c>
      <c r="J58" s="41">
        <f t="shared" si="25"/>
        <v>8.9588235294117635E-2</v>
      </c>
      <c r="K58" s="41">
        <f t="shared" si="26"/>
        <v>9.2056818181818184E-2</v>
      </c>
      <c r="L58" s="41">
        <f t="shared" si="27"/>
        <v>9.1282502443792768E-2</v>
      </c>
      <c r="N58" s="41">
        <f t="shared" si="28"/>
        <v>0.13998415112120108</v>
      </c>
      <c r="O58" s="41">
        <f t="shared" si="29"/>
        <v>0.29356835364417122</v>
      </c>
      <c r="P58" s="41">
        <f t="shared" si="30"/>
        <v>0.52050716412156517</v>
      </c>
    </row>
    <row r="59" spans="1:16" s="34" customFormat="1" ht="10.8" x14ac:dyDescent="0.2">
      <c r="A59" s="366" t="s">
        <v>274</v>
      </c>
      <c r="B59" s="366"/>
      <c r="C59" s="45">
        <f>' МЕНЮ_ХЭХ '!D180</f>
        <v>2.0252500000000002</v>
      </c>
      <c r="D59" s="45">
        <f>' МЕНЮ_ХЭХ '!E180</f>
        <v>6.5360000000000005</v>
      </c>
      <c r="E59" s="45">
        <f>' МЕНЮ_ХЭХ '!F180</f>
        <v>6.0919999999999996</v>
      </c>
      <c r="F59" s="45">
        <f>' МЕНЮ_ХЭХ '!G180</f>
        <v>24.303000000000001</v>
      </c>
      <c r="G59" s="45">
        <f>' МЕНЮ_ХЭХ '!H180</f>
        <v>186.76400000000001</v>
      </c>
      <c r="I59" s="41">
        <f t="shared" si="24"/>
        <v>6.9531914893617028E-2</v>
      </c>
      <c r="J59" s="41">
        <f t="shared" si="25"/>
        <v>8.9588235294117635E-2</v>
      </c>
      <c r="K59" s="41">
        <f t="shared" si="26"/>
        <v>9.2056818181818184E-2</v>
      </c>
      <c r="L59" s="41">
        <f t="shared" si="27"/>
        <v>9.1282502443792768E-2</v>
      </c>
      <c r="N59" s="41">
        <f t="shared" si="28"/>
        <v>0.13998415112120108</v>
      </c>
      <c r="O59" s="41">
        <f t="shared" si="29"/>
        <v>0.29356835364417122</v>
      </c>
      <c r="P59" s="41">
        <f t="shared" si="30"/>
        <v>0.52050716412156517</v>
      </c>
    </row>
    <row r="60" spans="1:16" s="34" customFormat="1" ht="10.8" x14ac:dyDescent="0.2">
      <c r="A60" s="366" t="s">
        <v>275</v>
      </c>
      <c r="B60" s="366"/>
      <c r="C60" s="45">
        <f>' МЕНЮ_ХЭХ '!D210</f>
        <v>2.3127499999999999</v>
      </c>
      <c r="D60" s="45">
        <f>' МЕНЮ_ХЭХ '!E210</f>
        <v>5.9359999999999999</v>
      </c>
      <c r="E60" s="45">
        <f>' МЕНЮ_ХЭХ '!F210</f>
        <v>6.3919999999999995</v>
      </c>
      <c r="F60" s="45">
        <f>' МЕНЮ_ХЭХ '!G210</f>
        <v>27.753</v>
      </c>
      <c r="G60" s="45">
        <f>' МЕНЮ_ХЭХ '!H210</f>
        <v>200.26400000000001</v>
      </c>
      <c r="I60" s="41">
        <f t="shared" si="24"/>
        <v>6.3148936170212763E-2</v>
      </c>
      <c r="J60" s="41">
        <f t="shared" si="25"/>
        <v>9.3999999999999986E-2</v>
      </c>
      <c r="K60" s="41">
        <f t="shared" si="26"/>
        <v>0.105125</v>
      </c>
      <c r="L60" s="41">
        <f t="shared" si="27"/>
        <v>9.7880742913000987E-2</v>
      </c>
      <c r="N60" s="41">
        <f t="shared" si="28"/>
        <v>0.11856349618503574</v>
      </c>
      <c r="O60" s="41">
        <f t="shared" si="29"/>
        <v>0.28726081572324524</v>
      </c>
      <c r="P60" s="41">
        <f t="shared" si="30"/>
        <v>0.55432828666160661</v>
      </c>
    </row>
    <row r="61" spans="1:16" s="34" customFormat="1" ht="10.8" x14ac:dyDescent="0.2">
      <c r="A61" s="366" t="s">
        <v>276</v>
      </c>
      <c r="B61" s="366"/>
      <c r="C61" s="45">
        <f>' МЕНЮ_ХЭХ '!D242</f>
        <v>2.0252500000000002</v>
      </c>
      <c r="D61" s="45">
        <f>' МЕНЮ_ХЭХ '!E242</f>
        <v>6.5360000000000005</v>
      </c>
      <c r="E61" s="45">
        <f>' МЕНЮ_ХЭХ '!F242</f>
        <v>6.0919999999999996</v>
      </c>
      <c r="F61" s="45">
        <f>' МЕНЮ_ХЭХ '!G242</f>
        <v>24.303000000000001</v>
      </c>
      <c r="G61" s="45">
        <f>' МЕНЮ_ХЭХ '!H242</f>
        <v>186.76400000000001</v>
      </c>
      <c r="I61" s="41">
        <f t="shared" si="24"/>
        <v>6.9531914893617028E-2</v>
      </c>
      <c r="J61" s="41">
        <f t="shared" si="25"/>
        <v>8.9588235294117635E-2</v>
      </c>
      <c r="K61" s="41">
        <f t="shared" si="26"/>
        <v>9.2056818181818184E-2</v>
      </c>
      <c r="L61" s="41">
        <f t="shared" si="27"/>
        <v>9.1282502443792768E-2</v>
      </c>
      <c r="N61" s="41">
        <f t="shared" si="28"/>
        <v>0.13998415112120108</v>
      </c>
      <c r="O61" s="41">
        <f t="shared" si="29"/>
        <v>0.29356835364417122</v>
      </c>
      <c r="P61" s="41">
        <f t="shared" si="30"/>
        <v>0.52050716412156517</v>
      </c>
    </row>
    <row r="62" spans="1:16" s="34" customFormat="1" ht="10.8" x14ac:dyDescent="0.2">
      <c r="A62" s="366" t="s">
        <v>277</v>
      </c>
      <c r="B62" s="366"/>
      <c r="C62" s="45">
        <f>' МЕНЮ_ХЭХ '!D271</f>
        <v>2.3127499999999999</v>
      </c>
      <c r="D62" s="45">
        <f>' МЕНЮ_ХЭХ '!E271</f>
        <v>5.9359999999999999</v>
      </c>
      <c r="E62" s="45">
        <f>' МЕНЮ_ХЭХ '!F271</f>
        <v>6.3919999999999995</v>
      </c>
      <c r="F62" s="45">
        <f>' МЕНЮ_ХЭХ '!G271</f>
        <v>27.753</v>
      </c>
      <c r="G62" s="45">
        <f>' МЕНЮ_ХЭХ '!H271</f>
        <v>200.26400000000001</v>
      </c>
      <c r="I62" s="41">
        <f t="shared" si="24"/>
        <v>6.3148936170212763E-2</v>
      </c>
      <c r="J62" s="41">
        <f t="shared" si="25"/>
        <v>9.3999999999999986E-2</v>
      </c>
      <c r="K62" s="41">
        <f t="shared" si="26"/>
        <v>0.105125</v>
      </c>
      <c r="L62" s="41">
        <f t="shared" si="27"/>
        <v>9.7880742913000987E-2</v>
      </c>
      <c r="N62" s="41">
        <f t="shared" si="28"/>
        <v>0.11856349618503574</v>
      </c>
      <c r="O62" s="41">
        <f t="shared" si="29"/>
        <v>0.28726081572324524</v>
      </c>
      <c r="P62" s="41">
        <f t="shared" si="30"/>
        <v>0.55432828666160661</v>
      </c>
    </row>
    <row r="63" spans="1:16" s="34" customFormat="1" ht="10.8" x14ac:dyDescent="0.2">
      <c r="A63" s="366" t="s">
        <v>278</v>
      </c>
      <c r="B63" s="366"/>
      <c r="C63" s="45">
        <f>' МЕНЮ_ХЭХ '!D301</f>
        <v>2.0252500000000002</v>
      </c>
      <c r="D63" s="45">
        <f>' МЕНЮ_ХЭХ '!E301</f>
        <v>6.5360000000000005</v>
      </c>
      <c r="E63" s="45">
        <f>' МЕНЮ_ХЭХ '!F301</f>
        <v>6.0919999999999996</v>
      </c>
      <c r="F63" s="45">
        <f>' МЕНЮ_ХЭХ '!G301</f>
        <v>24.303000000000001</v>
      </c>
      <c r="G63" s="45">
        <f>' МЕНЮ_ХЭХ '!H301</f>
        <v>186.76400000000001</v>
      </c>
      <c r="I63" s="41">
        <f t="shared" si="24"/>
        <v>6.9531914893617028E-2</v>
      </c>
      <c r="J63" s="41">
        <f t="shared" si="25"/>
        <v>8.9588235294117635E-2</v>
      </c>
      <c r="K63" s="41">
        <f t="shared" si="26"/>
        <v>9.2056818181818184E-2</v>
      </c>
      <c r="L63" s="41">
        <f t="shared" si="27"/>
        <v>9.1282502443792768E-2</v>
      </c>
      <c r="N63" s="41">
        <f t="shared" si="28"/>
        <v>0.13998415112120108</v>
      </c>
      <c r="O63" s="41">
        <f t="shared" si="29"/>
        <v>0.29356835364417122</v>
      </c>
      <c r="P63" s="41">
        <f t="shared" si="30"/>
        <v>0.52050716412156517</v>
      </c>
    </row>
    <row r="64" spans="1:16" s="34" customFormat="1" ht="10.8" x14ac:dyDescent="0.2">
      <c r="A64" s="366" t="s">
        <v>279</v>
      </c>
      <c r="B64" s="366"/>
      <c r="C64" s="45">
        <f>AVERAGE(C54:C63)</f>
        <v>2.14025</v>
      </c>
      <c r="D64" s="45">
        <f t="shared" ref="D64:G64" si="31">AVERAGE(D54:D63)</f>
        <v>6.2960000000000012</v>
      </c>
      <c r="E64" s="45">
        <f t="shared" si="31"/>
        <v>6.2119999999999989</v>
      </c>
      <c r="F64" s="45">
        <f t="shared" si="31"/>
        <v>25.683</v>
      </c>
      <c r="G64" s="45">
        <f t="shared" si="31"/>
        <v>192.16400000000004</v>
      </c>
      <c r="I64" s="42">
        <f>AVERAGE(I54:I63)</f>
        <v>6.6978723404255328E-2</v>
      </c>
      <c r="J64" s="42">
        <f>AVERAGE(J54:J63)</f>
        <v>9.1352941176470567E-2</v>
      </c>
      <c r="K64" s="42">
        <f>AVERAGE(K54:K63)</f>
        <v>9.7284090909090931E-2</v>
      </c>
      <c r="L64" s="42">
        <f>AVERAGE(L54:L63)</f>
        <v>9.3921798631476053E-2</v>
      </c>
      <c r="M64" s="43"/>
      <c r="N64" s="41">
        <f>AVERAGE(N54:N63)</f>
        <v>0.13141588914673491</v>
      </c>
      <c r="O64" s="41">
        <f>AVERAGE(O54:O63)</f>
        <v>0.29104533847580083</v>
      </c>
      <c r="P64" s="41">
        <f>AVERAGE(P54:P63)</f>
        <v>0.53403561313758174</v>
      </c>
    </row>
    <row r="65" spans="1:16" s="34" customFormat="1" x14ac:dyDescent="0.2"/>
    <row r="66" spans="1:16" s="34" customFormat="1" ht="30" customHeight="1" x14ac:dyDescent="0.2">
      <c r="A66" s="367" t="s">
        <v>286</v>
      </c>
      <c r="B66" s="367"/>
      <c r="C66" s="367"/>
      <c r="D66" s="367"/>
      <c r="E66" s="367"/>
      <c r="F66" s="367"/>
      <c r="G66" s="367"/>
      <c r="H66" s="367"/>
      <c r="I66" s="367"/>
      <c r="J66" s="367"/>
      <c r="K66" s="367"/>
      <c r="L66" s="367"/>
      <c r="M66" s="367"/>
      <c r="N66" s="367"/>
      <c r="O66" s="367"/>
      <c r="P66" s="367"/>
    </row>
    <row r="67" spans="1:16" ht="21" customHeight="1" x14ac:dyDescent="0.2"/>
  </sheetData>
  <mergeCells count="74">
    <mergeCell ref="A14:B14"/>
    <mergeCell ref="A2:P2"/>
    <mergeCell ref="A5:B5"/>
    <mergeCell ref="A6:P6"/>
    <mergeCell ref="A7:B8"/>
    <mergeCell ref="D7:F7"/>
    <mergeCell ref="G7:G8"/>
    <mergeCell ref="I7:L7"/>
    <mergeCell ref="N7:P7"/>
    <mergeCell ref="A9:B9"/>
    <mergeCell ref="A10:B10"/>
    <mergeCell ref="A11:B11"/>
    <mergeCell ref="A12:B12"/>
    <mergeCell ref="A13:B13"/>
    <mergeCell ref="N22:P22"/>
    <mergeCell ref="A24:B24"/>
    <mergeCell ref="A15:B15"/>
    <mergeCell ref="A16:B16"/>
    <mergeCell ref="A17:B17"/>
    <mergeCell ref="A18:B18"/>
    <mergeCell ref="A19:B19"/>
    <mergeCell ref="A21:P21"/>
    <mergeCell ref="A30:B30"/>
    <mergeCell ref="A22:B23"/>
    <mergeCell ref="D22:F22"/>
    <mergeCell ref="G22:G23"/>
    <mergeCell ref="I22:L22"/>
    <mergeCell ref="A25:B25"/>
    <mergeCell ref="A26:B26"/>
    <mergeCell ref="A27:B27"/>
    <mergeCell ref="A28:B28"/>
    <mergeCell ref="A29:B29"/>
    <mergeCell ref="C22:C23"/>
    <mergeCell ref="A37:B38"/>
    <mergeCell ref="D37:F37"/>
    <mergeCell ref="G37:G38"/>
    <mergeCell ref="I37:L37"/>
    <mergeCell ref="N37:P37"/>
    <mergeCell ref="C37:C38"/>
    <mergeCell ref="A31:B31"/>
    <mergeCell ref="A32:B32"/>
    <mergeCell ref="A33:B33"/>
    <mergeCell ref="A34:B34"/>
    <mergeCell ref="A36:P36"/>
    <mergeCell ref="D52:F52"/>
    <mergeCell ref="G52:G53"/>
    <mergeCell ref="I52:L52"/>
    <mergeCell ref="N52:P52"/>
    <mergeCell ref="A54:B54"/>
    <mergeCell ref="C52:C53"/>
    <mergeCell ref="A57:B57"/>
    <mergeCell ref="A58:B58"/>
    <mergeCell ref="A59:B59"/>
    <mergeCell ref="A60:B60"/>
    <mergeCell ref="A52:B53"/>
    <mergeCell ref="A55:B55"/>
    <mergeCell ref="A56:B56"/>
    <mergeCell ref="A51:P51"/>
    <mergeCell ref="A39:B39"/>
    <mergeCell ref="A40:B40"/>
    <mergeCell ref="A41:B41"/>
    <mergeCell ref="A42:B42"/>
    <mergeCell ref="A43:B43"/>
    <mergeCell ref="A45:B45"/>
    <mergeCell ref="A46:B46"/>
    <mergeCell ref="A47:B47"/>
    <mergeCell ref="A48:B48"/>
    <mergeCell ref="A49:B49"/>
    <mergeCell ref="A44:B44"/>
    <mergeCell ref="A61:B61"/>
    <mergeCell ref="A62:B62"/>
    <mergeCell ref="A63:B63"/>
    <mergeCell ref="A64:B64"/>
    <mergeCell ref="A66:P66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 МЕНЮ_ХЭХ </vt:lpstr>
      <vt:lpstr>Структура в сравнении</vt:lpstr>
      <vt:lpstr>Исх.меню + ХЕ</vt:lpstr>
      <vt:lpstr>Соотношение ЭЦ </vt:lpstr>
      <vt:lpstr>' МЕНЮ_ХЭХ '!Область_печати</vt:lpstr>
      <vt:lpstr>'Исх.меню + ХЕ'!Область_печати</vt:lpstr>
      <vt:lpstr>'Соотношение ЭЦ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Инспектор</cp:lastModifiedBy>
  <cp:lastPrinted>2021-09-29T14:17:33Z</cp:lastPrinted>
  <dcterms:created xsi:type="dcterms:W3CDTF">2021-04-22T12:05:19Z</dcterms:created>
  <dcterms:modified xsi:type="dcterms:W3CDTF">2022-09-08T09:03:53Z</dcterms:modified>
</cp:coreProperties>
</file>