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4"/>
  </bookViews>
  <sheets>
    <sheet name="к решению" sheetId="1" r:id="rId1"/>
    <sheet name="к решению (2)" sheetId="2" r:id="rId2"/>
    <sheet name="к решению (3)" sheetId="3" r:id="rId3"/>
    <sheet name="к решению (4)" sheetId="4" r:id="rId4"/>
    <sheet name="ОКОНЧАТЕЛЬНЫЙ" sheetId="5" r:id="rId5"/>
  </sheets>
  <definedNames>
    <definedName name="_xlnm._FilterDatabase" localSheetId="0" hidden="1">'к решению'!$A$5:$AA$21</definedName>
    <definedName name="_xlnm._FilterDatabase" localSheetId="1" hidden="1">'к решению (2)'!$A$5:$AA$21</definedName>
    <definedName name="_xlnm._FilterDatabase" localSheetId="2" hidden="1">'к решению (3)'!$A$5:$AA$21</definedName>
    <definedName name="_xlnm._FilterDatabase" localSheetId="3" hidden="1">'к решению (4)'!$A$5:$AA$21</definedName>
    <definedName name="_xlnm._FilterDatabase" localSheetId="4" hidden="1">'ОКОНЧАТЕЛЬНЫЙ'!$A$5:$AA$21</definedName>
    <definedName name="Z_76102BFE_2F5C_4D27_B156_633913FBB66E_.wvu.Cols" localSheetId="0" hidden="1">'к решению'!#REF!</definedName>
    <definedName name="Z_76102BFE_2F5C_4D27_B156_633913FBB66E_.wvu.Cols" localSheetId="1" hidden="1">'к решению (2)'!#REF!</definedName>
    <definedName name="Z_76102BFE_2F5C_4D27_B156_633913FBB66E_.wvu.Cols" localSheetId="2" hidden="1">'к решению (3)'!#REF!</definedName>
    <definedName name="Z_76102BFE_2F5C_4D27_B156_633913FBB66E_.wvu.Cols" localSheetId="3" hidden="1">'к решению (4)'!#REF!</definedName>
    <definedName name="Z_76102BFE_2F5C_4D27_B156_633913FBB66E_.wvu.Cols" localSheetId="4" hidden="1">'ОКОНЧАТЕЛЬНЫЙ'!#REF!</definedName>
    <definedName name="Z_76102BFE_2F5C_4D27_B156_633913FBB66E_.wvu.Rows" localSheetId="0" hidden="1">'к решению'!$1:$1,'к решению'!#REF!</definedName>
    <definedName name="Z_76102BFE_2F5C_4D27_B156_633913FBB66E_.wvu.Rows" localSheetId="1" hidden="1">'к решению (2)'!$1:$1,'к решению (2)'!#REF!</definedName>
    <definedName name="Z_76102BFE_2F5C_4D27_B156_633913FBB66E_.wvu.Rows" localSheetId="2" hidden="1">'к решению (3)'!$1:$1,'к решению (3)'!#REF!</definedName>
    <definedName name="Z_76102BFE_2F5C_4D27_B156_633913FBB66E_.wvu.Rows" localSheetId="3" hidden="1">'к решению (4)'!$1:$1,'к решению (4)'!#REF!</definedName>
    <definedName name="Z_76102BFE_2F5C_4D27_B156_633913FBB66E_.wvu.Rows" localSheetId="4" hidden="1">'ОКОНЧАТЕЛЬНЫЙ'!$1:$1,'ОКОНЧАТЕЛЬНЫЙ'!#REF!</definedName>
    <definedName name="Z_813CF8BA_0C41_4AF8_AA6C_55D14BECB3B0_.wvu.Cols" localSheetId="0" hidden="1">'к решению'!#REF!,'к решению'!#REF!</definedName>
    <definedName name="Z_813CF8BA_0C41_4AF8_AA6C_55D14BECB3B0_.wvu.Cols" localSheetId="1" hidden="1">'к решению (2)'!#REF!,'к решению (2)'!#REF!</definedName>
    <definedName name="Z_813CF8BA_0C41_4AF8_AA6C_55D14BECB3B0_.wvu.Cols" localSheetId="2" hidden="1">'к решению (3)'!#REF!,'к решению (3)'!#REF!</definedName>
    <definedName name="Z_813CF8BA_0C41_4AF8_AA6C_55D14BECB3B0_.wvu.Cols" localSheetId="3" hidden="1">'к решению (4)'!#REF!,'к решению (4)'!#REF!</definedName>
    <definedName name="Z_813CF8BA_0C41_4AF8_AA6C_55D14BECB3B0_.wvu.Cols" localSheetId="4" hidden="1">'ОКОНЧАТЕЛЬНЫЙ'!#REF!,'ОКОНЧАТЕЛЬНЫЙ'!#REF!</definedName>
    <definedName name="Z_813CF8BA_0C41_4AF8_AA6C_55D14BECB3B0_.wvu.FilterData" localSheetId="0" hidden="1">'к решению'!$A$5:$AA$21</definedName>
    <definedName name="Z_813CF8BA_0C41_4AF8_AA6C_55D14BECB3B0_.wvu.FilterData" localSheetId="1" hidden="1">'к решению (2)'!$A$5:$AA$21</definedName>
    <definedName name="Z_813CF8BA_0C41_4AF8_AA6C_55D14BECB3B0_.wvu.FilterData" localSheetId="2" hidden="1">'к решению (3)'!$A$5:$AA$21</definedName>
    <definedName name="Z_813CF8BA_0C41_4AF8_AA6C_55D14BECB3B0_.wvu.FilterData" localSheetId="3" hidden="1">'к решению (4)'!$A$5:$AA$21</definedName>
    <definedName name="Z_813CF8BA_0C41_4AF8_AA6C_55D14BECB3B0_.wvu.FilterData" localSheetId="4" hidden="1">'ОКОНЧАТЕЛЬНЫЙ'!$A$5:$AA$21</definedName>
    <definedName name="Z_813CF8BA_0C41_4AF8_AA6C_55D14BECB3B0_.wvu.PrintArea" localSheetId="0" hidden="1">'к решению'!$A$1:$AA$19</definedName>
    <definedName name="Z_813CF8BA_0C41_4AF8_AA6C_55D14BECB3B0_.wvu.PrintArea" localSheetId="1" hidden="1">'к решению (2)'!$A$1:$AA$19</definedName>
    <definedName name="Z_813CF8BA_0C41_4AF8_AA6C_55D14BECB3B0_.wvu.PrintArea" localSheetId="2" hidden="1">'к решению (3)'!$A$1:$AA$19</definedName>
    <definedName name="Z_813CF8BA_0C41_4AF8_AA6C_55D14BECB3B0_.wvu.PrintArea" localSheetId="3" hidden="1">'к решению (4)'!$A$1:$AA$19</definedName>
    <definedName name="Z_813CF8BA_0C41_4AF8_AA6C_55D14BECB3B0_.wvu.PrintArea" localSheetId="4" hidden="1">'ОКОНЧАТЕЛЬНЫЙ'!$A$1:$AA$19</definedName>
    <definedName name="Z_813CF8BA_0C41_4AF8_AA6C_55D14BECB3B0_.wvu.PrintTitles" localSheetId="0" hidden="1">'к решению'!$A:$B</definedName>
    <definedName name="Z_813CF8BA_0C41_4AF8_AA6C_55D14BECB3B0_.wvu.PrintTitles" localSheetId="1" hidden="1">'к решению (2)'!$A:$B</definedName>
    <definedName name="Z_813CF8BA_0C41_4AF8_AA6C_55D14BECB3B0_.wvu.PrintTitles" localSheetId="2" hidden="1">'к решению (3)'!$A:$B</definedName>
    <definedName name="Z_813CF8BA_0C41_4AF8_AA6C_55D14BECB3B0_.wvu.PrintTitles" localSheetId="3" hidden="1">'к решению (4)'!$A:$B</definedName>
    <definedName name="Z_813CF8BA_0C41_4AF8_AA6C_55D14BECB3B0_.wvu.PrintTitles" localSheetId="4" hidden="1">'ОКОНЧАТЕЛЬНЫЙ'!$A:$B</definedName>
    <definedName name="Z_8F64EA59_DE10_495B_906E_9582BBA45125_.wvu.Cols" localSheetId="0" hidden="1">'к решению'!$C:$C</definedName>
    <definedName name="Z_8F64EA59_DE10_495B_906E_9582BBA45125_.wvu.Cols" localSheetId="1" hidden="1">'к решению (2)'!$C:$C</definedName>
    <definedName name="Z_8F64EA59_DE10_495B_906E_9582BBA45125_.wvu.Cols" localSheetId="2" hidden="1">'к решению (3)'!$C:$C</definedName>
    <definedName name="Z_8F64EA59_DE10_495B_906E_9582BBA45125_.wvu.Cols" localSheetId="3" hidden="1">'к решению (4)'!$C:$C</definedName>
    <definedName name="Z_8F64EA59_DE10_495B_906E_9582BBA45125_.wvu.Cols" localSheetId="4" hidden="1">'ОКОНЧАТЕЛЬНЫЙ'!$C:$C</definedName>
    <definedName name="Z_8F64EA59_DE10_495B_906E_9582BBA45125_.wvu.PrintArea" localSheetId="0" hidden="1">'к решению'!$B$1:$AA$18</definedName>
    <definedName name="Z_8F64EA59_DE10_495B_906E_9582BBA45125_.wvu.PrintArea" localSheetId="1" hidden="1">'к решению (2)'!$B$1:$AA$18</definedName>
    <definedName name="Z_8F64EA59_DE10_495B_906E_9582BBA45125_.wvu.PrintArea" localSheetId="2" hidden="1">'к решению (3)'!$B$1:$AA$18</definedName>
    <definedName name="Z_8F64EA59_DE10_495B_906E_9582BBA45125_.wvu.PrintArea" localSheetId="3" hidden="1">'к решению (4)'!$B$1:$AA$18</definedName>
    <definedName name="Z_8F64EA59_DE10_495B_906E_9582BBA45125_.wvu.PrintArea" localSheetId="4" hidden="1">'ОКОНЧАТЕЛЬНЫЙ'!$B$1:$AA$18</definedName>
    <definedName name="Z_A2C0FC7C_F7D3_46A0_9981_FF758EC2AABB_.wvu.FilterData" localSheetId="0" hidden="1">'к решению'!$A$5:$AA$21</definedName>
    <definedName name="Z_A2C0FC7C_F7D3_46A0_9981_FF758EC2AABB_.wvu.FilterData" localSheetId="1" hidden="1">'к решению (2)'!$A$5:$AA$21</definedName>
    <definedName name="Z_A2C0FC7C_F7D3_46A0_9981_FF758EC2AABB_.wvu.FilterData" localSheetId="2" hidden="1">'к решению (3)'!$A$5:$AA$21</definedName>
    <definedName name="Z_A2C0FC7C_F7D3_46A0_9981_FF758EC2AABB_.wvu.FilterData" localSheetId="3" hidden="1">'к решению (4)'!$A$5:$AA$21</definedName>
    <definedName name="Z_A2C0FC7C_F7D3_46A0_9981_FF758EC2AABB_.wvu.FilterData" localSheetId="4" hidden="1">'ОКОНЧАТЕЛЬНЫЙ'!$A$5:$AA$21</definedName>
    <definedName name="Z_A2C0FC7C_F7D3_46A0_9981_FF758EC2AABB_.wvu.PrintArea" localSheetId="0" hidden="1">'к решению'!$A$1:$AA$19</definedName>
    <definedName name="Z_A2C0FC7C_F7D3_46A0_9981_FF758EC2AABB_.wvu.PrintArea" localSheetId="1" hidden="1">'к решению (2)'!$A$1:$AA$19</definedName>
    <definedName name="Z_A2C0FC7C_F7D3_46A0_9981_FF758EC2AABB_.wvu.PrintArea" localSheetId="2" hidden="1">'к решению (3)'!$A$1:$AA$19</definedName>
    <definedName name="Z_A2C0FC7C_F7D3_46A0_9981_FF758EC2AABB_.wvu.PrintArea" localSheetId="3" hidden="1">'к решению (4)'!$A$1:$AA$19</definedName>
    <definedName name="Z_A2C0FC7C_F7D3_46A0_9981_FF758EC2AABB_.wvu.PrintArea" localSheetId="4" hidden="1">'ОКОНЧАТЕЛЬНЫЙ'!$A$1:$AA$19</definedName>
    <definedName name="Z_A2C0FC7C_F7D3_46A0_9981_FF758EC2AABB_.wvu.PrintTitles" localSheetId="0" hidden="1">'к решению'!$A:$B</definedName>
    <definedName name="Z_A2C0FC7C_F7D3_46A0_9981_FF758EC2AABB_.wvu.PrintTitles" localSheetId="1" hidden="1">'к решению (2)'!$A:$B</definedName>
    <definedName name="Z_A2C0FC7C_F7D3_46A0_9981_FF758EC2AABB_.wvu.PrintTitles" localSheetId="2" hidden="1">'к решению (3)'!$A:$B</definedName>
    <definedName name="Z_A2C0FC7C_F7D3_46A0_9981_FF758EC2AABB_.wvu.PrintTitles" localSheetId="3" hidden="1">'к решению (4)'!$A:$B</definedName>
    <definedName name="Z_A2C0FC7C_F7D3_46A0_9981_FF758EC2AABB_.wvu.PrintTitles" localSheetId="4" hidden="1">'ОКОНЧАТЕЛЬНЫЙ'!$A:$B</definedName>
    <definedName name="Z_C670956D_36FB_4676_8D99_EB524B5F09EC_.wvu.Cols" localSheetId="0" hidden="1">'к решению'!$C:$C</definedName>
    <definedName name="Z_C670956D_36FB_4676_8D99_EB524B5F09EC_.wvu.Cols" localSheetId="1" hidden="1">'к решению (2)'!$C:$C</definedName>
    <definedName name="Z_C670956D_36FB_4676_8D99_EB524B5F09EC_.wvu.Cols" localSheetId="2" hidden="1">'к решению (3)'!$C:$C</definedName>
    <definedName name="Z_C670956D_36FB_4676_8D99_EB524B5F09EC_.wvu.Cols" localSheetId="3" hidden="1">'к решению (4)'!$C:$C</definedName>
    <definedName name="Z_C670956D_36FB_4676_8D99_EB524B5F09EC_.wvu.Cols" localSheetId="4" hidden="1">'ОКОНЧАТЕЛЬНЫЙ'!$C:$C</definedName>
    <definedName name="Z_C670956D_36FB_4676_8D99_EB524B5F09EC_.wvu.PrintArea" localSheetId="0" hidden="1">'к решению'!$B$2:$AA$19</definedName>
    <definedName name="Z_C670956D_36FB_4676_8D99_EB524B5F09EC_.wvu.PrintArea" localSheetId="1" hidden="1">'к решению (2)'!$B$2:$AA$19</definedName>
    <definedName name="Z_C670956D_36FB_4676_8D99_EB524B5F09EC_.wvu.PrintArea" localSheetId="2" hidden="1">'к решению (3)'!$B$2:$AA$19</definedName>
    <definedName name="Z_C670956D_36FB_4676_8D99_EB524B5F09EC_.wvu.PrintArea" localSheetId="3" hidden="1">'к решению (4)'!$B$2:$AA$19</definedName>
    <definedName name="Z_C670956D_36FB_4676_8D99_EB524B5F09EC_.wvu.PrintArea" localSheetId="4" hidden="1">'ОКОНЧАТЕЛЬНЫЙ'!$B$2:$AA$19</definedName>
    <definedName name="Z_C670956D_36FB_4676_8D99_EB524B5F09EC_.wvu.PrintTitles" localSheetId="0" hidden="1">'к решению'!$A:$B</definedName>
    <definedName name="Z_C670956D_36FB_4676_8D99_EB524B5F09EC_.wvu.PrintTitles" localSheetId="1" hidden="1">'к решению (2)'!$A:$B</definedName>
    <definedName name="Z_C670956D_36FB_4676_8D99_EB524B5F09EC_.wvu.PrintTitles" localSheetId="2" hidden="1">'к решению (3)'!$A:$B</definedName>
    <definedName name="Z_C670956D_36FB_4676_8D99_EB524B5F09EC_.wvu.PrintTitles" localSheetId="3" hidden="1">'к решению (4)'!$A:$B</definedName>
    <definedName name="Z_C670956D_36FB_4676_8D99_EB524B5F09EC_.wvu.PrintTitles" localSheetId="4" hidden="1">'ОКОНЧАТЕЛЬНЫЙ'!$A:$B</definedName>
    <definedName name="Z_DA5AF9B9_0A43_4761_83D3_36D94417A2D7_.wvu.Cols" localSheetId="0" hidden="1">'к решению'!#REF!,'к решению'!#REF!</definedName>
    <definedName name="Z_DA5AF9B9_0A43_4761_83D3_36D94417A2D7_.wvu.Cols" localSheetId="1" hidden="1">'к решению (2)'!#REF!,'к решению (2)'!#REF!</definedName>
    <definedName name="Z_DA5AF9B9_0A43_4761_83D3_36D94417A2D7_.wvu.Cols" localSheetId="2" hidden="1">'к решению (3)'!#REF!,'к решению (3)'!#REF!</definedName>
    <definedName name="Z_DA5AF9B9_0A43_4761_83D3_36D94417A2D7_.wvu.Cols" localSheetId="3" hidden="1">'к решению (4)'!#REF!,'к решению (4)'!#REF!</definedName>
    <definedName name="Z_DA5AF9B9_0A43_4761_83D3_36D94417A2D7_.wvu.Cols" localSheetId="4" hidden="1">'ОКОНЧАТЕЛЬНЫЙ'!#REF!,'ОКОНЧАТЕЛЬНЫЙ'!#REF!</definedName>
    <definedName name="Z_DA5AF9B9_0A43_4761_83D3_36D94417A2D7_.wvu.FilterData" localSheetId="0" hidden="1">'к решению'!$A$5:$AA$21</definedName>
    <definedName name="Z_DA5AF9B9_0A43_4761_83D3_36D94417A2D7_.wvu.FilterData" localSheetId="1" hidden="1">'к решению (2)'!$A$5:$AA$21</definedName>
    <definedName name="Z_DA5AF9B9_0A43_4761_83D3_36D94417A2D7_.wvu.FilterData" localSheetId="2" hidden="1">'к решению (3)'!$A$5:$AA$21</definedName>
    <definedName name="Z_DA5AF9B9_0A43_4761_83D3_36D94417A2D7_.wvu.FilterData" localSheetId="3" hidden="1">'к решению (4)'!$A$5:$AA$21</definedName>
    <definedName name="Z_DA5AF9B9_0A43_4761_83D3_36D94417A2D7_.wvu.FilterData" localSheetId="4" hidden="1">'ОКОНЧАТЕЛЬНЫЙ'!$A$5:$AA$21</definedName>
    <definedName name="Z_DA5AF9B9_0A43_4761_83D3_36D94417A2D7_.wvu.PrintArea" localSheetId="0" hidden="1">'к решению'!$A$1:$AA$19</definedName>
    <definedName name="Z_DA5AF9B9_0A43_4761_83D3_36D94417A2D7_.wvu.PrintArea" localSheetId="1" hidden="1">'к решению (2)'!$A$1:$AA$19</definedName>
    <definedName name="Z_DA5AF9B9_0A43_4761_83D3_36D94417A2D7_.wvu.PrintArea" localSheetId="2" hidden="1">'к решению (3)'!$A$1:$AA$19</definedName>
    <definedName name="Z_DA5AF9B9_0A43_4761_83D3_36D94417A2D7_.wvu.PrintArea" localSheetId="3" hidden="1">'к решению (4)'!$A$1:$AA$19</definedName>
    <definedName name="Z_DA5AF9B9_0A43_4761_83D3_36D94417A2D7_.wvu.PrintArea" localSheetId="4" hidden="1">'ОКОНЧАТЕЛЬНЫЙ'!$A$1:$AA$19</definedName>
    <definedName name="Z_DA5AF9B9_0A43_4761_83D3_36D94417A2D7_.wvu.PrintTitles" localSheetId="0" hidden="1">'к решению'!$A:$B</definedName>
    <definedName name="Z_DA5AF9B9_0A43_4761_83D3_36D94417A2D7_.wvu.PrintTitles" localSheetId="1" hidden="1">'к решению (2)'!$A:$B</definedName>
    <definedName name="Z_DA5AF9B9_0A43_4761_83D3_36D94417A2D7_.wvu.PrintTitles" localSheetId="2" hidden="1">'к решению (3)'!$A:$B</definedName>
    <definedName name="Z_DA5AF9B9_0A43_4761_83D3_36D94417A2D7_.wvu.PrintTitles" localSheetId="3" hidden="1">'к решению (4)'!$A:$B</definedName>
    <definedName name="Z_DA5AF9B9_0A43_4761_83D3_36D94417A2D7_.wvu.PrintTitles" localSheetId="4" hidden="1">'ОКОНЧАТЕЛЬНЫЙ'!$A:$B</definedName>
    <definedName name="Z_E3BA8B1E_C541_4B02_9FF7_04723B1FDB8A_.wvu.FilterData" localSheetId="0" hidden="1">'к решению'!$A$5:$AA$21</definedName>
    <definedName name="Z_E3BA8B1E_C541_4B02_9FF7_04723B1FDB8A_.wvu.FilterData" localSheetId="1" hidden="1">'к решению (2)'!$A$5:$AA$21</definedName>
    <definedName name="Z_E3BA8B1E_C541_4B02_9FF7_04723B1FDB8A_.wvu.FilterData" localSheetId="2" hidden="1">'к решению (3)'!$A$5:$AA$21</definedName>
    <definedName name="Z_E3BA8B1E_C541_4B02_9FF7_04723B1FDB8A_.wvu.FilterData" localSheetId="3" hidden="1">'к решению (4)'!$A$5:$AA$21</definedName>
    <definedName name="Z_E3BA8B1E_C541_4B02_9FF7_04723B1FDB8A_.wvu.FilterData" localSheetId="4" hidden="1">'ОКОНЧАТЕЛЬНЫЙ'!$A$5:$AA$21</definedName>
    <definedName name="Z_E3BA8B1E_C541_4B02_9FF7_04723B1FDB8A_.wvu.PrintArea" localSheetId="0" hidden="1">'к решению'!$A$1:$AA$19</definedName>
    <definedName name="Z_E3BA8B1E_C541_4B02_9FF7_04723B1FDB8A_.wvu.PrintArea" localSheetId="1" hidden="1">'к решению (2)'!$A$1:$AA$19</definedName>
    <definedName name="Z_E3BA8B1E_C541_4B02_9FF7_04723B1FDB8A_.wvu.PrintArea" localSheetId="2" hidden="1">'к решению (3)'!$A$1:$AA$19</definedName>
    <definedName name="Z_E3BA8B1E_C541_4B02_9FF7_04723B1FDB8A_.wvu.PrintArea" localSheetId="3" hidden="1">'к решению (4)'!$A$1:$AA$19</definedName>
    <definedName name="Z_E3BA8B1E_C541_4B02_9FF7_04723B1FDB8A_.wvu.PrintArea" localSheetId="4" hidden="1">'ОКОНЧАТЕЛЬНЫЙ'!$A$1:$AA$19</definedName>
    <definedName name="Z_E3BA8B1E_C541_4B02_9FF7_04723B1FDB8A_.wvu.PrintTitles" localSheetId="0" hidden="1">'к решению'!$A:$B</definedName>
    <definedName name="Z_E3BA8B1E_C541_4B02_9FF7_04723B1FDB8A_.wvu.PrintTitles" localSheetId="1" hidden="1">'к решению (2)'!$A:$B</definedName>
    <definedName name="Z_E3BA8B1E_C541_4B02_9FF7_04723B1FDB8A_.wvu.PrintTitles" localSheetId="2" hidden="1">'к решению (3)'!$A:$B</definedName>
    <definedName name="Z_E3BA8B1E_C541_4B02_9FF7_04723B1FDB8A_.wvu.PrintTitles" localSheetId="3" hidden="1">'к решению (4)'!$A:$B</definedName>
    <definedName name="Z_E3BA8B1E_C541_4B02_9FF7_04723B1FDB8A_.wvu.PrintTitles" localSheetId="4" hidden="1">'ОКОНЧАТЕЛЬНЫЙ'!$A:$B</definedName>
    <definedName name="Z_E7F5761F_5CB1_435C_B32F_C62344DAC274_.wvu.Cols" localSheetId="0" hidden="1">'к решению'!#REF!,'к решению'!#REF!</definedName>
    <definedName name="Z_E7F5761F_5CB1_435C_B32F_C62344DAC274_.wvu.Cols" localSheetId="1" hidden="1">'к решению (2)'!#REF!,'к решению (2)'!#REF!</definedName>
    <definedName name="Z_E7F5761F_5CB1_435C_B32F_C62344DAC274_.wvu.Cols" localSheetId="2" hidden="1">'к решению (3)'!#REF!,'к решению (3)'!#REF!</definedName>
    <definedName name="Z_E7F5761F_5CB1_435C_B32F_C62344DAC274_.wvu.Cols" localSheetId="3" hidden="1">'к решению (4)'!#REF!,'к решению (4)'!#REF!</definedName>
    <definedName name="Z_E7F5761F_5CB1_435C_B32F_C62344DAC274_.wvu.Cols" localSheetId="4" hidden="1">'ОКОНЧАТЕЛЬНЫЙ'!#REF!,'ОКОНЧАТЕЛЬНЫЙ'!#REF!</definedName>
    <definedName name="Z_E7F5761F_5CB1_435C_B32F_C62344DAC274_.wvu.FilterData" localSheetId="0" hidden="1">'к решению'!$A$5:$AA$21</definedName>
    <definedName name="Z_E7F5761F_5CB1_435C_B32F_C62344DAC274_.wvu.FilterData" localSheetId="1" hidden="1">'к решению (2)'!$A$5:$AA$21</definedName>
    <definedName name="Z_E7F5761F_5CB1_435C_B32F_C62344DAC274_.wvu.FilterData" localSheetId="2" hidden="1">'к решению (3)'!$A$5:$AA$21</definedName>
    <definedName name="Z_E7F5761F_5CB1_435C_B32F_C62344DAC274_.wvu.FilterData" localSheetId="3" hidden="1">'к решению (4)'!$A$5:$AA$21</definedName>
    <definedName name="Z_E7F5761F_5CB1_435C_B32F_C62344DAC274_.wvu.FilterData" localSheetId="4" hidden="1">'ОКОНЧАТЕЛЬНЫЙ'!$A$5:$AA$21</definedName>
    <definedName name="Z_E7F5761F_5CB1_435C_B32F_C62344DAC274_.wvu.PrintArea" localSheetId="0" hidden="1">'к решению'!$A$1:$AA$19</definedName>
    <definedName name="Z_E7F5761F_5CB1_435C_B32F_C62344DAC274_.wvu.PrintArea" localSheetId="1" hidden="1">'к решению (2)'!$A$1:$AA$19</definedName>
    <definedName name="Z_E7F5761F_5CB1_435C_B32F_C62344DAC274_.wvu.PrintArea" localSheetId="2" hidden="1">'к решению (3)'!$A$1:$AA$19</definedName>
    <definedName name="Z_E7F5761F_5CB1_435C_B32F_C62344DAC274_.wvu.PrintArea" localSheetId="3" hidden="1">'к решению (4)'!$A$1:$AA$19</definedName>
    <definedName name="Z_E7F5761F_5CB1_435C_B32F_C62344DAC274_.wvu.PrintArea" localSheetId="4" hidden="1">'ОКОНЧАТЕЛЬНЫЙ'!$A$1:$AA$19</definedName>
    <definedName name="Z_E7F5761F_5CB1_435C_B32F_C62344DAC274_.wvu.PrintTitles" localSheetId="0" hidden="1">'к решению'!$A:$B</definedName>
    <definedName name="Z_E7F5761F_5CB1_435C_B32F_C62344DAC274_.wvu.PrintTitles" localSheetId="1" hidden="1">'к решению (2)'!$A:$B</definedName>
    <definedName name="Z_E7F5761F_5CB1_435C_B32F_C62344DAC274_.wvu.PrintTitles" localSheetId="2" hidden="1">'к решению (3)'!$A:$B</definedName>
    <definedName name="Z_E7F5761F_5CB1_435C_B32F_C62344DAC274_.wvu.PrintTitles" localSheetId="3" hidden="1">'к решению (4)'!$A:$B</definedName>
    <definedName name="Z_E7F5761F_5CB1_435C_B32F_C62344DAC274_.wvu.PrintTitles" localSheetId="4" hidden="1">'ОКОНЧАТЕЛЬНЫЙ'!$A:$B</definedName>
    <definedName name="Z_F0DA4E3E_EF9B_4B0C_8DA8_3AA2110F8C65_.wvu.Cols" localSheetId="0" hidden="1">'к решению'!#REF!,'к решению'!#REF!</definedName>
    <definedName name="Z_F0DA4E3E_EF9B_4B0C_8DA8_3AA2110F8C65_.wvu.Cols" localSheetId="1" hidden="1">'к решению (2)'!#REF!,'к решению (2)'!#REF!</definedName>
    <definedName name="Z_F0DA4E3E_EF9B_4B0C_8DA8_3AA2110F8C65_.wvu.Cols" localSheetId="2" hidden="1">'к решению (3)'!#REF!,'к решению (3)'!#REF!</definedName>
    <definedName name="Z_F0DA4E3E_EF9B_4B0C_8DA8_3AA2110F8C65_.wvu.Cols" localSheetId="3" hidden="1">'к решению (4)'!#REF!,'к решению (4)'!#REF!</definedName>
    <definedName name="Z_F0DA4E3E_EF9B_4B0C_8DA8_3AA2110F8C65_.wvu.Cols" localSheetId="4" hidden="1">'ОКОНЧАТЕЛЬНЫЙ'!#REF!,'ОКОНЧАТЕЛЬНЫЙ'!#REF!</definedName>
    <definedName name="Z_F0DA4E3E_EF9B_4B0C_8DA8_3AA2110F8C65_.wvu.FilterData" localSheetId="0" hidden="1">'к решению'!$A$5:$AA$21</definedName>
    <definedName name="Z_F0DA4E3E_EF9B_4B0C_8DA8_3AA2110F8C65_.wvu.FilterData" localSheetId="1" hidden="1">'к решению (2)'!$A$5:$AA$21</definedName>
    <definedName name="Z_F0DA4E3E_EF9B_4B0C_8DA8_3AA2110F8C65_.wvu.FilterData" localSheetId="2" hidden="1">'к решению (3)'!$A$5:$AA$21</definedName>
    <definedName name="Z_F0DA4E3E_EF9B_4B0C_8DA8_3AA2110F8C65_.wvu.FilterData" localSheetId="3" hidden="1">'к решению (4)'!$A$5:$AA$21</definedName>
    <definedName name="Z_F0DA4E3E_EF9B_4B0C_8DA8_3AA2110F8C65_.wvu.FilterData" localSheetId="4" hidden="1">'ОКОНЧАТЕЛЬНЫЙ'!$A$5:$AA$21</definedName>
    <definedName name="Z_F0DA4E3E_EF9B_4B0C_8DA8_3AA2110F8C65_.wvu.PrintArea" localSheetId="0" hidden="1">'к решению'!$A$1:$AA$19</definedName>
    <definedName name="Z_F0DA4E3E_EF9B_4B0C_8DA8_3AA2110F8C65_.wvu.PrintArea" localSheetId="1" hidden="1">'к решению (2)'!$A$1:$AA$19</definedName>
    <definedName name="Z_F0DA4E3E_EF9B_4B0C_8DA8_3AA2110F8C65_.wvu.PrintArea" localSheetId="2" hidden="1">'к решению (3)'!$A$1:$AA$19</definedName>
    <definedName name="Z_F0DA4E3E_EF9B_4B0C_8DA8_3AA2110F8C65_.wvu.PrintArea" localSheetId="3" hidden="1">'к решению (4)'!$A$1:$AA$19</definedName>
    <definedName name="Z_F0DA4E3E_EF9B_4B0C_8DA8_3AA2110F8C65_.wvu.PrintArea" localSheetId="4" hidden="1">'ОКОНЧАТЕЛЬНЫЙ'!$A$1:$AA$19</definedName>
    <definedName name="Z_F0DA4E3E_EF9B_4B0C_8DA8_3AA2110F8C65_.wvu.PrintTitles" localSheetId="0" hidden="1">'к решению'!$A:$B</definedName>
    <definedName name="Z_F0DA4E3E_EF9B_4B0C_8DA8_3AA2110F8C65_.wvu.PrintTitles" localSheetId="1" hidden="1">'к решению (2)'!$A:$B</definedName>
    <definedName name="Z_F0DA4E3E_EF9B_4B0C_8DA8_3AA2110F8C65_.wvu.PrintTitles" localSheetId="2" hidden="1">'к решению (3)'!$A:$B</definedName>
    <definedName name="Z_F0DA4E3E_EF9B_4B0C_8DA8_3AA2110F8C65_.wvu.PrintTitles" localSheetId="3" hidden="1">'к решению (4)'!$A:$B</definedName>
    <definedName name="Z_F0DA4E3E_EF9B_4B0C_8DA8_3AA2110F8C65_.wvu.PrintTitles" localSheetId="4" hidden="1">'ОКОНЧАТЕЛЬНЫЙ'!$A:$B</definedName>
    <definedName name="Z_F8D80542_7371_4D4C_AAAF_1CBC61AD235C_.wvu.PrintArea" localSheetId="0" hidden="1">'к решению'!$A$1:$AA$19</definedName>
    <definedName name="Z_F8D80542_7371_4D4C_AAAF_1CBC61AD235C_.wvu.PrintArea" localSheetId="1" hidden="1">'к решению (2)'!$A$1:$AA$19</definedName>
    <definedName name="Z_F8D80542_7371_4D4C_AAAF_1CBC61AD235C_.wvu.PrintArea" localSheetId="2" hidden="1">'к решению (3)'!$A$1:$AA$19</definedName>
    <definedName name="Z_F8D80542_7371_4D4C_AAAF_1CBC61AD235C_.wvu.PrintArea" localSheetId="3" hidden="1">'к решению (4)'!$A$1:$AA$19</definedName>
    <definedName name="Z_F8D80542_7371_4D4C_AAAF_1CBC61AD235C_.wvu.PrintArea" localSheetId="4" hidden="1">'ОКОНЧАТЕЛЬНЫЙ'!$A$1:$AA$19</definedName>
    <definedName name="Z_F8D80542_7371_4D4C_AAAF_1CBC61AD235C_.wvu.PrintTitles" localSheetId="0" hidden="1">'к решению'!$A:$B</definedName>
    <definedName name="Z_F8D80542_7371_4D4C_AAAF_1CBC61AD235C_.wvu.PrintTitles" localSheetId="1" hidden="1">'к решению (2)'!$A:$B</definedName>
    <definedName name="Z_F8D80542_7371_4D4C_AAAF_1CBC61AD235C_.wvu.PrintTitles" localSheetId="2" hidden="1">'к решению (3)'!$A:$B</definedName>
    <definedName name="Z_F8D80542_7371_4D4C_AAAF_1CBC61AD235C_.wvu.PrintTitles" localSheetId="3" hidden="1">'к решению (4)'!$A:$B</definedName>
    <definedName name="Z_F8D80542_7371_4D4C_AAAF_1CBC61AD235C_.wvu.PrintTitles" localSheetId="4" hidden="1">'ОКОНЧАТЕЛЬНЫЙ'!$A:$B</definedName>
    <definedName name="_xlnm.Print_Titles" localSheetId="0">'к решению'!$A:$B</definedName>
    <definedName name="_xlnm.Print_Titles" localSheetId="1">'к решению (2)'!$A:$B</definedName>
    <definedName name="_xlnm.Print_Titles" localSheetId="2">'к решению (3)'!$A:$B</definedName>
    <definedName name="_xlnm.Print_Titles" localSheetId="3">'к решению (4)'!$A:$B</definedName>
    <definedName name="_xlnm.Print_Titles" localSheetId="4">'ОКОНЧАТЕЛЬНЫЙ'!$A:$B</definedName>
    <definedName name="_xlnm.Print_Area" localSheetId="0">'к решению'!$B$1:$AA$19</definedName>
    <definedName name="_xlnm.Print_Area" localSheetId="1">'к решению (2)'!$B$1:$AA$19</definedName>
    <definedName name="_xlnm.Print_Area" localSheetId="2">'к решению (3)'!$B$1:$AA$19</definedName>
    <definedName name="_xlnm.Print_Area" localSheetId="3">'к решению (4)'!$B$1:$AA$19</definedName>
    <definedName name="_xlnm.Print_Area" localSheetId="4">'ОКОНЧАТЕЛЬНЫЙ'!$B$1:$AA$19</definedName>
  </definedNames>
  <calcPr fullCalcOnLoad="1"/>
</workbook>
</file>

<file path=xl/comments1.xml><?xml version="1.0" encoding="utf-8"?>
<comments xmlns="http://schemas.openxmlformats.org/spreadsheetml/2006/main">
  <authors>
    <author>КочесоковаТЕ</author>
  </authors>
  <commentList>
    <comment ref="I19" authorId="0">
      <text>
        <r>
          <rPr>
            <b/>
            <sz val="8"/>
            <rFont val="Tahoma"/>
            <family val="0"/>
          </rPr>
          <t>КочесоковаТЕ:</t>
        </r>
        <r>
          <rPr>
            <sz val="8"/>
            <rFont val="Tahoma"/>
            <family val="0"/>
          </rPr>
          <t xml:space="preserve">
ставим сумму фонда финансовой поддержки поселений, которую необходимо распределить
</t>
        </r>
      </text>
    </comment>
    <comment ref="L19" authorId="0">
      <text>
        <r>
          <rPr>
            <b/>
            <sz val="8"/>
            <rFont val="Tahoma"/>
            <family val="0"/>
          </rPr>
          <t>КочесоковаТЕ:</t>
        </r>
        <r>
          <rPr>
            <sz val="8"/>
            <rFont val="Tahoma"/>
            <family val="0"/>
          </rPr>
          <t xml:space="preserve">
методом подбора ставим цифру, чтобы максимально распределить фонд</t>
        </r>
      </text>
    </comment>
    <comment ref="X19" authorId="0">
      <text>
        <r>
          <rPr>
            <b/>
            <sz val="8"/>
            <rFont val="Tahoma"/>
            <family val="0"/>
          </rPr>
          <t>КочесоковаТЕ:</t>
        </r>
        <r>
          <rPr>
            <sz val="8"/>
            <rFont val="Tahoma"/>
            <family val="0"/>
          </rPr>
          <t xml:space="preserve">
процент ставим методом подбора, пока сумма по столбцу 22 не будет равна нулю</t>
        </r>
      </text>
    </comment>
  </commentList>
</comments>
</file>

<file path=xl/comments2.xml><?xml version="1.0" encoding="utf-8"?>
<comments xmlns="http://schemas.openxmlformats.org/spreadsheetml/2006/main">
  <authors>
    <author>КочесоковаТЕ</author>
  </authors>
  <commentList>
    <comment ref="I19" authorId="0">
      <text>
        <r>
          <rPr>
            <b/>
            <sz val="8"/>
            <rFont val="Tahoma"/>
            <family val="0"/>
          </rPr>
          <t>КочесоковаТЕ:</t>
        </r>
        <r>
          <rPr>
            <sz val="8"/>
            <rFont val="Tahoma"/>
            <family val="0"/>
          </rPr>
          <t xml:space="preserve">
ставим сумму фонда финансовой поддержки поселений, которую необходимо распределить
</t>
        </r>
      </text>
    </comment>
    <comment ref="L19" authorId="0">
      <text>
        <r>
          <rPr>
            <b/>
            <sz val="8"/>
            <rFont val="Tahoma"/>
            <family val="0"/>
          </rPr>
          <t>КочесоковаТЕ:</t>
        </r>
        <r>
          <rPr>
            <sz val="8"/>
            <rFont val="Tahoma"/>
            <family val="0"/>
          </rPr>
          <t xml:space="preserve">
методом подбора ставим цифру, чтобы максимально распределить фонд</t>
        </r>
      </text>
    </comment>
    <comment ref="X19" authorId="0">
      <text>
        <r>
          <rPr>
            <b/>
            <sz val="8"/>
            <rFont val="Tahoma"/>
            <family val="0"/>
          </rPr>
          <t>КочесоковаТЕ:</t>
        </r>
        <r>
          <rPr>
            <sz val="8"/>
            <rFont val="Tahoma"/>
            <family val="0"/>
          </rPr>
          <t xml:space="preserve">
процент ставим методом подбора, пока сумма по столбцу 22 не будет равна нулю</t>
        </r>
      </text>
    </comment>
  </commentList>
</comments>
</file>

<file path=xl/comments3.xml><?xml version="1.0" encoding="utf-8"?>
<comments xmlns="http://schemas.openxmlformats.org/spreadsheetml/2006/main">
  <authors>
    <author>КочесоковаТЕ</author>
  </authors>
  <commentList>
    <comment ref="I19" authorId="0">
      <text>
        <r>
          <rPr>
            <b/>
            <sz val="8"/>
            <rFont val="Tahoma"/>
            <family val="0"/>
          </rPr>
          <t>КочесоковаТЕ:</t>
        </r>
        <r>
          <rPr>
            <sz val="8"/>
            <rFont val="Tahoma"/>
            <family val="0"/>
          </rPr>
          <t xml:space="preserve">
ставим сумму фонда финансовой поддержки поселений, которую необходимо распределить
</t>
        </r>
      </text>
    </comment>
    <comment ref="L19" authorId="0">
      <text>
        <r>
          <rPr>
            <b/>
            <sz val="8"/>
            <rFont val="Tahoma"/>
            <family val="0"/>
          </rPr>
          <t>КочесоковаТЕ:</t>
        </r>
        <r>
          <rPr>
            <sz val="8"/>
            <rFont val="Tahoma"/>
            <family val="0"/>
          </rPr>
          <t xml:space="preserve">
методом подбора ставим цифру, чтобы максимально распределить фонд</t>
        </r>
      </text>
    </comment>
    <comment ref="X19" authorId="0">
      <text>
        <r>
          <rPr>
            <b/>
            <sz val="8"/>
            <rFont val="Tahoma"/>
            <family val="0"/>
          </rPr>
          <t>КочесоковаТЕ:</t>
        </r>
        <r>
          <rPr>
            <sz val="8"/>
            <rFont val="Tahoma"/>
            <family val="0"/>
          </rPr>
          <t xml:space="preserve">
процент ставим методом подбора, пока сумма по столбцу 22 не будет равна нулю</t>
        </r>
      </text>
    </comment>
  </commentList>
</comments>
</file>

<file path=xl/comments4.xml><?xml version="1.0" encoding="utf-8"?>
<comments xmlns="http://schemas.openxmlformats.org/spreadsheetml/2006/main">
  <authors>
    <author>КочесоковаТЕ</author>
  </authors>
  <commentList>
    <comment ref="I19" authorId="0">
      <text>
        <r>
          <rPr>
            <b/>
            <sz val="8"/>
            <rFont val="Tahoma"/>
            <family val="0"/>
          </rPr>
          <t>КочесоковаТЕ:</t>
        </r>
        <r>
          <rPr>
            <sz val="8"/>
            <rFont val="Tahoma"/>
            <family val="0"/>
          </rPr>
          <t xml:space="preserve">
ставим сумму фонда финансовой поддержки поселений, которую необходимо распределить
</t>
        </r>
      </text>
    </comment>
    <comment ref="L19" authorId="0">
      <text>
        <r>
          <rPr>
            <b/>
            <sz val="8"/>
            <rFont val="Tahoma"/>
            <family val="0"/>
          </rPr>
          <t>КочесоковаТЕ:</t>
        </r>
        <r>
          <rPr>
            <sz val="8"/>
            <rFont val="Tahoma"/>
            <family val="0"/>
          </rPr>
          <t xml:space="preserve">
методом подбора ставим цифру, чтобы максимально распределить фонд</t>
        </r>
      </text>
    </comment>
    <comment ref="X19" authorId="0">
      <text>
        <r>
          <rPr>
            <b/>
            <sz val="8"/>
            <rFont val="Tahoma"/>
            <family val="0"/>
          </rPr>
          <t>КочесоковаТЕ:</t>
        </r>
        <r>
          <rPr>
            <sz val="8"/>
            <rFont val="Tahoma"/>
            <family val="0"/>
          </rPr>
          <t xml:space="preserve">
процент ставим методом подбора, пока сумма по столбцу 22 не будет равна нулю</t>
        </r>
      </text>
    </comment>
  </commentList>
</comments>
</file>

<file path=xl/comments5.xml><?xml version="1.0" encoding="utf-8"?>
<comments xmlns="http://schemas.openxmlformats.org/spreadsheetml/2006/main">
  <authors>
    <author>КочесоковаТЕ</author>
  </authors>
  <commentList>
    <comment ref="I19" authorId="0">
      <text>
        <r>
          <rPr>
            <b/>
            <sz val="8"/>
            <rFont val="Tahoma"/>
            <family val="0"/>
          </rPr>
          <t>КочесоковаТЕ:</t>
        </r>
        <r>
          <rPr>
            <sz val="8"/>
            <rFont val="Tahoma"/>
            <family val="0"/>
          </rPr>
          <t xml:space="preserve">
ставим сумму фонда финансовой поддержки поселений, которую необходимо распределить
</t>
        </r>
      </text>
    </comment>
    <comment ref="L19" authorId="0">
      <text>
        <r>
          <rPr>
            <b/>
            <sz val="8"/>
            <rFont val="Tahoma"/>
            <family val="0"/>
          </rPr>
          <t>КочесоковаТЕ:</t>
        </r>
        <r>
          <rPr>
            <sz val="8"/>
            <rFont val="Tahoma"/>
            <family val="0"/>
          </rPr>
          <t xml:space="preserve">
методом подбора ставим цифру, чтобы максимально распределить фонд</t>
        </r>
      </text>
    </comment>
    <comment ref="X19" authorId="0">
      <text>
        <r>
          <rPr>
            <b/>
            <sz val="8"/>
            <rFont val="Tahoma"/>
            <family val="0"/>
          </rPr>
          <t>КочесоковаТЕ:</t>
        </r>
        <r>
          <rPr>
            <sz val="8"/>
            <rFont val="Tahoma"/>
            <family val="0"/>
          </rPr>
          <t xml:space="preserve">
процент ставим методом подбора, пока сумма по столбцу 22 не будет равна нулю</t>
        </r>
      </text>
    </comment>
  </commentList>
</comments>
</file>

<file path=xl/sharedStrings.xml><?xml version="1.0" encoding="utf-8"?>
<sst xmlns="http://schemas.openxmlformats.org/spreadsheetml/2006/main" count="240" uniqueCount="47">
  <si>
    <t>№ п/п</t>
  </si>
  <si>
    <t>Наименование муниципального образования</t>
  </si>
  <si>
    <t>Численность населения на 01.01.2009  тыс. чел.</t>
  </si>
  <si>
    <t>Первый  этап</t>
  </si>
  <si>
    <t>Второй этап</t>
  </si>
  <si>
    <t>Финансовая помощь всего</t>
  </si>
  <si>
    <t xml:space="preserve">Налоговый потенциал 2010г.
</t>
  </si>
  <si>
    <t>Налоговый потенциал на 1 жителя</t>
  </si>
  <si>
    <t xml:space="preserve">Индекс налогового потенциала 
</t>
  </si>
  <si>
    <t xml:space="preserve">ИБР </t>
  </si>
  <si>
    <t xml:space="preserve">Бюджетная обеспеченность (БО) 
</t>
  </si>
  <si>
    <t>Распределение ФФП до максимально возможного уровня выравнивания</t>
  </si>
  <si>
    <t xml:space="preserve">Отклонение БО 
</t>
  </si>
  <si>
    <t>Объем необходимых средств</t>
  </si>
  <si>
    <t>Объем необходимых средств (положит показатель)</t>
  </si>
  <si>
    <t xml:space="preserve">Сумма дотации  </t>
  </si>
  <si>
    <t xml:space="preserve">БО после 1 эт выравн </t>
  </si>
  <si>
    <t xml:space="preserve">Всего финансовая помощь </t>
  </si>
  <si>
    <t>Увеличение</t>
  </si>
  <si>
    <t>Уменьшение</t>
  </si>
  <si>
    <t>Итого изменения 2 этапа</t>
  </si>
  <si>
    <t>%</t>
  </si>
  <si>
    <t>% увеличения дотации</t>
  </si>
  <si>
    <t>Необходимо дополнительно</t>
  </si>
  <si>
    <t>% уменьшения дотации</t>
  </si>
  <si>
    <t>Сумма</t>
  </si>
  <si>
    <t>Всего:</t>
  </si>
  <si>
    <t>Контрольные цифры</t>
  </si>
  <si>
    <t>Сумма при 50%</t>
  </si>
  <si>
    <t>Критерий выравнивания</t>
  </si>
  <si>
    <t>ФФПП=</t>
  </si>
  <si>
    <t>Дотации из краевого бюджета</t>
  </si>
  <si>
    <t>отрицательные трансферты</t>
  </si>
  <si>
    <t xml:space="preserve">Налоговый потенциал 2010г. С учетом дотации и отрицательного трансферта
</t>
  </si>
  <si>
    <t>Ленинградское</t>
  </si>
  <si>
    <t>Крыловское</t>
  </si>
  <si>
    <t>Новоплатнировское</t>
  </si>
  <si>
    <t>Уманское</t>
  </si>
  <si>
    <t>Новоуманское</t>
  </si>
  <si>
    <t>Куликовское</t>
  </si>
  <si>
    <t>Восточное</t>
  </si>
  <si>
    <t>Образцовое</t>
  </si>
  <si>
    <t>Первомайское</t>
  </si>
  <si>
    <t>Белохуторское</t>
  </si>
  <si>
    <t>Коржовское</t>
  </si>
  <si>
    <t>Западное</t>
  </si>
  <si>
    <t>Рассчет дотаций на выравнивание бюджетной обеспеченности бюджетов поселений на 2011 год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</si>
</sst>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_ ;[Red]\-#,##0\ "/>
    <numFmt numFmtId="169" formatCode="#,##0.0_ ;[Red]\-#,##0.0\ "/>
    <numFmt numFmtId="170" formatCode="0.0"/>
    <numFmt numFmtId="171" formatCode="#,##0.0"/>
    <numFmt numFmtId="172" formatCode="0.000"/>
    <numFmt numFmtId="173" formatCode="0.00000"/>
    <numFmt numFmtId="174" formatCode="#,##0.000_ ;[Red]\-#,##0.000\ "/>
    <numFmt numFmtId="175" formatCode="#,##0.00_ ;[Red]\-#,##0.00\ "/>
    <numFmt numFmtId="176" formatCode="#,##0_ ;\-#,##0\ "/>
    <numFmt numFmtId="177" formatCode="#,##0.000"/>
    <numFmt numFmtId="178" formatCode="#,##0.00000_ ;[Red]\-#,##0.00000\ "/>
    <numFmt numFmtId="179" formatCode="0.00_ ;[Red]\-0.00\ "/>
    <numFmt numFmtId="180" formatCode="#,##0.0000000"/>
    <numFmt numFmtId="181" formatCode="#,##0.000000_ ;[Red]\-#,##0.000000\ "/>
    <numFmt numFmtId="182" formatCode="0.000_ ;[Red]\-0.000\ "/>
    <numFmt numFmtId="183" formatCode="#,##0.0000_ ;[Red]\-#,##0.0000\ "/>
    <numFmt numFmtId="184" formatCode="0.0000"/>
    <numFmt numFmtId="185" formatCode="0.00;[Red]0.00"/>
    <numFmt numFmtId="186" formatCode="0.0%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* #,##0_-;\-* #,##0_-;_-* &quot;-&quot;_-;_-@_-"/>
    <numFmt numFmtId="193" formatCode="_-&quot;€&quot;* #,##0.00_-;\-&quot;€&quot;* #,##0.00_-;_-&quot;€&quot;* &quot;-&quot;??_-;_-@_-"/>
    <numFmt numFmtId="194" formatCode="_-* #,##0.00_-;\-* #,##0.00_-;_-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#,##0.0000"/>
    <numFmt numFmtId="200" formatCode="#,##0.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;[Red]\-#,##0.0"/>
    <numFmt numFmtId="206" formatCode="0.0_ ;[Red]\-0.0\ "/>
    <numFmt numFmtId="207" formatCode="#,##0.0&quot;р.&quot;"/>
    <numFmt numFmtId="208" formatCode="* _-#,##0&quot;р.&quot;;* \-#,##0&quot;р.&quot;;* _-&quot;-&quot;&quot;р.&quot;;@"/>
    <numFmt numFmtId="209" formatCode="00\.00\.00"/>
    <numFmt numFmtId="210" formatCode="#,##0;[Red]\-#,##0"/>
    <numFmt numFmtId="211" formatCode="_(* #,##0_);_(* \(#,##0\);_(* &quot;-&quot;??_);_(@_)"/>
  </numFmts>
  <fonts count="38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22"/>
      <name val="Times New Roman"/>
      <family val="1"/>
    </font>
    <font>
      <sz val="10"/>
      <color indexed="6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2"/>
      <name val="Tahoma"/>
      <family val="2"/>
    </font>
    <font>
      <sz val="10"/>
      <name val="Tahoma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>
      <alignment horizontal="right" vertical="top"/>
      <protection locked="0"/>
    </xf>
    <xf numFmtId="0" fontId="8" fillId="0" borderId="3" applyNumberFormat="0">
      <alignment horizontal="right" vertical="top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34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8" fillId="24" borderId="3">
      <alignment horizontal="left" vertical="top" wrapText="1"/>
      <protection/>
    </xf>
  </cellStyleXfs>
  <cellXfs count="77">
    <xf numFmtId="0" fontId="0" fillId="0" borderId="0" xfId="0" applyAlignment="1">
      <alignment/>
    </xf>
    <xf numFmtId="1" fontId="23" fillId="25" borderId="0" xfId="0" applyNumberFormat="1" applyFont="1" applyFill="1" applyBorder="1" applyAlignment="1">
      <alignment/>
    </xf>
    <xf numFmtId="0" fontId="23" fillId="25" borderId="0" xfId="0" applyNumberFormat="1" applyFont="1" applyFill="1" applyBorder="1" applyAlignment="1">
      <alignment vertical="center" wrapText="1"/>
    </xf>
    <xf numFmtId="1" fontId="23" fillId="0" borderId="0" xfId="0" applyNumberFormat="1" applyFont="1" applyFill="1" applyBorder="1" applyAlignment="1">
      <alignment/>
    </xf>
    <xf numFmtId="179" fontId="23" fillId="0" borderId="0" xfId="0" applyNumberFormat="1" applyFont="1" applyFill="1" applyBorder="1" applyAlignment="1">
      <alignment/>
    </xf>
    <xf numFmtId="169" fontId="23" fillId="25" borderId="0" xfId="0" applyNumberFormat="1" applyFont="1" applyFill="1" applyBorder="1" applyAlignment="1">
      <alignment/>
    </xf>
    <xf numFmtId="0" fontId="23" fillId="0" borderId="11" xfId="0" applyNumberFormat="1" applyFont="1" applyFill="1" applyBorder="1" applyAlignment="1">
      <alignment horizontal="center" vertical="center" wrapText="1"/>
    </xf>
    <xf numFmtId="169" fontId="23" fillId="0" borderId="11" xfId="0" applyNumberFormat="1" applyFont="1" applyFill="1" applyBorder="1" applyAlignment="1">
      <alignment horizontal="center" vertical="center" wrapText="1"/>
    </xf>
    <xf numFmtId="179" fontId="23" fillId="0" borderId="11" xfId="0" applyNumberFormat="1" applyFont="1" applyFill="1" applyBorder="1" applyAlignment="1">
      <alignment horizontal="center" vertical="center" wrapText="1"/>
    </xf>
    <xf numFmtId="1" fontId="23" fillId="25" borderId="11" xfId="0" applyNumberFormat="1" applyFont="1" applyFill="1" applyBorder="1" applyAlignment="1">
      <alignment horizontal="center" wrapText="1"/>
    </xf>
    <xf numFmtId="1" fontId="23" fillId="25" borderId="0" xfId="0" applyNumberFormat="1" applyFont="1" applyFill="1" applyBorder="1" applyAlignment="1">
      <alignment horizontal="center"/>
    </xf>
    <xf numFmtId="1" fontId="23" fillId="0" borderId="11" xfId="0" applyNumberFormat="1" applyFont="1" applyFill="1" applyBorder="1" applyAlignment="1">
      <alignment/>
    </xf>
    <xf numFmtId="175" fontId="25" fillId="0" borderId="11" xfId="0" applyNumberFormat="1" applyFont="1" applyFill="1" applyBorder="1" applyAlignment="1" applyProtection="1">
      <alignment horizontal="right"/>
      <protection locked="0"/>
    </xf>
    <xf numFmtId="169" fontId="23" fillId="0" borderId="11" xfId="0" applyNumberFormat="1" applyFont="1" applyFill="1" applyBorder="1" applyAlignment="1">
      <alignment horizontal="right"/>
    </xf>
    <xf numFmtId="4" fontId="23" fillId="0" borderId="11" xfId="0" applyNumberFormat="1" applyFont="1" applyFill="1" applyBorder="1" applyAlignment="1">
      <alignment horizontal="right"/>
    </xf>
    <xf numFmtId="174" fontId="23" fillId="0" borderId="11" xfId="0" applyNumberFormat="1" applyFont="1" applyFill="1" applyBorder="1" applyAlignment="1">
      <alignment horizontal="right"/>
    </xf>
    <xf numFmtId="175" fontId="23" fillId="0" borderId="11" xfId="0" applyNumberFormat="1" applyFont="1" applyFill="1" applyBorder="1" applyAlignment="1">
      <alignment horizontal="right"/>
    </xf>
    <xf numFmtId="169" fontId="26" fillId="0" borderId="11" xfId="0" applyNumberFormat="1" applyFont="1" applyFill="1" applyBorder="1" applyAlignment="1" applyProtection="1">
      <alignment horizontal="right"/>
      <protection/>
    </xf>
    <xf numFmtId="1" fontId="27" fillId="25" borderId="11" xfId="0" applyNumberFormat="1" applyFont="1" applyFill="1" applyBorder="1" applyAlignment="1">
      <alignment/>
    </xf>
    <xf numFmtId="1" fontId="28" fillId="25" borderId="11" xfId="0" applyNumberFormat="1" applyFont="1" applyFill="1" applyBorder="1" applyAlignment="1" applyProtection="1">
      <alignment vertical="center"/>
      <protection locked="0"/>
    </xf>
    <xf numFmtId="175" fontId="28" fillId="0" borderId="11" xfId="0" applyNumberFormat="1" applyFont="1" applyFill="1" applyBorder="1" applyAlignment="1" applyProtection="1">
      <alignment horizontal="right"/>
      <protection/>
    </xf>
    <xf numFmtId="169" fontId="27" fillId="0" borderId="11" xfId="0" applyNumberFormat="1" applyFont="1" applyFill="1" applyBorder="1" applyAlignment="1">
      <alignment horizontal="right"/>
    </xf>
    <xf numFmtId="4" fontId="27" fillId="0" borderId="11" xfId="0" applyNumberFormat="1" applyFont="1" applyFill="1" applyBorder="1" applyAlignment="1">
      <alignment horizontal="right"/>
    </xf>
    <xf numFmtId="169" fontId="28" fillId="0" borderId="11" xfId="0" applyNumberFormat="1" applyFont="1" applyFill="1" applyBorder="1" applyAlignment="1" applyProtection="1">
      <alignment horizontal="right"/>
      <protection/>
    </xf>
    <xf numFmtId="174" fontId="27" fillId="0" borderId="11" xfId="0" applyNumberFormat="1" applyFont="1" applyFill="1" applyBorder="1" applyAlignment="1">
      <alignment horizontal="right"/>
    </xf>
    <xf numFmtId="175" fontId="26" fillId="0" borderId="11" xfId="0" applyNumberFormat="1" applyFont="1" applyFill="1" applyBorder="1" applyAlignment="1" applyProtection="1">
      <alignment horizontal="right"/>
      <protection/>
    </xf>
    <xf numFmtId="1" fontId="27" fillId="25" borderId="0" xfId="0" applyNumberFormat="1" applyFont="1" applyFill="1" applyBorder="1" applyAlignment="1">
      <alignment/>
    </xf>
    <xf numFmtId="171" fontId="23" fillId="0" borderId="0" xfId="0" applyNumberFormat="1" applyFont="1" applyFill="1" applyBorder="1" applyAlignment="1">
      <alignment/>
    </xf>
    <xf numFmtId="171" fontId="23" fillId="0" borderId="0" xfId="0" applyNumberFormat="1" applyFont="1" applyFill="1" applyBorder="1" applyAlignment="1">
      <alignment/>
    </xf>
    <xf numFmtId="171" fontId="23" fillId="0" borderId="0" xfId="0" applyNumberFormat="1" applyFont="1" applyFill="1" applyBorder="1" applyAlignment="1">
      <alignment horizontal="right"/>
    </xf>
    <xf numFmtId="174" fontId="23" fillId="0" borderId="0" xfId="0" applyNumberFormat="1" applyFont="1" applyFill="1" applyBorder="1" applyAlignment="1">
      <alignment/>
    </xf>
    <xf numFmtId="169" fontId="23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 horizontal="right"/>
    </xf>
    <xf numFmtId="181" fontId="23" fillId="0" borderId="0" xfId="0" applyNumberFormat="1" applyFont="1" applyFill="1" applyBorder="1" applyAlignment="1">
      <alignment horizontal="right"/>
    </xf>
    <xf numFmtId="169" fontId="23" fillId="0" borderId="0" xfId="0" applyNumberFormat="1" applyFont="1" applyFill="1" applyBorder="1" applyAlignment="1">
      <alignment horizontal="right"/>
    </xf>
    <xf numFmtId="1" fontId="29" fillId="25" borderId="0" xfId="0" applyNumberFormat="1" applyFont="1" applyFill="1" applyBorder="1" applyAlignment="1">
      <alignment/>
    </xf>
    <xf numFmtId="171" fontId="30" fillId="0" borderId="0" xfId="0" applyNumberFormat="1" applyFont="1" applyFill="1" applyBorder="1" applyAlignment="1">
      <alignment/>
    </xf>
    <xf numFmtId="171" fontId="29" fillId="0" borderId="0" xfId="0" applyNumberFormat="1" applyFont="1" applyFill="1" applyBorder="1" applyAlignment="1">
      <alignment/>
    </xf>
    <xf numFmtId="175" fontId="29" fillId="0" borderId="0" xfId="0" applyNumberFormat="1" applyFont="1" applyFill="1" applyBorder="1" applyAlignment="1">
      <alignment/>
    </xf>
    <xf numFmtId="182" fontId="29" fillId="0" borderId="0" xfId="0" applyNumberFormat="1" applyFont="1" applyFill="1" applyBorder="1" applyAlignment="1">
      <alignment/>
    </xf>
    <xf numFmtId="169" fontId="29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1" fontId="29" fillId="0" borderId="0" xfId="0" applyNumberFormat="1" applyFont="1" applyFill="1" applyBorder="1" applyAlignment="1">
      <alignment/>
    </xf>
    <xf numFmtId="179" fontId="29" fillId="0" borderId="0" xfId="0" applyNumberFormat="1" applyFont="1" applyFill="1" applyBorder="1" applyAlignment="1">
      <alignment/>
    </xf>
    <xf numFmtId="169" fontId="29" fillId="25" borderId="0" xfId="0" applyNumberFormat="1" applyFont="1" applyFill="1" applyBorder="1" applyAlignment="1">
      <alignment/>
    </xf>
    <xf numFmtId="171" fontId="27" fillId="0" borderId="0" xfId="0" applyNumberFormat="1" applyFont="1" applyFill="1" applyBorder="1" applyAlignment="1">
      <alignment horizontal="right"/>
    </xf>
    <xf numFmtId="175" fontId="23" fillId="0" borderId="0" xfId="0" applyNumberFormat="1" applyFont="1" applyFill="1" applyBorder="1" applyAlignment="1">
      <alignment/>
    </xf>
    <xf numFmtId="182" fontId="23" fillId="0" borderId="0" xfId="0" applyNumberFormat="1" applyFont="1" applyFill="1" applyBorder="1" applyAlignment="1">
      <alignment/>
    </xf>
    <xf numFmtId="168" fontId="23" fillId="0" borderId="0" xfId="0" applyNumberFormat="1" applyFont="1" applyFill="1" applyBorder="1" applyAlignment="1">
      <alignment/>
    </xf>
    <xf numFmtId="171" fontId="29" fillId="0" borderId="0" xfId="0" applyNumberFormat="1" applyFont="1" applyFill="1" applyBorder="1" applyAlignment="1">
      <alignment/>
    </xf>
    <xf numFmtId="171" fontId="23" fillId="0" borderId="0" xfId="0" applyNumberFormat="1" applyFont="1" applyFill="1" applyBorder="1" applyAlignment="1">
      <alignment horizontal="left" wrapText="1"/>
    </xf>
    <xf numFmtId="181" fontId="23" fillId="24" borderId="0" xfId="0" applyNumberFormat="1" applyFont="1" applyFill="1" applyBorder="1" applyAlignment="1">
      <alignment horizontal="right"/>
    </xf>
    <xf numFmtId="178" fontId="23" fillId="24" borderId="0" xfId="0" applyNumberFormat="1" applyFont="1" applyFill="1" applyBorder="1" applyAlignment="1">
      <alignment/>
    </xf>
    <xf numFmtId="171" fontId="23" fillId="24" borderId="0" xfId="0" applyNumberFormat="1" applyFont="1" applyFill="1" applyBorder="1" applyAlignment="1">
      <alignment/>
    </xf>
    <xf numFmtId="0" fontId="33" fillId="0" borderId="12" xfId="57" applyFont="1" applyFill="1" applyBorder="1" applyAlignment="1" applyProtection="1">
      <alignment horizontal="left" wrapText="1"/>
      <protection locked="0"/>
    </xf>
    <xf numFmtId="0" fontId="33" fillId="0" borderId="13" xfId="57" applyFont="1" applyFill="1" applyBorder="1" applyAlignment="1" applyProtection="1">
      <alignment horizontal="left" wrapText="1"/>
      <protection locked="0"/>
    </xf>
    <xf numFmtId="177" fontId="23" fillId="0" borderId="11" xfId="0" applyNumberFormat="1" applyFont="1" applyFill="1" applyBorder="1" applyAlignment="1">
      <alignment horizontal="right"/>
    </xf>
    <xf numFmtId="170" fontId="23" fillId="25" borderId="0" xfId="0" applyNumberFormat="1" applyFont="1" applyFill="1" applyBorder="1" applyAlignment="1">
      <alignment/>
    </xf>
    <xf numFmtId="174" fontId="28" fillId="0" borderId="11" xfId="0" applyNumberFormat="1" applyFont="1" applyFill="1" applyBorder="1" applyAlignment="1" applyProtection="1">
      <alignment horizontal="right"/>
      <protection/>
    </xf>
    <xf numFmtId="169" fontId="35" fillId="0" borderId="11" xfId="0" applyNumberFormat="1" applyFont="1" applyFill="1" applyBorder="1" applyAlignment="1">
      <alignment horizontal="right"/>
    </xf>
    <xf numFmtId="175" fontId="36" fillId="0" borderId="11" xfId="0" applyNumberFormat="1" applyFont="1" applyFill="1" applyBorder="1" applyAlignment="1" applyProtection="1">
      <alignment horizontal="right"/>
      <protection/>
    </xf>
    <xf numFmtId="0" fontId="23" fillId="0" borderId="11" xfId="0" applyNumberFormat="1" applyFont="1" applyFill="1" applyBorder="1" applyAlignment="1">
      <alignment horizontal="center" vertical="center" wrapText="1"/>
    </xf>
    <xf numFmtId="179" fontId="23" fillId="0" borderId="11" xfId="0" applyNumberFormat="1" applyFont="1" applyFill="1" applyBorder="1" applyAlignment="1">
      <alignment horizontal="center" vertical="center" wrapText="1"/>
    </xf>
    <xf numFmtId="0" fontId="24" fillId="25" borderId="0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1" fontId="23" fillId="0" borderId="14" xfId="0" applyNumberFormat="1" applyFont="1" applyFill="1" applyBorder="1" applyAlignment="1">
      <alignment horizontal="center"/>
    </xf>
    <xf numFmtId="1" fontId="23" fillId="0" borderId="15" xfId="0" applyNumberFormat="1" applyFont="1" applyFill="1" applyBorder="1" applyAlignment="1">
      <alignment horizontal="center"/>
    </xf>
    <xf numFmtId="1" fontId="23" fillId="0" borderId="16" xfId="0" applyNumberFormat="1" applyFont="1" applyFill="1" applyBorder="1" applyAlignment="1">
      <alignment horizontal="center"/>
    </xf>
    <xf numFmtId="1" fontId="23" fillId="0" borderId="11" xfId="0" applyNumberFormat="1" applyFont="1" applyFill="1" applyBorder="1" applyAlignment="1">
      <alignment horizontal="center" vertical="center" wrapText="1"/>
    </xf>
    <xf numFmtId="1" fontId="23" fillId="25" borderId="11" xfId="0" applyNumberFormat="1" applyFont="1" applyFill="1" applyBorder="1" applyAlignment="1">
      <alignment horizontal="center" vertical="center" textRotation="90"/>
    </xf>
    <xf numFmtId="1" fontId="23" fillId="25" borderId="11" xfId="0" applyNumberFormat="1" applyFont="1" applyFill="1" applyBorder="1" applyAlignment="1">
      <alignment horizontal="center" vertical="center" wrapText="1"/>
    </xf>
    <xf numFmtId="169" fontId="23" fillId="0" borderId="11" xfId="56" applyNumberFormat="1" applyFont="1" applyFill="1" applyBorder="1" applyAlignment="1">
      <alignment horizontal="center" vertical="center" wrapText="1"/>
      <protection/>
    </xf>
    <xf numFmtId="171" fontId="23" fillId="0" borderId="0" xfId="0" applyNumberFormat="1" applyFont="1" applyFill="1" applyBorder="1" applyAlignment="1">
      <alignment horizontal="right"/>
    </xf>
    <xf numFmtId="182" fontId="23" fillId="0" borderId="11" xfId="0" applyNumberFormat="1" applyFont="1" applyFill="1" applyBorder="1" applyAlignment="1">
      <alignment horizontal="center" vertical="center" wrapText="1"/>
    </xf>
    <xf numFmtId="175" fontId="23" fillId="0" borderId="11" xfId="0" applyNumberFormat="1" applyFont="1" applyFill="1" applyBorder="1" applyAlignment="1">
      <alignment horizontal="center" vertical="center" wrapText="1"/>
    </xf>
    <xf numFmtId="169" fontId="23" fillId="0" borderId="11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Currency" xfId="45"/>
    <cellStyle name="Currency [0]" xfId="46"/>
    <cellStyle name="Заголовки полей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Доходы отдельно" xfId="56"/>
    <cellStyle name="Обычный_коммун_цены_на_01.04.0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Элементы осе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A22"/>
  <sheetViews>
    <sheetView view="pageBreakPreview" zoomScaleSheetLayoutView="100" zoomScalePageLayoutView="0" workbookViewId="0" topLeftCell="A1">
      <pane xSplit="3" ySplit="7" topLeftCell="T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2" sqref="B2:B4"/>
    </sheetView>
  </sheetViews>
  <sheetFormatPr defaultColWidth="8.8515625" defaultRowHeight="12.75"/>
  <cols>
    <col min="1" max="1" width="5.421875" style="1" hidden="1" customWidth="1"/>
    <col min="2" max="2" width="29.00390625" style="1" customWidth="1"/>
    <col min="3" max="6" width="11.7109375" style="3" customWidth="1"/>
    <col min="7" max="7" width="15.7109375" style="3" customWidth="1"/>
    <col min="8" max="8" width="10.140625" style="3" customWidth="1"/>
    <col min="9" max="9" width="10.57421875" style="3" customWidth="1"/>
    <col min="10" max="10" width="13.28125" style="3" customWidth="1"/>
    <col min="11" max="11" width="13.8515625" style="47" customWidth="1"/>
    <col min="12" max="12" width="14.00390625" style="31" customWidth="1"/>
    <col min="13" max="13" width="10.57421875" style="48" customWidth="1"/>
    <col min="14" max="14" width="12.140625" style="31" customWidth="1"/>
    <col min="15" max="15" width="12.57421875" style="31" customWidth="1"/>
    <col min="16" max="16" width="12.28125" style="49" customWidth="1"/>
    <col min="17" max="17" width="8.8515625" style="32" customWidth="1"/>
    <col min="18" max="18" width="11.28125" style="1" customWidth="1"/>
    <col min="19" max="19" width="10.8515625" style="1" customWidth="1"/>
    <col min="20" max="20" width="11.7109375" style="1" customWidth="1"/>
    <col min="21" max="21" width="10.421875" style="3" customWidth="1"/>
    <col min="22" max="22" width="10.28125" style="3" bestFit="1" customWidth="1"/>
    <col min="23" max="23" width="12.7109375" style="3" customWidth="1"/>
    <col min="24" max="24" width="11.8515625" style="4" customWidth="1"/>
    <col min="25" max="25" width="11.8515625" style="5" customWidth="1"/>
    <col min="26" max="26" width="11.00390625" style="1" customWidth="1"/>
    <col min="27" max="27" width="11.421875" style="1" customWidth="1"/>
    <col min="28" max="16384" width="8.8515625" style="1" customWidth="1"/>
  </cols>
  <sheetData>
    <row r="1" spans="2:17" ht="15.75">
      <c r="B1" s="2"/>
      <c r="C1" s="64" t="s">
        <v>46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27" ht="13.5" customHeight="1">
      <c r="A2" s="70" t="s">
        <v>0</v>
      </c>
      <c r="B2" s="71" t="s">
        <v>1</v>
      </c>
      <c r="C2" s="72" t="s">
        <v>2</v>
      </c>
      <c r="D2" s="66" t="s">
        <v>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2" t="s">
        <v>4</v>
      </c>
      <c r="S2" s="62"/>
      <c r="T2" s="62"/>
      <c r="U2" s="62"/>
      <c r="V2" s="62"/>
      <c r="W2" s="62"/>
      <c r="X2" s="62"/>
      <c r="Y2" s="62"/>
      <c r="Z2" s="62"/>
      <c r="AA2" s="62"/>
    </row>
    <row r="3" spans="1:27" ht="15.75" customHeight="1">
      <c r="A3" s="70"/>
      <c r="B3" s="71"/>
      <c r="C3" s="72"/>
      <c r="D3" s="69" t="s">
        <v>6</v>
      </c>
      <c r="E3" s="69" t="s">
        <v>31</v>
      </c>
      <c r="F3" s="69" t="s">
        <v>32</v>
      </c>
      <c r="G3" s="69" t="s">
        <v>33</v>
      </c>
      <c r="H3" s="69" t="s">
        <v>7</v>
      </c>
      <c r="I3" s="69" t="s">
        <v>8</v>
      </c>
      <c r="J3" s="69" t="s">
        <v>9</v>
      </c>
      <c r="K3" s="75" t="s">
        <v>10</v>
      </c>
      <c r="L3" s="76" t="s">
        <v>11</v>
      </c>
      <c r="M3" s="74" t="s">
        <v>12</v>
      </c>
      <c r="N3" s="76" t="s">
        <v>13</v>
      </c>
      <c r="O3" s="76" t="s">
        <v>14</v>
      </c>
      <c r="P3" s="69" t="s">
        <v>15</v>
      </c>
      <c r="Q3" s="65" t="s">
        <v>16</v>
      </c>
      <c r="R3" s="62" t="s">
        <v>17</v>
      </c>
      <c r="S3" s="62"/>
      <c r="T3" s="62"/>
      <c r="U3" s="62" t="s">
        <v>18</v>
      </c>
      <c r="V3" s="62"/>
      <c r="W3" s="62"/>
      <c r="X3" s="63" t="s">
        <v>19</v>
      </c>
      <c r="Y3" s="63"/>
      <c r="Z3" s="62" t="s">
        <v>20</v>
      </c>
      <c r="AA3" s="62" t="s">
        <v>5</v>
      </c>
    </row>
    <row r="4" spans="1:27" ht="54.75" customHeight="1">
      <c r="A4" s="70"/>
      <c r="B4" s="71"/>
      <c r="C4" s="72"/>
      <c r="D4" s="69"/>
      <c r="E4" s="69"/>
      <c r="F4" s="69"/>
      <c r="G4" s="69"/>
      <c r="H4" s="69"/>
      <c r="I4" s="69"/>
      <c r="J4" s="69"/>
      <c r="K4" s="75"/>
      <c r="L4" s="76"/>
      <c r="M4" s="74"/>
      <c r="N4" s="76"/>
      <c r="O4" s="76"/>
      <c r="P4" s="69"/>
      <c r="Q4" s="65"/>
      <c r="R4" s="6">
        <v>2011</v>
      </c>
      <c r="S4" s="6">
        <v>2012</v>
      </c>
      <c r="T4" s="6" t="s">
        <v>21</v>
      </c>
      <c r="U4" s="6" t="s">
        <v>22</v>
      </c>
      <c r="V4" s="6" t="s">
        <v>28</v>
      </c>
      <c r="W4" s="6" t="s">
        <v>23</v>
      </c>
      <c r="X4" s="8" t="s">
        <v>24</v>
      </c>
      <c r="Y4" s="7" t="s">
        <v>25</v>
      </c>
      <c r="Z4" s="62"/>
      <c r="AA4" s="62"/>
    </row>
    <row r="5" spans="1:27" s="10" customFormat="1" ht="12.75">
      <c r="A5" s="9">
        <v>1</v>
      </c>
      <c r="B5" s="9">
        <v>1</v>
      </c>
      <c r="C5" s="9">
        <f aca="true" t="shared" si="0" ref="C5:AA5">B5+1</f>
        <v>2</v>
      </c>
      <c r="D5" s="9">
        <f t="shared" si="0"/>
        <v>3</v>
      </c>
      <c r="E5" s="9">
        <f t="shared" si="0"/>
        <v>4</v>
      </c>
      <c r="F5" s="9">
        <f t="shared" si="0"/>
        <v>5</v>
      </c>
      <c r="G5" s="9">
        <f t="shared" si="0"/>
        <v>6</v>
      </c>
      <c r="H5" s="9">
        <f t="shared" si="0"/>
        <v>7</v>
      </c>
      <c r="I5" s="9">
        <f t="shared" si="0"/>
        <v>8</v>
      </c>
      <c r="J5" s="9">
        <f t="shared" si="0"/>
        <v>9</v>
      </c>
      <c r="K5" s="9">
        <f t="shared" si="0"/>
        <v>10</v>
      </c>
      <c r="L5" s="9">
        <f t="shared" si="0"/>
        <v>11</v>
      </c>
      <c r="M5" s="9">
        <f t="shared" si="0"/>
        <v>12</v>
      </c>
      <c r="N5" s="9">
        <f t="shared" si="0"/>
        <v>13</v>
      </c>
      <c r="O5" s="9">
        <f t="shared" si="0"/>
        <v>14</v>
      </c>
      <c r="P5" s="9">
        <f t="shared" si="0"/>
        <v>15</v>
      </c>
      <c r="Q5" s="9">
        <f t="shared" si="0"/>
        <v>16</v>
      </c>
      <c r="R5" s="9">
        <f t="shared" si="0"/>
        <v>17</v>
      </c>
      <c r="S5" s="9">
        <f t="shared" si="0"/>
        <v>18</v>
      </c>
      <c r="T5" s="9">
        <f t="shared" si="0"/>
        <v>19</v>
      </c>
      <c r="U5" s="9">
        <f t="shared" si="0"/>
        <v>20</v>
      </c>
      <c r="V5" s="9">
        <f t="shared" si="0"/>
        <v>21</v>
      </c>
      <c r="W5" s="9">
        <f t="shared" si="0"/>
        <v>22</v>
      </c>
      <c r="X5" s="9">
        <f t="shared" si="0"/>
        <v>23</v>
      </c>
      <c r="Y5" s="9">
        <f t="shared" si="0"/>
        <v>24</v>
      </c>
      <c r="Z5" s="9">
        <f t="shared" si="0"/>
        <v>25</v>
      </c>
      <c r="AA5" s="9">
        <f t="shared" si="0"/>
        <v>26</v>
      </c>
    </row>
    <row r="6" spans="1:27" s="3" customFormat="1" ht="15">
      <c r="A6" s="11">
        <v>1</v>
      </c>
      <c r="B6" s="55" t="s">
        <v>34</v>
      </c>
      <c r="C6" s="12">
        <v>35.711</v>
      </c>
      <c r="D6" s="12">
        <v>104255</v>
      </c>
      <c r="E6" s="12"/>
      <c r="F6" s="12"/>
      <c r="G6" s="13">
        <f aca="true" t="shared" si="1" ref="G6:G17">+D6+E6-F6</f>
        <v>104255</v>
      </c>
      <c r="H6" s="13">
        <f aca="true" t="shared" si="2" ref="H6:H18">ROUND(G6/C6,1)</f>
        <v>2919.4</v>
      </c>
      <c r="I6" s="14">
        <f aca="true" t="shared" si="3" ref="I6:I17">ROUND(H6/$H$18,2)</f>
        <v>1.12</v>
      </c>
      <c r="J6" s="57">
        <v>0.606</v>
      </c>
      <c r="K6" s="14">
        <f aca="true" t="shared" si="4" ref="K6:K17">ROUND(I6/J6,2)</f>
        <v>1.85</v>
      </c>
      <c r="L6" s="13">
        <f aca="true" t="shared" si="5" ref="L6:L17">IF($L$19-K6&gt;0,($H$18*C6*($L$19-K6)*J6),0)</f>
        <v>0</v>
      </c>
      <c r="M6" s="15">
        <f aca="true" t="shared" si="6" ref="M6:M17">$K$19-K6</f>
        <v>-1.2680000000000002</v>
      </c>
      <c r="N6" s="13">
        <f aca="true" t="shared" si="7" ref="N6:N17">ROUND($H$18*M6*C6*J6,1)</f>
        <v>-71669.4</v>
      </c>
      <c r="O6" s="13">
        <f aca="true" t="shared" si="8" ref="O6:O17">IF(N6&gt;0,N6,0)</f>
        <v>0</v>
      </c>
      <c r="P6" s="13">
        <f aca="true" t="shared" si="9" ref="P6:P17">ROUND($O$19*(O6/$O$18),1)</f>
        <v>0</v>
      </c>
      <c r="Q6" s="16">
        <f aca="true" t="shared" si="10" ref="Q6:Q17">ROUND(K6+P6/(C6*$H$18*J6),2)</f>
        <v>1.85</v>
      </c>
      <c r="R6" s="13">
        <v>1311</v>
      </c>
      <c r="S6" s="13">
        <f aca="true" t="shared" si="11" ref="S6:S17">P6</f>
        <v>0</v>
      </c>
      <c r="T6" s="13">
        <f>S6/R6*100</f>
        <v>0</v>
      </c>
      <c r="U6" s="13">
        <f aca="true" t="shared" si="12" ref="U6:U17">IF(T6&lt;50,50,0)</f>
        <v>50</v>
      </c>
      <c r="V6" s="13">
        <f aca="true" t="shared" si="13" ref="V6:V17">ROUND(R6*U6/100,1)</f>
        <v>655.5</v>
      </c>
      <c r="W6" s="13">
        <f aca="true" t="shared" si="14" ref="W6:W17">IF(V6-S6&lt;0,0,V6-S6)</f>
        <v>655.5</v>
      </c>
      <c r="X6" s="13">
        <f aca="true" t="shared" si="15" ref="X6:X17">IF($X$19-T6&gt;0,0,$X$19-T6)</f>
        <v>0</v>
      </c>
      <c r="Y6" s="13">
        <f aca="true" t="shared" si="16" ref="Y6:Y17">IF(T6=0,0,X6*S6/T6)</f>
        <v>0</v>
      </c>
      <c r="Z6" s="13">
        <f aca="true" t="shared" si="17" ref="Z6:Z17">+W6+Y6</f>
        <v>655.5</v>
      </c>
      <c r="AA6" s="13">
        <f aca="true" t="shared" si="18" ref="AA6:AA17">+Z6+S6</f>
        <v>655.5</v>
      </c>
    </row>
    <row r="7" spans="1:27" s="3" customFormat="1" ht="15">
      <c r="A7" s="11">
        <v>2</v>
      </c>
      <c r="B7" s="55" t="s">
        <v>35</v>
      </c>
      <c r="C7" s="12">
        <v>6.385</v>
      </c>
      <c r="D7" s="12">
        <v>10653</v>
      </c>
      <c r="E7" s="12">
        <v>210.5</v>
      </c>
      <c r="F7" s="12"/>
      <c r="G7" s="13">
        <f t="shared" si="1"/>
        <v>10863.5</v>
      </c>
      <c r="H7" s="13">
        <f t="shared" si="2"/>
        <v>1701.4</v>
      </c>
      <c r="I7" s="14">
        <f t="shared" si="3"/>
        <v>0.65</v>
      </c>
      <c r="J7" s="57">
        <v>1.497</v>
      </c>
      <c r="K7" s="14">
        <f t="shared" si="4"/>
        <v>0.43</v>
      </c>
      <c r="L7" s="13">
        <f t="shared" si="5"/>
        <v>2471.484036664516</v>
      </c>
      <c r="M7" s="15">
        <f t="shared" si="6"/>
        <v>0.15199999999999997</v>
      </c>
      <c r="N7" s="13">
        <f t="shared" si="7"/>
        <v>3794.6</v>
      </c>
      <c r="O7" s="13">
        <f t="shared" si="8"/>
        <v>3794.6</v>
      </c>
      <c r="P7" s="13">
        <f t="shared" si="9"/>
        <v>2742.3</v>
      </c>
      <c r="Q7" s="16">
        <f t="shared" si="10"/>
        <v>0.54</v>
      </c>
      <c r="R7" s="13">
        <v>6051.3</v>
      </c>
      <c r="S7" s="13">
        <f t="shared" si="11"/>
        <v>2742.3</v>
      </c>
      <c r="T7" s="13">
        <f aca="true" t="shared" si="19" ref="T7:T17">ROUND(S7/R7*100,2)</f>
        <v>45.32</v>
      </c>
      <c r="U7" s="13">
        <f t="shared" si="12"/>
        <v>50</v>
      </c>
      <c r="V7" s="13">
        <f t="shared" si="13"/>
        <v>3025.7</v>
      </c>
      <c r="W7" s="13">
        <f t="shared" si="14"/>
        <v>283.39999999999964</v>
      </c>
      <c r="X7" s="13">
        <f t="shared" si="15"/>
        <v>0</v>
      </c>
      <c r="Y7" s="13">
        <f t="shared" si="16"/>
        <v>0</v>
      </c>
      <c r="Z7" s="13">
        <f t="shared" si="17"/>
        <v>283.39999999999964</v>
      </c>
      <c r="AA7" s="13">
        <f t="shared" si="18"/>
        <v>3025.7</v>
      </c>
    </row>
    <row r="8" spans="1:27" s="3" customFormat="1" ht="15">
      <c r="A8" s="11">
        <v>3</v>
      </c>
      <c r="B8" s="55" t="s">
        <v>36</v>
      </c>
      <c r="C8" s="12">
        <v>3.986</v>
      </c>
      <c r="D8" s="12">
        <v>7982</v>
      </c>
      <c r="E8" s="12"/>
      <c r="F8" s="12"/>
      <c r="G8" s="13">
        <f t="shared" si="1"/>
        <v>7982</v>
      </c>
      <c r="H8" s="13">
        <f t="shared" si="2"/>
        <v>2002.5</v>
      </c>
      <c r="I8" s="14">
        <f t="shared" si="3"/>
        <v>0.77</v>
      </c>
      <c r="J8" s="57">
        <v>1.959</v>
      </c>
      <c r="K8" s="14">
        <f t="shared" si="4"/>
        <v>0.39</v>
      </c>
      <c r="L8" s="13">
        <f t="shared" si="5"/>
        <v>2834.8262462803677</v>
      </c>
      <c r="M8" s="15">
        <f t="shared" si="6"/>
        <v>0.19199999999999995</v>
      </c>
      <c r="N8" s="13">
        <f t="shared" si="7"/>
        <v>3915.7</v>
      </c>
      <c r="O8" s="13">
        <f t="shared" si="8"/>
        <v>3915.7</v>
      </c>
      <c r="P8" s="13">
        <f t="shared" si="9"/>
        <v>2829.8</v>
      </c>
      <c r="Q8" s="16">
        <f t="shared" si="10"/>
        <v>0.53</v>
      </c>
      <c r="R8" s="13">
        <v>5469</v>
      </c>
      <c r="S8" s="13">
        <f t="shared" si="11"/>
        <v>2829.8</v>
      </c>
      <c r="T8" s="13">
        <f t="shared" si="19"/>
        <v>51.74</v>
      </c>
      <c r="U8" s="13">
        <f t="shared" si="12"/>
        <v>0</v>
      </c>
      <c r="V8" s="13">
        <f t="shared" si="13"/>
        <v>0</v>
      </c>
      <c r="W8" s="13">
        <f t="shared" si="14"/>
        <v>0</v>
      </c>
      <c r="X8" s="13">
        <f t="shared" si="15"/>
        <v>0</v>
      </c>
      <c r="Y8" s="13">
        <f t="shared" si="16"/>
        <v>0</v>
      </c>
      <c r="Z8" s="13">
        <f t="shared" si="17"/>
        <v>0</v>
      </c>
      <c r="AA8" s="13">
        <f t="shared" si="18"/>
        <v>2829.8</v>
      </c>
    </row>
    <row r="9" spans="1:27" s="3" customFormat="1" ht="15">
      <c r="A9" s="11">
        <v>4</v>
      </c>
      <c r="B9" s="55" t="s">
        <v>37</v>
      </c>
      <c r="C9" s="12">
        <v>1.428</v>
      </c>
      <c r="D9" s="12">
        <v>2325</v>
      </c>
      <c r="E9" s="12">
        <v>477.3</v>
      </c>
      <c r="F9" s="12"/>
      <c r="G9" s="13">
        <f t="shared" si="1"/>
        <v>2802.3</v>
      </c>
      <c r="H9" s="13">
        <f t="shared" si="2"/>
        <v>1962.4</v>
      </c>
      <c r="I9" s="14">
        <f t="shared" si="3"/>
        <v>0.75</v>
      </c>
      <c r="J9" s="57">
        <v>2.429</v>
      </c>
      <c r="K9" s="14">
        <f t="shared" si="4"/>
        <v>0.31</v>
      </c>
      <c r="L9" s="13">
        <f t="shared" si="5"/>
        <v>1983.9912508710795</v>
      </c>
      <c r="M9" s="15">
        <f t="shared" si="6"/>
        <v>0.27199999999999996</v>
      </c>
      <c r="N9" s="13">
        <f t="shared" si="7"/>
        <v>2464.1</v>
      </c>
      <c r="O9" s="13">
        <f t="shared" si="8"/>
        <v>2464.1</v>
      </c>
      <c r="P9" s="13">
        <f t="shared" si="9"/>
        <v>1780.8</v>
      </c>
      <c r="Q9" s="16">
        <f t="shared" si="10"/>
        <v>0.51</v>
      </c>
      <c r="R9" s="13">
        <v>1953.7</v>
      </c>
      <c r="S9" s="13">
        <f t="shared" si="11"/>
        <v>1780.8</v>
      </c>
      <c r="T9" s="13">
        <f t="shared" si="19"/>
        <v>91.15</v>
      </c>
      <c r="U9" s="13">
        <f t="shared" si="12"/>
        <v>0</v>
      </c>
      <c r="V9" s="13">
        <f t="shared" si="13"/>
        <v>0</v>
      </c>
      <c r="W9" s="13">
        <f t="shared" si="14"/>
        <v>0</v>
      </c>
      <c r="X9" s="13">
        <f t="shared" si="15"/>
        <v>0</v>
      </c>
      <c r="Y9" s="13">
        <f t="shared" si="16"/>
        <v>0</v>
      </c>
      <c r="Z9" s="13">
        <f t="shared" si="17"/>
        <v>0</v>
      </c>
      <c r="AA9" s="13">
        <f t="shared" si="18"/>
        <v>1780.8</v>
      </c>
    </row>
    <row r="10" spans="1:27" s="3" customFormat="1" ht="15">
      <c r="A10" s="11">
        <v>5</v>
      </c>
      <c r="B10" s="55" t="s">
        <v>38</v>
      </c>
      <c r="C10" s="12">
        <v>3.577</v>
      </c>
      <c r="D10" s="12">
        <v>6752</v>
      </c>
      <c r="E10" s="12"/>
      <c r="F10" s="12"/>
      <c r="G10" s="13">
        <f t="shared" si="1"/>
        <v>6752</v>
      </c>
      <c r="H10" s="13">
        <f t="shared" si="2"/>
        <v>1887.6</v>
      </c>
      <c r="I10" s="14">
        <f t="shared" si="3"/>
        <v>0.72</v>
      </c>
      <c r="J10" s="57">
        <v>2.037</v>
      </c>
      <c r="K10" s="14">
        <f t="shared" si="4"/>
        <v>0.35</v>
      </c>
      <c r="L10" s="13">
        <f t="shared" si="5"/>
        <v>3406.4570319273153</v>
      </c>
      <c r="M10" s="15">
        <f t="shared" si="6"/>
        <v>0.23199999999999998</v>
      </c>
      <c r="N10" s="13">
        <f t="shared" si="7"/>
        <v>4415.1</v>
      </c>
      <c r="O10" s="13">
        <f t="shared" si="8"/>
        <v>4415.1</v>
      </c>
      <c r="P10" s="13">
        <f t="shared" si="9"/>
        <v>3190.7</v>
      </c>
      <c r="Q10" s="16">
        <f t="shared" si="10"/>
        <v>0.52</v>
      </c>
      <c r="R10" s="13">
        <v>3193.2</v>
      </c>
      <c r="S10" s="13">
        <f t="shared" si="11"/>
        <v>3190.7</v>
      </c>
      <c r="T10" s="13">
        <f t="shared" si="19"/>
        <v>99.92</v>
      </c>
      <c r="U10" s="13">
        <f t="shared" si="12"/>
        <v>0</v>
      </c>
      <c r="V10" s="13">
        <f t="shared" si="13"/>
        <v>0</v>
      </c>
      <c r="W10" s="13">
        <f t="shared" si="14"/>
        <v>0</v>
      </c>
      <c r="X10" s="13">
        <f t="shared" si="15"/>
        <v>0</v>
      </c>
      <c r="Y10" s="13">
        <f t="shared" si="16"/>
        <v>0</v>
      </c>
      <c r="Z10" s="13">
        <f t="shared" si="17"/>
        <v>0</v>
      </c>
      <c r="AA10" s="13">
        <f t="shared" si="18"/>
        <v>3190.7</v>
      </c>
    </row>
    <row r="11" spans="1:27" s="3" customFormat="1" ht="15">
      <c r="A11" s="11">
        <v>6</v>
      </c>
      <c r="B11" s="55" t="s">
        <v>39</v>
      </c>
      <c r="C11" s="12">
        <v>1.831</v>
      </c>
      <c r="D11" s="12">
        <v>3815</v>
      </c>
      <c r="E11" s="12"/>
      <c r="F11" s="12"/>
      <c r="G11" s="13">
        <f t="shared" si="1"/>
        <v>3815</v>
      </c>
      <c r="H11" s="13">
        <f t="shared" si="2"/>
        <v>2083.6</v>
      </c>
      <c r="I11" s="14">
        <f t="shared" si="3"/>
        <v>0.8</v>
      </c>
      <c r="J11" s="57">
        <v>1.645</v>
      </c>
      <c r="K11" s="14">
        <f t="shared" si="4"/>
        <v>0.49</v>
      </c>
      <c r="L11" s="13">
        <f t="shared" si="5"/>
        <v>306.802405232272</v>
      </c>
      <c r="M11" s="15">
        <f t="shared" si="6"/>
        <v>0.09199999999999997</v>
      </c>
      <c r="N11" s="13">
        <f t="shared" si="7"/>
        <v>723.7</v>
      </c>
      <c r="O11" s="13">
        <f t="shared" si="8"/>
        <v>723.7</v>
      </c>
      <c r="P11" s="13">
        <f t="shared" si="9"/>
        <v>523</v>
      </c>
      <c r="Q11" s="16">
        <f t="shared" si="10"/>
        <v>0.56</v>
      </c>
      <c r="R11" s="13">
        <v>1116.2</v>
      </c>
      <c r="S11" s="13">
        <f t="shared" si="11"/>
        <v>523</v>
      </c>
      <c r="T11" s="13">
        <f t="shared" si="19"/>
        <v>46.86</v>
      </c>
      <c r="U11" s="13">
        <f t="shared" si="12"/>
        <v>50</v>
      </c>
      <c r="V11" s="13">
        <f t="shared" si="13"/>
        <v>558.1</v>
      </c>
      <c r="W11" s="13">
        <f t="shared" si="14"/>
        <v>35.10000000000002</v>
      </c>
      <c r="X11" s="13">
        <f t="shared" si="15"/>
        <v>0</v>
      </c>
      <c r="Y11" s="13">
        <f t="shared" si="16"/>
        <v>0</v>
      </c>
      <c r="Z11" s="13">
        <f t="shared" si="17"/>
        <v>35.10000000000002</v>
      </c>
      <c r="AA11" s="13">
        <f t="shared" si="18"/>
        <v>558.1</v>
      </c>
    </row>
    <row r="12" spans="1:27" s="3" customFormat="1" ht="15">
      <c r="A12" s="11">
        <v>7</v>
      </c>
      <c r="B12" s="55" t="s">
        <v>40</v>
      </c>
      <c r="C12" s="12">
        <v>1.446</v>
      </c>
      <c r="D12" s="12">
        <v>4246</v>
      </c>
      <c r="E12" s="12">
        <v>97.8</v>
      </c>
      <c r="F12" s="12"/>
      <c r="G12" s="13">
        <f t="shared" si="1"/>
        <v>4343.8</v>
      </c>
      <c r="H12" s="13">
        <f t="shared" si="2"/>
        <v>3004</v>
      </c>
      <c r="I12" s="14">
        <f t="shared" si="3"/>
        <v>1.15</v>
      </c>
      <c r="J12" s="57">
        <v>2.224</v>
      </c>
      <c r="K12" s="14">
        <f t="shared" si="4"/>
        <v>0.52</v>
      </c>
      <c r="L12" s="13">
        <f t="shared" si="5"/>
        <v>75.59367420550224</v>
      </c>
      <c r="M12" s="15">
        <f t="shared" si="6"/>
        <v>0.061999999999999944</v>
      </c>
      <c r="N12" s="13">
        <f t="shared" si="7"/>
        <v>520.8</v>
      </c>
      <c r="O12" s="13">
        <f t="shared" si="8"/>
        <v>520.8</v>
      </c>
      <c r="P12" s="13">
        <f t="shared" si="9"/>
        <v>376.4</v>
      </c>
      <c r="Q12" s="16">
        <f t="shared" si="10"/>
        <v>0.56</v>
      </c>
      <c r="R12" s="13">
        <v>1000.7</v>
      </c>
      <c r="S12" s="13">
        <f t="shared" si="11"/>
        <v>376.4</v>
      </c>
      <c r="T12" s="13">
        <f t="shared" si="19"/>
        <v>37.61</v>
      </c>
      <c r="U12" s="13">
        <f t="shared" si="12"/>
        <v>50</v>
      </c>
      <c r="V12" s="13">
        <f t="shared" si="13"/>
        <v>500.4</v>
      </c>
      <c r="W12" s="13">
        <f t="shared" si="14"/>
        <v>124</v>
      </c>
      <c r="X12" s="13">
        <f t="shared" si="15"/>
        <v>0</v>
      </c>
      <c r="Y12" s="13">
        <f t="shared" si="16"/>
        <v>0</v>
      </c>
      <c r="Z12" s="13">
        <f t="shared" si="17"/>
        <v>124</v>
      </c>
      <c r="AA12" s="13">
        <f t="shared" si="18"/>
        <v>500.4</v>
      </c>
    </row>
    <row r="13" spans="1:27" s="3" customFormat="1" ht="15">
      <c r="A13" s="11">
        <v>8</v>
      </c>
      <c r="B13" s="55" t="s">
        <v>41</v>
      </c>
      <c r="C13" s="12">
        <v>1.636</v>
      </c>
      <c r="D13" s="12">
        <v>3397</v>
      </c>
      <c r="E13" s="12">
        <v>221.1</v>
      </c>
      <c r="F13" s="12"/>
      <c r="G13" s="13">
        <f t="shared" si="1"/>
        <v>3618.1</v>
      </c>
      <c r="H13" s="13">
        <f t="shared" si="2"/>
        <v>2211.6</v>
      </c>
      <c r="I13" s="14">
        <f t="shared" si="3"/>
        <v>0.85</v>
      </c>
      <c r="J13" s="57">
        <v>1.761</v>
      </c>
      <c r="K13" s="14">
        <f t="shared" si="4"/>
        <v>0.48</v>
      </c>
      <c r="L13" s="13">
        <f t="shared" si="5"/>
        <v>368.7046747626152</v>
      </c>
      <c r="M13" s="15">
        <f t="shared" si="6"/>
        <v>0.10199999999999998</v>
      </c>
      <c r="N13" s="13">
        <f t="shared" si="7"/>
        <v>767.5</v>
      </c>
      <c r="O13" s="13">
        <f t="shared" si="8"/>
        <v>767.5</v>
      </c>
      <c r="P13" s="13">
        <f t="shared" si="9"/>
        <v>554.7</v>
      </c>
      <c r="Q13" s="16">
        <f t="shared" si="10"/>
        <v>0.55</v>
      </c>
      <c r="R13" s="13">
        <v>985.3</v>
      </c>
      <c r="S13" s="13">
        <f t="shared" si="11"/>
        <v>554.7</v>
      </c>
      <c r="T13" s="13">
        <f t="shared" si="19"/>
        <v>56.3</v>
      </c>
      <c r="U13" s="13">
        <f t="shared" si="12"/>
        <v>0</v>
      </c>
      <c r="V13" s="13">
        <f t="shared" si="13"/>
        <v>0</v>
      </c>
      <c r="W13" s="13">
        <f t="shared" si="14"/>
        <v>0</v>
      </c>
      <c r="X13" s="13">
        <f t="shared" si="15"/>
        <v>0</v>
      </c>
      <c r="Y13" s="13">
        <f t="shared" si="16"/>
        <v>0</v>
      </c>
      <c r="Z13" s="13">
        <f t="shared" si="17"/>
        <v>0</v>
      </c>
      <c r="AA13" s="13">
        <f t="shared" si="18"/>
        <v>554.7</v>
      </c>
    </row>
    <row r="14" spans="1:27" s="3" customFormat="1" ht="15">
      <c r="A14" s="11">
        <v>9</v>
      </c>
      <c r="B14" s="55" t="s">
        <v>42</v>
      </c>
      <c r="C14" s="12">
        <v>1.964</v>
      </c>
      <c r="D14" s="12">
        <v>4329</v>
      </c>
      <c r="E14" s="12">
        <v>122.3</v>
      </c>
      <c r="F14" s="12"/>
      <c r="G14" s="13">
        <f t="shared" si="1"/>
        <v>4451.3</v>
      </c>
      <c r="H14" s="13">
        <f t="shared" si="2"/>
        <v>2266.4</v>
      </c>
      <c r="I14" s="14">
        <f t="shared" si="3"/>
        <v>0.87</v>
      </c>
      <c r="J14" s="57">
        <v>2.66</v>
      </c>
      <c r="K14" s="14">
        <f t="shared" si="4"/>
        <v>0.33</v>
      </c>
      <c r="L14" s="13">
        <f t="shared" si="5"/>
        <v>2715.2893227233308</v>
      </c>
      <c r="M14" s="15">
        <f t="shared" si="6"/>
        <v>0.25199999999999995</v>
      </c>
      <c r="N14" s="13">
        <f t="shared" si="7"/>
        <v>3438.5</v>
      </c>
      <c r="O14" s="13">
        <f t="shared" si="8"/>
        <v>3438.5</v>
      </c>
      <c r="P14" s="13">
        <f t="shared" si="9"/>
        <v>2484.9</v>
      </c>
      <c r="Q14" s="16">
        <f t="shared" si="10"/>
        <v>0.51</v>
      </c>
      <c r="R14" s="13">
        <v>2874</v>
      </c>
      <c r="S14" s="13">
        <f t="shared" si="11"/>
        <v>2484.9</v>
      </c>
      <c r="T14" s="13">
        <f t="shared" si="19"/>
        <v>86.46</v>
      </c>
      <c r="U14" s="13">
        <f t="shared" si="12"/>
        <v>0</v>
      </c>
      <c r="V14" s="13">
        <f t="shared" si="13"/>
        <v>0</v>
      </c>
      <c r="W14" s="13">
        <f t="shared" si="14"/>
        <v>0</v>
      </c>
      <c r="X14" s="13">
        <f t="shared" si="15"/>
        <v>0</v>
      </c>
      <c r="Y14" s="13">
        <f t="shared" si="16"/>
        <v>0</v>
      </c>
      <c r="Z14" s="13">
        <f t="shared" si="17"/>
        <v>0</v>
      </c>
      <c r="AA14" s="13">
        <f t="shared" si="18"/>
        <v>2484.9</v>
      </c>
    </row>
    <row r="15" spans="1:27" s="3" customFormat="1" ht="15">
      <c r="A15" s="11">
        <v>10</v>
      </c>
      <c r="B15" s="55" t="s">
        <v>43</v>
      </c>
      <c r="C15" s="12">
        <v>1.391</v>
      </c>
      <c r="D15" s="12">
        <v>3247</v>
      </c>
      <c r="E15" s="12"/>
      <c r="F15" s="12"/>
      <c r="G15" s="13">
        <f t="shared" si="1"/>
        <v>3247</v>
      </c>
      <c r="H15" s="13">
        <f t="shared" si="2"/>
        <v>2334.3</v>
      </c>
      <c r="I15" s="14">
        <f t="shared" si="3"/>
        <v>0.89</v>
      </c>
      <c r="J15" s="57">
        <v>2.367</v>
      </c>
      <c r="K15" s="14">
        <f t="shared" si="4"/>
        <v>0.38</v>
      </c>
      <c r="L15" s="13">
        <f t="shared" si="5"/>
        <v>1281.3021974260569</v>
      </c>
      <c r="M15" s="15">
        <f t="shared" si="6"/>
        <v>0.20199999999999996</v>
      </c>
      <c r="N15" s="13">
        <f t="shared" si="7"/>
        <v>1737.1</v>
      </c>
      <c r="O15" s="13">
        <f t="shared" si="8"/>
        <v>1737.1</v>
      </c>
      <c r="P15" s="13">
        <f t="shared" si="9"/>
        <v>1255.4</v>
      </c>
      <c r="Q15" s="16">
        <f t="shared" si="10"/>
        <v>0.53</v>
      </c>
      <c r="R15" s="13">
        <v>1653.7</v>
      </c>
      <c r="S15" s="13">
        <f t="shared" si="11"/>
        <v>1255.4</v>
      </c>
      <c r="T15" s="13">
        <f t="shared" si="19"/>
        <v>75.91</v>
      </c>
      <c r="U15" s="13">
        <f t="shared" si="12"/>
        <v>0</v>
      </c>
      <c r="V15" s="13">
        <f t="shared" si="13"/>
        <v>0</v>
      </c>
      <c r="W15" s="13">
        <f t="shared" si="14"/>
        <v>0</v>
      </c>
      <c r="X15" s="13">
        <f t="shared" si="15"/>
        <v>0</v>
      </c>
      <c r="Y15" s="13">
        <f t="shared" si="16"/>
        <v>0</v>
      </c>
      <c r="Z15" s="13">
        <f t="shared" si="17"/>
        <v>0</v>
      </c>
      <c r="AA15" s="13">
        <f t="shared" si="18"/>
        <v>1255.4</v>
      </c>
    </row>
    <row r="16" spans="1:27" s="3" customFormat="1" ht="15">
      <c r="A16" s="11">
        <v>11</v>
      </c>
      <c r="B16" s="55" t="s">
        <v>44</v>
      </c>
      <c r="C16" s="12">
        <v>1.167</v>
      </c>
      <c r="D16" s="12">
        <v>3883</v>
      </c>
      <c r="E16" s="12"/>
      <c r="F16" s="12"/>
      <c r="G16" s="13">
        <f t="shared" si="1"/>
        <v>3883</v>
      </c>
      <c r="H16" s="13">
        <f t="shared" si="2"/>
        <v>3327.3</v>
      </c>
      <c r="I16" s="14">
        <f t="shared" si="3"/>
        <v>1.27</v>
      </c>
      <c r="J16" s="57">
        <v>2.076</v>
      </c>
      <c r="K16" s="14">
        <f t="shared" si="4"/>
        <v>0.61</v>
      </c>
      <c r="L16" s="13">
        <f t="shared" si="5"/>
        <v>0</v>
      </c>
      <c r="M16" s="15">
        <f t="shared" si="6"/>
        <v>-0.028000000000000025</v>
      </c>
      <c r="N16" s="13">
        <f t="shared" si="7"/>
        <v>-177.2</v>
      </c>
      <c r="O16" s="13">
        <f t="shared" si="8"/>
        <v>0</v>
      </c>
      <c r="P16" s="13">
        <f t="shared" si="9"/>
        <v>0</v>
      </c>
      <c r="Q16" s="16">
        <f t="shared" si="10"/>
        <v>0.61</v>
      </c>
      <c r="R16" s="13">
        <v>247.6</v>
      </c>
      <c r="S16" s="13">
        <f t="shared" si="11"/>
        <v>0</v>
      </c>
      <c r="T16" s="13">
        <f t="shared" si="19"/>
        <v>0</v>
      </c>
      <c r="U16" s="13">
        <f t="shared" si="12"/>
        <v>50</v>
      </c>
      <c r="V16" s="13">
        <f t="shared" si="13"/>
        <v>123.8</v>
      </c>
      <c r="W16" s="13">
        <f t="shared" si="14"/>
        <v>123.8</v>
      </c>
      <c r="X16" s="13">
        <f t="shared" si="15"/>
        <v>0</v>
      </c>
      <c r="Y16" s="13">
        <f t="shared" si="16"/>
        <v>0</v>
      </c>
      <c r="Z16" s="13">
        <f t="shared" si="17"/>
        <v>123.8</v>
      </c>
      <c r="AA16" s="13">
        <f t="shared" si="18"/>
        <v>123.8</v>
      </c>
    </row>
    <row r="17" spans="1:27" s="3" customFormat="1" ht="15">
      <c r="A17" s="11">
        <v>12</v>
      </c>
      <c r="B17" s="56" t="s">
        <v>45</v>
      </c>
      <c r="C17" s="12">
        <v>1.02</v>
      </c>
      <c r="D17" s="12">
        <v>4721</v>
      </c>
      <c r="E17" s="12"/>
      <c r="F17" s="12"/>
      <c r="G17" s="13">
        <f t="shared" si="1"/>
        <v>4721</v>
      </c>
      <c r="H17" s="13">
        <f t="shared" si="2"/>
        <v>4628.4</v>
      </c>
      <c r="I17" s="14">
        <f t="shared" si="3"/>
        <v>1.77</v>
      </c>
      <c r="J17" s="57">
        <v>5.587</v>
      </c>
      <c r="K17" s="14">
        <f t="shared" si="4"/>
        <v>0.32</v>
      </c>
      <c r="L17" s="13">
        <f t="shared" si="5"/>
        <v>3110.7495337040314</v>
      </c>
      <c r="M17" s="15">
        <f t="shared" si="6"/>
        <v>0.26199999999999996</v>
      </c>
      <c r="N17" s="13">
        <f t="shared" si="7"/>
        <v>3899.6</v>
      </c>
      <c r="O17" s="13">
        <f t="shared" si="8"/>
        <v>3899.6</v>
      </c>
      <c r="P17" s="13">
        <f t="shared" si="9"/>
        <v>2818.2</v>
      </c>
      <c r="Q17" s="16">
        <f t="shared" si="10"/>
        <v>0.51</v>
      </c>
      <c r="R17" s="13">
        <v>553.1</v>
      </c>
      <c r="S17" s="13">
        <f t="shared" si="11"/>
        <v>2818.2</v>
      </c>
      <c r="T17" s="13">
        <f t="shared" si="19"/>
        <v>509.53</v>
      </c>
      <c r="U17" s="13">
        <f t="shared" si="12"/>
        <v>0</v>
      </c>
      <c r="V17" s="13">
        <f t="shared" si="13"/>
        <v>0</v>
      </c>
      <c r="W17" s="13">
        <f t="shared" si="14"/>
        <v>0</v>
      </c>
      <c r="X17" s="13">
        <f t="shared" si="15"/>
        <v>-220.91999999999996</v>
      </c>
      <c r="Y17" s="13">
        <f t="shared" si="16"/>
        <v>-1221.9039978018957</v>
      </c>
      <c r="Z17" s="13">
        <f t="shared" si="17"/>
        <v>-1221.9039978018957</v>
      </c>
      <c r="AA17" s="13">
        <f t="shared" si="18"/>
        <v>1596.2960021981041</v>
      </c>
    </row>
    <row r="18" spans="1:27" s="26" customFormat="1" ht="12.75">
      <c r="A18" s="18"/>
      <c r="B18" s="19" t="s">
        <v>26</v>
      </c>
      <c r="C18" s="20">
        <f>SUM(C6:C17)</f>
        <v>61.541999999999994</v>
      </c>
      <c r="D18" s="20">
        <f>SUM(D6:D17)</f>
        <v>159605</v>
      </c>
      <c r="E18" s="20">
        <f>SUM(E6:E17)</f>
        <v>1129</v>
      </c>
      <c r="F18" s="20"/>
      <c r="G18" s="20">
        <f>SUM(G6:G17)</f>
        <v>160733.99999999997</v>
      </c>
      <c r="H18" s="21">
        <f t="shared" si="2"/>
        <v>2611.8</v>
      </c>
      <c r="I18" s="22">
        <v>1</v>
      </c>
      <c r="J18" s="22">
        <v>1</v>
      </c>
      <c r="K18" s="22">
        <v>1</v>
      </c>
      <c r="L18" s="23">
        <f>SUM(L6:L17)</f>
        <v>18555.200373797088</v>
      </c>
      <c r="M18" s="24"/>
      <c r="N18" s="20">
        <f aca="true" t="shared" si="20" ref="N18:S18">SUM(N6:N17)</f>
        <v>-46169.899999999994</v>
      </c>
      <c r="O18" s="20">
        <f t="shared" si="20"/>
        <v>25676.699999999997</v>
      </c>
      <c r="P18" s="25">
        <f t="shared" si="20"/>
        <v>18556.2</v>
      </c>
      <c r="Q18" s="25">
        <f t="shared" si="20"/>
        <v>7.78</v>
      </c>
      <c r="R18" s="25">
        <f t="shared" si="20"/>
        <v>26408.8</v>
      </c>
      <c r="S18" s="25">
        <f t="shared" si="20"/>
        <v>18556.2</v>
      </c>
      <c r="T18" s="21">
        <f>S18/R18*100</f>
        <v>70.2652146254279</v>
      </c>
      <c r="U18" s="21"/>
      <c r="V18" s="25">
        <f>SUM(V6:V17)</f>
        <v>4863.5</v>
      </c>
      <c r="W18" s="25">
        <f>SUM(W6:W17)</f>
        <v>1221.7999999999995</v>
      </c>
      <c r="X18" s="25"/>
      <c r="Y18" s="17">
        <f>SUM(Y6:Y17)</f>
        <v>-1221.9039978018957</v>
      </c>
      <c r="Z18" s="17">
        <f>SUM(Z6:Z17)</f>
        <v>-0.10399780189618468</v>
      </c>
      <c r="AA18" s="17">
        <f>SUM(AA6:AA17)</f>
        <v>18556.096002198105</v>
      </c>
    </row>
    <row r="19" spans="2:27" ht="25.5">
      <c r="B19" s="1" t="s">
        <v>27</v>
      </c>
      <c r="C19" s="27"/>
      <c r="D19" s="27"/>
      <c r="E19" s="27"/>
      <c r="F19" s="27"/>
      <c r="G19" s="27"/>
      <c r="H19" s="28" t="s">
        <v>30</v>
      </c>
      <c r="I19" s="54">
        <v>18556.1</v>
      </c>
      <c r="J19" s="51" t="s">
        <v>29</v>
      </c>
      <c r="K19" s="30">
        <f>ROUND(L19*1.1,3)</f>
        <v>0.582</v>
      </c>
      <c r="L19" s="53">
        <v>0.528999999</v>
      </c>
      <c r="M19" s="73" t="s">
        <v>30</v>
      </c>
      <c r="N19" s="73"/>
      <c r="O19" s="31">
        <v>18556.1</v>
      </c>
      <c r="P19" s="29"/>
      <c r="U19" s="33"/>
      <c r="V19" s="33"/>
      <c r="W19" s="33"/>
      <c r="X19" s="52">
        <v>288.61</v>
      </c>
      <c r="Y19" s="35">
        <f>W18+Y18</f>
        <v>-0.10399780189618468</v>
      </c>
      <c r="Z19" s="29"/>
      <c r="AA19" s="29"/>
    </row>
    <row r="20" spans="3:27" s="36" customFormat="1" ht="12.75">
      <c r="C20" s="37"/>
      <c r="D20" s="37"/>
      <c r="E20" s="37"/>
      <c r="F20" s="37"/>
      <c r="G20" s="37"/>
      <c r="H20" s="38"/>
      <c r="I20" s="29"/>
      <c r="J20" s="50"/>
      <c r="K20" s="39"/>
      <c r="L20" s="31">
        <f>+L18-O19</f>
        <v>-0.89962620291044</v>
      </c>
      <c r="M20" s="40"/>
      <c r="N20" s="41"/>
      <c r="O20" s="41"/>
      <c r="P20" s="27">
        <f>P18-O19</f>
        <v>0.10000000000218279</v>
      </c>
      <c r="Q20" s="42"/>
      <c r="U20" s="43"/>
      <c r="V20" s="43"/>
      <c r="W20" s="43"/>
      <c r="X20" s="44"/>
      <c r="Y20" s="45"/>
      <c r="AA20" s="34"/>
    </row>
    <row r="21" spans="7:8" ht="12.75">
      <c r="G21" s="37"/>
      <c r="H21" s="46"/>
    </row>
    <row r="22" ht="12.75">
      <c r="X22" s="34"/>
    </row>
  </sheetData>
  <sheetProtection formatCells="0" formatColumns="0" formatRows="0" insertColumns="0" insertRows="0" insertHyperlinks="0" deleteColumns="0" deleteRows="0" sort="0" autoFilter="0" pivotTables="0"/>
  <autoFilter ref="A5:AA21"/>
  <mergeCells count="26">
    <mergeCell ref="P3:P4"/>
    <mergeCell ref="J3:J4"/>
    <mergeCell ref="K3:K4"/>
    <mergeCell ref="O3:O4"/>
    <mergeCell ref="L3:L4"/>
    <mergeCell ref="N3:N4"/>
    <mergeCell ref="A2:A4"/>
    <mergeCell ref="B2:B4"/>
    <mergeCell ref="C2:C4"/>
    <mergeCell ref="M19:N19"/>
    <mergeCell ref="M3:M4"/>
    <mergeCell ref="F3:F4"/>
    <mergeCell ref="E3:E4"/>
    <mergeCell ref="G3:G4"/>
    <mergeCell ref="I3:I4"/>
    <mergeCell ref="H3:H4"/>
    <mergeCell ref="AA3:AA4"/>
    <mergeCell ref="X3:Y3"/>
    <mergeCell ref="Z3:Z4"/>
    <mergeCell ref="C1:Q1"/>
    <mergeCell ref="Q3:Q4"/>
    <mergeCell ref="R3:T3"/>
    <mergeCell ref="R2:AA2"/>
    <mergeCell ref="D2:Q2"/>
    <mergeCell ref="D3:D4"/>
    <mergeCell ref="U3:W3"/>
  </mergeCells>
  <printOptions/>
  <pageMargins left="0.1968503937007874" right="0.1968503937007874" top="0.1968503937007874" bottom="0.1968503937007874" header="0" footer="0"/>
  <pageSetup fitToWidth="3" horizontalDpi="300" verticalDpi="300" orientation="landscape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A22"/>
  <sheetViews>
    <sheetView view="pageBreakPreview" zoomScaleSheetLayoutView="100" workbookViewId="0" topLeftCell="A1">
      <pane xSplit="3" ySplit="7" topLeftCell="H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I10" sqref="I10"/>
    </sheetView>
  </sheetViews>
  <sheetFormatPr defaultColWidth="8.8515625" defaultRowHeight="12.75"/>
  <cols>
    <col min="1" max="1" width="5.421875" style="1" hidden="1" customWidth="1"/>
    <col min="2" max="2" width="29.00390625" style="1" customWidth="1"/>
    <col min="3" max="6" width="11.7109375" style="3" customWidth="1"/>
    <col min="7" max="7" width="15.7109375" style="3" customWidth="1"/>
    <col min="8" max="8" width="10.140625" style="3" customWidth="1"/>
    <col min="9" max="9" width="10.57421875" style="3" customWidth="1"/>
    <col min="10" max="10" width="13.28125" style="3" customWidth="1"/>
    <col min="11" max="11" width="13.8515625" style="47" customWidth="1"/>
    <col min="12" max="12" width="14.00390625" style="31" customWidth="1"/>
    <col min="13" max="13" width="10.57421875" style="48" customWidth="1"/>
    <col min="14" max="14" width="12.140625" style="31" customWidth="1"/>
    <col min="15" max="15" width="12.57421875" style="31" customWidth="1"/>
    <col min="16" max="16" width="12.28125" style="49" customWidth="1"/>
    <col min="17" max="17" width="8.8515625" style="32" customWidth="1"/>
    <col min="18" max="18" width="11.28125" style="1" customWidth="1"/>
    <col min="19" max="19" width="10.8515625" style="1" customWidth="1"/>
    <col min="20" max="20" width="11.7109375" style="1" customWidth="1"/>
    <col min="21" max="21" width="10.421875" style="3" customWidth="1"/>
    <col min="22" max="22" width="10.28125" style="3" bestFit="1" customWidth="1"/>
    <col min="23" max="23" width="12.7109375" style="3" customWidth="1"/>
    <col min="24" max="24" width="11.8515625" style="4" customWidth="1"/>
    <col min="25" max="25" width="11.8515625" style="5" customWidth="1"/>
    <col min="26" max="26" width="11.00390625" style="1" customWidth="1"/>
    <col min="27" max="27" width="11.421875" style="1" customWidth="1"/>
    <col min="28" max="16384" width="8.8515625" style="1" customWidth="1"/>
  </cols>
  <sheetData>
    <row r="1" spans="2:17" ht="15.75">
      <c r="B1" s="2"/>
      <c r="C1" s="64" t="s">
        <v>46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27" ht="13.5" customHeight="1">
      <c r="A2" s="70" t="s">
        <v>0</v>
      </c>
      <c r="B2" s="71" t="s">
        <v>1</v>
      </c>
      <c r="C2" s="72" t="s">
        <v>2</v>
      </c>
      <c r="D2" s="66" t="s">
        <v>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2" t="s">
        <v>4</v>
      </c>
      <c r="S2" s="62"/>
      <c r="T2" s="62"/>
      <c r="U2" s="62"/>
      <c r="V2" s="62"/>
      <c r="W2" s="62"/>
      <c r="X2" s="62"/>
      <c r="Y2" s="62"/>
      <c r="Z2" s="62"/>
      <c r="AA2" s="62"/>
    </row>
    <row r="3" spans="1:27" ht="15.75" customHeight="1">
      <c r="A3" s="70"/>
      <c r="B3" s="71"/>
      <c r="C3" s="72"/>
      <c r="D3" s="69" t="s">
        <v>6</v>
      </c>
      <c r="E3" s="69" t="s">
        <v>31</v>
      </c>
      <c r="F3" s="69" t="s">
        <v>32</v>
      </c>
      <c r="G3" s="69" t="s">
        <v>33</v>
      </c>
      <c r="H3" s="69" t="s">
        <v>7</v>
      </c>
      <c r="I3" s="69" t="s">
        <v>8</v>
      </c>
      <c r="J3" s="69" t="s">
        <v>9</v>
      </c>
      <c r="K3" s="75" t="s">
        <v>10</v>
      </c>
      <c r="L3" s="76" t="s">
        <v>11</v>
      </c>
      <c r="M3" s="74" t="s">
        <v>12</v>
      </c>
      <c r="N3" s="76" t="s">
        <v>13</v>
      </c>
      <c r="O3" s="76" t="s">
        <v>14</v>
      </c>
      <c r="P3" s="69" t="s">
        <v>15</v>
      </c>
      <c r="Q3" s="65" t="s">
        <v>16</v>
      </c>
      <c r="R3" s="62" t="s">
        <v>17</v>
      </c>
      <c r="S3" s="62"/>
      <c r="T3" s="62"/>
      <c r="U3" s="62" t="s">
        <v>18</v>
      </c>
      <c r="V3" s="62"/>
      <c r="W3" s="62"/>
      <c r="X3" s="63" t="s">
        <v>19</v>
      </c>
      <c r="Y3" s="63"/>
      <c r="Z3" s="62" t="s">
        <v>20</v>
      </c>
      <c r="AA3" s="62" t="s">
        <v>5</v>
      </c>
    </row>
    <row r="4" spans="1:27" ht="54.75" customHeight="1">
      <c r="A4" s="70"/>
      <c r="B4" s="71"/>
      <c r="C4" s="72"/>
      <c r="D4" s="69"/>
      <c r="E4" s="69"/>
      <c r="F4" s="69"/>
      <c r="G4" s="69"/>
      <c r="H4" s="69"/>
      <c r="I4" s="69"/>
      <c r="J4" s="69"/>
      <c r="K4" s="75"/>
      <c r="L4" s="76"/>
      <c r="M4" s="74"/>
      <c r="N4" s="76"/>
      <c r="O4" s="76"/>
      <c r="P4" s="69"/>
      <c r="Q4" s="65"/>
      <c r="R4" s="6">
        <v>2011</v>
      </c>
      <c r="S4" s="6">
        <v>2012</v>
      </c>
      <c r="T4" s="6" t="s">
        <v>21</v>
      </c>
      <c r="U4" s="6" t="s">
        <v>22</v>
      </c>
      <c r="V4" s="6" t="s">
        <v>28</v>
      </c>
      <c r="W4" s="6" t="s">
        <v>23</v>
      </c>
      <c r="X4" s="8" t="s">
        <v>24</v>
      </c>
      <c r="Y4" s="7" t="s">
        <v>25</v>
      </c>
      <c r="Z4" s="62"/>
      <c r="AA4" s="62"/>
    </row>
    <row r="5" spans="1:27" s="10" customFormat="1" ht="12.75">
      <c r="A5" s="9">
        <v>1</v>
      </c>
      <c r="B5" s="9">
        <v>1</v>
      </c>
      <c r="C5" s="9">
        <f aca="true" t="shared" si="0" ref="C5:AA5">B5+1</f>
        <v>2</v>
      </c>
      <c r="D5" s="9">
        <f t="shared" si="0"/>
        <v>3</v>
      </c>
      <c r="E5" s="9">
        <f t="shared" si="0"/>
        <v>4</v>
      </c>
      <c r="F5" s="9">
        <f t="shared" si="0"/>
        <v>5</v>
      </c>
      <c r="G5" s="9">
        <f t="shared" si="0"/>
        <v>6</v>
      </c>
      <c r="H5" s="9">
        <f t="shared" si="0"/>
        <v>7</v>
      </c>
      <c r="I5" s="9">
        <f t="shared" si="0"/>
        <v>8</v>
      </c>
      <c r="J5" s="9">
        <f t="shared" si="0"/>
        <v>9</v>
      </c>
      <c r="K5" s="9">
        <f t="shared" si="0"/>
        <v>10</v>
      </c>
      <c r="L5" s="9">
        <f t="shared" si="0"/>
        <v>11</v>
      </c>
      <c r="M5" s="9">
        <f t="shared" si="0"/>
        <v>12</v>
      </c>
      <c r="N5" s="9">
        <f t="shared" si="0"/>
        <v>13</v>
      </c>
      <c r="O5" s="9">
        <f t="shared" si="0"/>
        <v>14</v>
      </c>
      <c r="P5" s="9">
        <f t="shared" si="0"/>
        <v>15</v>
      </c>
      <c r="Q5" s="9">
        <f t="shared" si="0"/>
        <v>16</v>
      </c>
      <c r="R5" s="9">
        <f t="shared" si="0"/>
        <v>17</v>
      </c>
      <c r="S5" s="9">
        <f t="shared" si="0"/>
        <v>18</v>
      </c>
      <c r="T5" s="9">
        <f t="shared" si="0"/>
        <v>19</v>
      </c>
      <c r="U5" s="9">
        <f t="shared" si="0"/>
        <v>20</v>
      </c>
      <c r="V5" s="9">
        <f t="shared" si="0"/>
        <v>21</v>
      </c>
      <c r="W5" s="9">
        <f t="shared" si="0"/>
        <v>22</v>
      </c>
      <c r="X5" s="9">
        <f t="shared" si="0"/>
        <v>23</v>
      </c>
      <c r="Y5" s="9">
        <f t="shared" si="0"/>
        <v>24</v>
      </c>
      <c r="Z5" s="9">
        <f t="shared" si="0"/>
        <v>25</v>
      </c>
      <c r="AA5" s="9">
        <f t="shared" si="0"/>
        <v>26</v>
      </c>
    </row>
    <row r="6" spans="1:27" s="3" customFormat="1" ht="15">
      <c r="A6" s="11">
        <v>1</v>
      </c>
      <c r="B6" s="55" t="s">
        <v>34</v>
      </c>
      <c r="C6" s="12">
        <v>35.711</v>
      </c>
      <c r="D6" s="12">
        <v>104255</v>
      </c>
      <c r="E6" s="12"/>
      <c r="F6" s="12"/>
      <c r="G6" s="13">
        <f aca="true" t="shared" si="1" ref="G6:G17">+D6+E6-F6</f>
        <v>104255</v>
      </c>
      <c r="H6" s="13">
        <f aca="true" t="shared" si="2" ref="H6:H18">ROUND(G6/C6,1)</f>
        <v>2919.4</v>
      </c>
      <c r="I6" s="14">
        <f aca="true" t="shared" si="3" ref="I6:I17">ROUND(H6/$H$18,2)</f>
        <v>1.12</v>
      </c>
      <c r="J6" s="57">
        <v>0.606</v>
      </c>
      <c r="K6" s="14">
        <f aca="true" t="shared" si="4" ref="K6:K17">ROUND(I6/J6,2)</f>
        <v>1.85</v>
      </c>
      <c r="L6" s="13">
        <f aca="true" t="shared" si="5" ref="L6:L17">IF($L$19-K6&gt;0,($H$18*C6*($L$19-K6)*J6),0)</f>
        <v>0</v>
      </c>
      <c r="M6" s="15">
        <f aca="true" t="shared" si="6" ref="M6:M17">$K$19-K6</f>
        <v>-1.2720000000000002</v>
      </c>
      <c r="N6" s="13">
        <f aca="true" t="shared" si="7" ref="N6:N17">ROUND($H$18*M6*C6*J6,1)</f>
        <v>-71691.8</v>
      </c>
      <c r="O6" s="13">
        <f aca="true" t="shared" si="8" ref="O6:O17">IF(N6&gt;0,N6,0)</f>
        <v>0</v>
      </c>
      <c r="P6" s="13">
        <f aca="true" t="shared" si="9" ref="P6:P17">ROUND($O$19*(O6/$O$18),1)</f>
        <v>0</v>
      </c>
      <c r="Q6" s="16">
        <f aca="true" t="shared" si="10" ref="Q6:Q17">ROUND(K6+P6/(C6*$H$18*J6),2)</f>
        <v>1.85</v>
      </c>
      <c r="R6" s="13">
        <v>1311</v>
      </c>
      <c r="S6" s="13">
        <f aca="true" t="shared" si="11" ref="S6:S17">P6</f>
        <v>0</v>
      </c>
      <c r="T6" s="13">
        <f>S6/R6*100</f>
        <v>0</v>
      </c>
      <c r="U6" s="13">
        <f aca="true" t="shared" si="12" ref="U6:U17">IF(T6&lt;50,50,0)</f>
        <v>50</v>
      </c>
      <c r="V6" s="13">
        <f aca="true" t="shared" si="13" ref="V6:V17">ROUND(R6*U6/100,1)</f>
        <v>655.5</v>
      </c>
      <c r="W6" s="13">
        <f aca="true" t="shared" si="14" ref="W6:W17">IF(V6-S6&lt;0,0,V6-S6)</f>
        <v>655.5</v>
      </c>
      <c r="X6" s="13">
        <f aca="true" t="shared" si="15" ref="X6:X17">IF($X$19-T6&gt;0,0,$X$19-T6)</f>
        <v>0</v>
      </c>
      <c r="Y6" s="13">
        <f aca="true" t="shared" si="16" ref="Y6:Y17">IF(T6=0,0,X6*S6/T6)</f>
        <v>0</v>
      </c>
      <c r="Z6" s="13">
        <f aca="true" t="shared" si="17" ref="Z6:Z17">+W6+Y6</f>
        <v>655.5</v>
      </c>
      <c r="AA6" s="13">
        <f aca="true" t="shared" si="18" ref="AA6:AA17">+Z6+S6</f>
        <v>655.5</v>
      </c>
    </row>
    <row r="7" spans="1:27" s="3" customFormat="1" ht="15">
      <c r="A7" s="11">
        <v>2</v>
      </c>
      <c r="B7" s="55" t="s">
        <v>35</v>
      </c>
      <c r="C7" s="12">
        <v>6.385</v>
      </c>
      <c r="D7" s="12">
        <v>10653</v>
      </c>
      <c r="E7" s="12">
        <v>210.5</v>
      </c>
      <c r="F7" s="12"/>
      <c r="G7" s="13">
        <f t="shared" si="1"/>
        <v>10863.5</v>
      </c>
      <c r="H7" s="13">
        <f t="shared" si="2"/>
        <v>1701.4</v>
      </c>
      <c r="I7" s="14">
        <f t="shared" si="3"/>
        <v>0.65</v>
      </c>
      <c r="J7" s="57">
        <v>1.497</v>
      </c>
      <c r="K7" s="14">
        <f t="shared" si="4"/>
        <v>0.43</v>
      </c>
      <c r="L7" s="13">
        <f t="shared" si="5"/>
        <v>2367.458212966096</v>
      </c>
      <c r="M7" s="15">
        <f t="shared" si="6"/>
        <v>0.14799999999999996</v>
      </c>
      <c r="N7" s="13">
        <f t="shared" si="7"/>
        <v>3684.3</v>
      </c>
      <c r="O7" s="13">
        <f t="shared" si="8"/>
        <v>3684.3</v>
      </c>
      <c r="P7" s="13">
        <f t="shared" si="9"/>
        <v>2666</v>
      </c>
      <c r="Q7" s="16">
        <f t="shared" si="10"/>
        <v>0.54</v>
      </c>
      <c r="R7" s="13">
        <v>6051.3</v>
      </c>
      <c r="S7" s="13">
        <f t="shared" si="11"/>
        <v>2666</v>
      </c>
      <c r="T7" s="13">
        <f aca="true" t="shared" si="19" ref="T7:T17">ROUND(S7/R7*100,2)</f>
        <v>44.06</v>
      </c>
      <c r="U7" s="13">
        <f t="shared" si="12"/>
        <v>50</v>
      </c>
      <c r="V7" s="13">
        <f t="shared" si="13"/>
        <v>3025.7</v>
      </c>
      <c r="W7" s="13">
        <f t="shared" si="14"/>
        <v>359.6999999999998</v>
      </c>
      <c r="X7" s="13">
        <f t="shared" si="15"/>
        <v>0</v>
      </c>
      <c r="Y7" s="13">
        <f t="shared" si="16"/>
        <v>0</v>
      </c>
      <c r="Z7" s="13">
        <f t="shared" si="17"/>
        <v>359.6999999999998</v>
      </c>
      <c r="AA7" s="13">
        <f t="shared" si="18"/>
        <v>3025.7</v>
      </c>
    </row>
    <row r="8" spans="1:27" s="3" customFormat="1" ht="15">
      <c r="A8" s="11">
        <v>3</v>
      </c>
      <c r="B8" s="55" t="s">
        <v>36</v>
      </c>
      <c r="C8" s="12">
        <v>3.986</v>
      </c>
      <c r="D8" s="12">
        <v>7982</v>
      </c>
      <c r="E8" s="12"/>
      <c r="F8" s="12"/>
      <c r="G8" s="13">
        <f t="shared" si="1"/>
        <v>7982</v>
      </c>
      <c r="H8" s="13">
        <f t="shared" si="2"/>
        <v>2002.5</v>
      </c>
      <c r="I8" s="14">
        <f t="shared" si="3"/>
        <v>0.77</v>
      </c>
      <c r="J8" s="57">
        <v>1.959</v>
      </c>
      <c r="K8" s="14">
        <f t="shared" si="4"/>
        <v>0.39</v>
      </c>
      <c r="L8" s="13">
        <f t="shared" si="5"/>
        <v>2747.532273593875</v>
      </c>
      <c r="M8" s="15">
        <f t="shared" si="6"/>
        <v>0.18799999999999994</v>
      </c>
      <c r="N8" s="13">
        <f t="shared" si="7"/>
        <v>3823.3</v>
      </c>
      <c r="O8" s="13">
        <f t="shared" si="8"/>
        <v>3823.3</v>
      </c>
      <c r="P8" s="13">
        <f t="shared" si="9"/>
        <v>2766.6</v>
      </c>
      <c r="Q8" s="16">
        <f t="shared" si="10"/>
        <v>0.53</v>
      </c>
      <c r="R8" s="13">
        <v>5469</v>
      </c>
      <c r="S8" s="13">
        <f t="shared" si="11"/>
        <v>2766.6</v>
      </c>
      <c r="T8" s="13">
        <f t="shared" si="19"/>
        <v>50.59</v>
      </c>
      <c r="U8" s="13">
        <f t="shared" si="12"/>
        <v>0</v>
      </c>
      <c r="V8" s="13">
        <f t="shared" si="13"/>
        <v>0</v>
      </c>
      <c r="W8" s="13">
        <f t="shared" si="14"/>
        <v>0</v>
      </c>
      <c r="X8" s="13">
        <f t="shared" si="15"/>
        <v>0</v>
      </c>
      <c r="Y8" s="13">
        <f t="shared" si="16"/>
        <v>0</v>
      </c>
      <c r="Z8" s="13">
        <f t="shared" si="17"/>
        <v>0</v>
      </c>
      <c r="AA8" s="13">
        <f t="shared" si="18"/>
        <v>2766.6</v>
      </c>
    </row>
    <row r="9" spans="1:27" s="3" customFormat="1" ht="15">
      <c r="A9" s="11">
        <v>4</v>
      </c>
      <c r="B9" s="55" t="s">
        <v>37</v>
      </c>
      <c r="C9" s="12">
        <v>1.428</v>
      </c>
      <c r="D9" s="12">
        <v>2325</v>
      </c>
      <c r="E9" s="12">
        <v>477.3</v>
      </c>
      <c r="F9" s="12"/>
      <c r="G9" s="13">
        <f t="shared" si="1"/>
        <v>2802.3</v>
      </c>
      <c r="H9" s="13">
        <f t="shared" si="2"/>
        <v>1962.4</v>
      </c>
      <c r="I9" s="14">
        <f t="shared" si="3"/>
        <v>0.75</v>
      </c>
      <c r="J9" s="57">
        <v>2.429</v>
      </c>
      <c r="K9" s="14">
        <f t="shared" si="4"/>
        <v>0.31</v>
      </c>
      <c r="L9" s="13">
        <f t="shared" si="5"/>
        <v>1943.161364394012</v>
      </c>
      <c r="M9" s="15">
        <f t="shared" si="6"/>
        <v>0.26799999999999996</v>
      </c>
      <c r="N9" s="13">
        <f t="shared" si="7"/>
        <v>2421</v>
      </c>
      <c r="O9" s="13">
        <f t="shared" si="8"/>
        <v>2421</v>
      </c>
      <c r="P9" s="13">
        <f t="shared" si="9"/>
        <v>1751.9</v>
      </c>
      <c r="Q9" s="16">
        <f t="shared" si="10"/>
        <v>0.5</v>
      </c>
      <c r="R9" s="13">
        <v>1953.7</v>
      </c>
      <c r="S9" s="13">
        <f t="shared" si="11"/>
        <v>1751.9</v>
      </c>
      <c r="T9" s="13">
        <f t="shared" si="19"/>
        <v>89.67</v>
      </c>
      <c r="U9" s="13">
        <f t="shared" si="12"/>
        <v>0</v>
      </c>
      <c r="V9" s="13">
        <f t="shared" si="13"/>
        <v>0</v>
      </c>
      <c r="W9" s="13">
        <f t="shared" si="14"/>
        <v>0</v>
      </c>
      <c r="X9" s="13">
        <f t="shared" si="15"/>
        <v>0</v>
      </c>
      <c r="Y9" s="13">
        <f t="shared" si="16"/>
        <v>0</v>
      </c>
      <c r="Z9" s="13">
        <f t="shared" si="17"/>
        <v>0</v>
      </c>
      <c r="AA9" s="13">
        <f t="shared" si="18"/>
        <v>1751.9</v>
      </c>
    </row>
    <row r="10" spans="1:27" s="3" customFormat="1" ht="15">
      <c r="A10" s="11">
        <v>5</v>
      </c>
      <c r="B10" s="55" t="s">
        <v>38</v>
      </c>
      <c r="C10" s="12">
        <v>3.577</v>
      </c>
      <c r="D10" s="12">
        <v>6752</v>
      </c>
      <c r="E10" s="12"/>
      <c r="F10" s="12"/>
      <c r="G10" s="13">
        <f t="shared" si="1"/>
        <v>6752</v>
      </c>
      <c r="H10" s="13">
        <f t="shared" si="2"/>
        <v>1887.6</v>
      </c>
      <c r="I10" s="14">
        <f t="shared" si="3"/>
        <v>0.72</v>
      </c>
      <c r="J10" s="57">
        <v>2.037</v>
      </c>
      <c r="K10" s="14">
        <f t="shared" si="4"/>
        <v>0.35</v>
      </c>
      <c r="L10" s="13">
        <f t="shared" si="5"/>
        <v>3322.8443818819</v>
      </c>
      <c r="M10" s="15">
        <f t="shared" si="6"/>
        <v>0.22799999999999998</v>
      </c>
      <c r="N10" s="13">
        <f t="shared" si="7"/>
        <v>4326.7</v>
      </c>
      <c r="O10" s="13">
        <f t="shared" si="8"/>
        <v>4326.7</v>
      </c>
      <c r="P10" s="13">
        <f t="shared" si="9"/>
        <v>3130.9</v>
      </c>
      <c r="Q10" s="16">
        <f t="shared" si="10"/>
        <v>0.51</v>
      </c>
      <c r="R10" s="13">
        <v>3193.2</v>
      </c>
      <c r="S10" s="13">
        <f t="shared" si="11"/>
        <v>3130.9</v>
      </c>
      <c r="T10" s="13">
        <f t="shared" si="19"/>
        <v>98.05</v>
      </c>
      <c r="U10" s="13">
        <f t="shared" si="12"/>
        <v>0</v>
      </c>
      <c r="V10" s="13">
        <f t="shared" si="13"/>
        <v>0</v>
      </c>
      <c r="W10" s="13">
        <f t="shared" si="14"/>
        <v>0</v>
      </c>
      <c r="X10" s="13">
        <f t="shared" si="15"/>
        <v>0</v>
      </c>
      <c r="Y10" s="13">
        <f t="shared" si="16"/>
        <v>0</v>
      </c>
      <c r="Z10" s="13">
        <f t="shared" si="17"/>
        <v>0</v>
      </c>
      <c r="AA10" s="13">
        <f t="shared" si="18"/>
        <v>3130.9</v>
      </c>
    </row>
    <row r="11" spans="1:27" s="3" customFormat="1" ht="15">
      <c r="A11" s="11">
        <v>6</v>
      </c>
      <c r="B11" s="55" t="s">
        <v>39</v>
      </c>
      <c r="C11" s="12">
        <v>1.831</v>
      </c>
      <c r="D11" s="12">
        <v>3815</v>
      </c>
      <c r="E11" s="12"/>
      <c r="F11" s="12"/>
      <c r="G11" s="13">
        <f t="shared" si="1"/>
        <v>3815</v>
      </c>
      <c r="H11" s="13">
        <f t="shared" si="2"/>
        <v>2083.6</v>
      </c>
      <c r="I11" s="14">
        <f t="shared" si="3"/>
        <v>0.8</v>
      </c>
      <c r="J11" s="57">
        <v>1.645</v>
      </c>
      <c r="K11" s="14">
        <f t="shared" si="4"/>
        <v>0.49</v>
      </c>
      <c r="L11" s="13">
        <f t="shared" si="5"/>
        <v>275.35944730724526</v>
      </c>
      <c r="M11" s="15">
        <f t="shared" si="6"/>
        <v>0.08799999999999997</v>
      </c>
      <c r="N11" s="13">
        <f t="shared" si="7"/>
        <v>690.3</v>
      </c>
      <c r="O11" s="13">
        <f t="shared" si="8"/>
        <v>690.3</v>
      </c>
      <c r="P11" s="13">
        <f t="shared" si="9"/>
        <v>499.5</v>
      </c>
      <c r="Q11" s="16">
        <f t="shared" si="10"/>
        <v>0.55</v>
      </c>
      <c r="R11" s="13">
        <v>1116.2</v>
      </c>
      <c r="S11" s="13">
        <f t="shared" si="11"/>
        <v>499.5</v>
      </c>
      <c r="T11" s="13">
        <f t="shared" si="19"/>
        <v>44.75</v>
      </c>
      <c r="U11" s="13">
        <f t="shared" si="12"/>
        <v>50</v>
      </c>
      <c r="V11" s="13">
        <f t="shared" si="13"/>
        <v>558.1</v>
      </c>
      <c r="W11" s="13">
        <f t="shared" si="14"/>
        <v>58.60000000000002</v>
      </c>
      <c r="X11" s="13">
        <f t="shared" si="15"/>
        <v>0</v>
      </c>
      <c r="Y11" s="13">
        <f t="shared" si="16"/>
        <v>0</v>
      </c>
      <c r="Z11" s="13">
        <f t="shared" si="17"/>
        <v>58.60000000000002</v>
      </c>
      <c r="AA11" s="13">
        <f t="shared" si="18"/>
        <v>558.1</v>
      </c>
    </row>
    <row r="12" spans="1:27" s="3" customFormat="1" ht="15">
      <c r="A12" s="11">
        <v>7</v>
      </c>
      <c r="B12" s="55" t="s">
        <v>40</v>
      </c>
      <c r="C12" s="12">
        <v>1.446</v>
      </c>
      <c r="D12" s="12">
        <v>4127</v>
      </c>
      <c r="E12" s="12">
        <v>97.8</v>
      </c>
      <c r="F12" s="12"/>
      <c r="G12" s="13">
        <f t="shared" si="1"/>
        <v>4224.8</v>
      </c>
      <c r="H12" s="13">
        <f t="shared" si="2"/>
        <v>2921.7</v>
      </c>
      <c r="I12" s="14">
        <f t="shared" si="3"/>
        <v>1.12</v>
      </c>
      <c r="J12" s="57">
        <v>2.224</v>
      </c>
      <c r="K12" s="14">
        <f t="shared" si="4"/>
        <v>0.5</v>
      </c>
      <c r="L12" s="13">
        <f t="shared" si="5"/>
        <v>210.24599822870425</v>
      </c>
      <c r="M12" s="15">
        <f t="shared" si="6"/>
        <v>0.07799999999999996</v>
      </c>
      <c r="N12" s="13">
        <f t="shared" si="7"/>
        <v>653.3</v>
      </c>
      <c r="O12" s="13">
        <f t="shared" si="8"/>
        <v>653.3</v>
      </c>
      <c r="P12" s="13">
        <f t="shared" si="9"/>
        <v>472.7</v>
      </c>
      <c r="Q12" s="16">
        <f t="shared" si="10"/>
        <v>0.56</v>
      </c>
      <c r="R12" s="13">
        <v>1000.7</v>
      </c>
      <c r="S12" s="13">
        <f t="shared" si="11"/>
        <v>472.7</v>
      </c>
      <c r="T12" s="13">
        <f t="shared" si="19"/>
        <v>47.24</v>
      </c>
      <c r="U12" s="13">
        <f t="shared" si="12"/>
        <v>50</v>
      </c>
      <c r="V12" s="13">
        <f t="shared" si="13"/>
        <v>500.4</v>
      </c>
      <c r="W12" s="13">
        <f t="shared" si="14"/>
        <v>27.69999999999999</v>
      </c>
      <c r="X12" s="13">
        <f t="shared" si="15"/>
        <v>0</v>
      </c>
      <c r="Y12" s="13">
        <f t="shared" si="16"/>
        <v>0</v>
      </c>
      <c r="Z12" s="13">
        <f t="shared" si="17"/>
        <v>27.69999999999999</v>
      </c>
      <c r="AA12" s="13">
        <f t="shared" si="18"/>
        <v>500.4</v>
      </c>
    </row>
    <row r="13" spans="1:27" s="3" customFormat="1" ht="15">
      <c r="A13" s="11">
        <v>8</v>
      </c>
      <c r="B13" s="55" t="s">
        <v>41</v>
      </c>
      <c r="C13" s="12">
        <v>1.636</v>
      </c>
      <c r="D13" s="12">
        <v>3397</v>
      </c>
      <c r="E13" s="12">
        <v>221.1</v>
      </c>
      <c r="F13" s="12"/>
      <c r="G13" s="13">
        <f t="shared" si="1"/>
        <v>3618.1</v>
      </c>
      <c r="H13" s="13">
        <f t="shared" si="2"/>
        <v>2211.6</v>
      </c>
      <c r="I13" s="14">
        <f t="shared" si="3"/>
        <v>0.85</v>
      </c>
      <c r="J13" s="57">
        <v>1.761</v>
      </c>
      <c r="K13" s="14">
        <f t="shared" si="4"/>
        <v>0.48</v>
      </c>
      <c r="L13" s="13">
        <f t="shared" si="5"/>
        <v>338.4160539711963</v>
      </c>
      <c r="M13" s="15">
        <f t="shared" si="6"/>
        <v>0.09799999999999998</v>
      </c>
      <c r="N13" s="13">
        <f t="shared" si="7"/>
        <v>735.3</v>
      </c>
      <c r="O13" s="13">
        <f t="shared" si="8"/>
        <v>735.3</v>
      </c>
      <c r="P13" s="13">
        <f t="shared" si="9"/>
        <v>532.1</v>
      </c>
      <c r="Q13" s="16">
        <f t="shared" si="10"/>
        <v>0.55</v>
      </c>
      <c r="R13" s="13">
        <v>985.3</v>
      </c>
      <c r="S13" s="13">
        <f t="shared" si="11"/>
        <v>532.1</v>
      </c>
      <c r="T13" s="13">
        <f t="shared" si="19"/>
        <v>54</v>
      </c>
      <c r="U13" s="13">
        <f t="shared" si="12"/>
        <v>0</v>
      </c>
      <c r="V13" s="13">
        <f t="shared" si="13"/>
        <v>0</v>
      </c>
      <c r="W13" s="13">
        <f t="shared" si="14"/>
        <v>0</v>
      </c>
      <c r="X13" s="13">
        <f t="shared" si="15"/>
        <v>0</v>
      </c>
      <c r="Y13" s="13">
        <f t="shared" si="16"/>
        <v>0</v>
      </c>
      <c r="Z13" s="13">
        <f t="shared" si="17"/>
        <v>0</v>
      </c>
      <c r="AA13" s="13">
        <f t="shared" si="18"/>
        <v>532.1</v>
      </c>
    </row>
    <row r="14" spans="1:27" s="3" customFormat="1" ht="15">
      <c r="A14" s="11">
        <v>9</v>
      </c>
      <c r="B14" s="55" t="s">
        <v>42</v>
      </c>
      <c r="C14" s="12">
        <v>1.964</v>
      </c>
      <c r="D14" s="12">
        <v>3993</v>
      </c>
      <c r="E14" s="12">
        <v>122.3</v>
      </c>
      <c r="F14" s="12"/>
      <c r="G14" s="13">
        <f t="shared" si="1"/>
        <v>4115.3</v>
      </c>
      <c r="H14" s="13">
        <f t="shared" si="2"/>
        <v>2095.4</v>
      </c>
      <c r="I14" s="14">
        <f t="shared" si="3"/>
        <v>0.8</v>
      </c>
      <c r="J14" s="57">
        <v>2.66</v>
      </c>
      <c r="K14" s="14">
        <f t="shared" si="4"/>
        <v>0.3</v>
      </c>
      <c r="L14" s="13">
        <f t="shared" si="5"/>
        <v>3062.747013692241</v>
      </c>
      <c r="M14" s="15">
        <f t="shared" si="6"/>
        <v>0.27799999999999997</v>
      </c>
      <c r="N14" s="13">
        <f t="shared" si="7"/>
        <v>3782.5</v>
      </c>
      <c r="O14" s="13">
        <f t="shared" si="8"/>
        <v>3782.5</v>
      </c>
      <c r="P14" s="13">
        <f t="shared" si="9"/>
        <v>2737.1</v>
      </c>
      <c r="Q14" s="16">
        <f t="shared" si="10"/>
        <v>0.5</v>
      </c>
      <c r="R14" s="13">
        <v>2874</v>
      </c>
      <c r="S14" s="13">
        <f t="shared" si="11"/>
        <v>2737.1</v>
      </c>
      <c r="T14" s="13">
        <f t="shared" si="19"/>
        <v>95.24</v>
      </c>
      <c r="U14" s="13">
        <f t="shared" si="12"/>
        <v>0</v>
      </c>
      <c r="V14" s="13">
        <f t="shared" si="13"/>
        <v>0</v>
      </c>
      <c r="W14" s="13">
        <f t="shared" si="14"/>
        <v>0</v>
      </c>
      <c r="X14" s="13">
        <f t="shared" si="15"/>
        <v>0</v>
      </c>
      <c r="Y14" s="13">
        <f t="shared" si="16"/>
        <v>0</v>
      </c>
      <c r="Z14" s="13">
        <f t="shared" si="17"/>
        <v>0</v>
      </c>
      <c r="AA14" s="13">
        <f t="shared" si="18"/>
        <v>2737.1</v>
      </c>
    </row>
    <row r="15" spans="1:27" s="3" customFormat="1" ht="15">
      <c r="A15" s="11">
        <v>10</v>
      </c>
      <c r="B15" s="55" t="s">
        <v>43</v>
      </c>
      <c r="C15" s="12">
        <v>1.391</v>
      </c>
      <c r="D15" s="12">
        <v>3247</v>
      </c>
      <c r="E15" s="12"/>
      <c r="F15" s="12"/>
      <c r="G15" s="13">
        <f t="shared" si="1"/>
        <v>3247</v>
      </c>
      <c r="H15" s="13">
        <f t="shared" si="2"/>
        <v>2334.3</v>
      </c>
      <c r="I15" s="14">
        <f t="shared" si="3"/>
        <v>0.9</v>
      </c>
      <c r="J15" s="57">
        <v>2.367</v>
      </c>
      <c r="K15" s="14">
        <f t="shared" si="4"/>
        <v>0.38</v>
      </c>
      <c r="L15" s="13">
        <f t="shared" si="5"/>
        <v>1244.2509174526472</v>
      </c>
      <c r="M15" s="15">
        <f t="shared" si="6"/>
        <v>0.19799999999999995</v>
      </c>
      <c r="N15" s="13">
        <f t="shared" si="7"/>
        <v>1697.8</v>
      </c>
      <c r="O15" s="13">
        <f t="shared" si="8"/>
        <v>1697.8</v>
      </c>
      <c r="P15" s="13">
        <f t="shared" si="9"/>
        <v>1228.5</v>
      </c>
      <c r="Q15" s="16">
        <f t="shared" si="10"/>
        <v>0.52</v>
      </c>
      <c r="R15" s="13">
        <v>1653.7</v>
      </c>
      <c r="S15" s="13">
        <f t="shared" si="11"/>
        <v>1228.5</v>
      </c>
      <c r="T15" s="13">
        <f t="shared" si="19"/>
        <v>74.29</v>
      </c>
      <c r="U15" s="13">
        <f t="shared" si="12"/>
        <v>0</v>
      </c>
      <c r="V15" s="13">
        <f t="shared" si="13"/>
        <v>0</v>
      </c>
      <c r="W15" s="13">
        <f t="shared" si="14"/>
        <v>0</v>
      </c>
      <c r="X15" s="13">
        <f t="shared" si="15"/>
        <v>0</v>
      </c>
      <c r="Y15" s="13">
        <f t="shared" si="16"/>
        <v>0</v>
      </c>
      <c r="Z15" s="13">
        <f t="shared" si="17"/>
        <v>0</v>
      </c>
      <c r="AA15" s="13">
        <f t="shared" si="18"/>
        <v>1228.5</v>
      </c>
    </row>
    <row r="16" spans="1:27" s="3" customFormat="1" ht="15">
      <c r="A16" s="11">
        <v>11</v>
      </c>
      <c r="B16" s="55" t="s">
        <v>44</v>
      </c>
      <c r="C16" s="12">
        <v>1.167</v>
      </c>
      <c r="D16" s="12">
        <v>3883</v>
      </c>
      <c r="E16" s="12"/>
      <c r="F16" s="12"/>
      <c r="G16" s="13">
        <f t="shared" si="1"/>
        <v>3883</v>
      </c>
      <c r="H16" s="13">
        <f t="shared" si="2"/>
        <v>3327.3</v>
      </c>
      <c r="I16" s="14">
        <f t="shared" si="3"/>
        <v>1.28</v>
      </c>
      <c r="J16" s="57">
        <v>2.076</v>
      </c>
      <c r="K16" s="14">
        <f t="shared" si="4"/>
        <v>0.62</v>
      </c>
      <c r="L16" s="13">
        <f t="shared" si="5"/>
        <v>0</v>
      </c>
      <c r="M16" s="15">
        <f t="shared" si="6"/>
        <v>-0.04200000000000004</v>
      </c>
      <c r="N16" s="13">
        <f t="shared" si="7"/>
        <v>-265</v>
      </c>
      <c r="O16" s="13">
        <f t="shared" si="8"/>
        <v>0</v>
      </c>
      <c r="P16" s="13">
        <f t="shared" si="9"/>
        <v>0</v>
      </c>
      <c r="Q16" s="16">
        <f t="shared" si="10"/>
        <v>0.62</v>
      </c>
      <c r="R16" s="13">
        <v>247.6</v>
      </c>
      <c r="S16" s="13">
        <f t="shared" si="11"/>
        <v>0</v>
      </c>
      <c r="T16" s="13">
        <f t="shared" si="19"/>
        <v>0</v>
      </c>
      <c r="U16" s="13">
        <f t="shared" si="12"/>
        <v>50</v>
      </c>
      <c r="V16" s="13">
        <f t="shared" si="13"/>
        <v>123.8</v>
      </c>
      <c r="W16" s="13">
        <f t="shared" si="14"/>
        <v>123.8</v>
      </c>
      <c r="X16" s="13">
        <f t="shared" si="15"/>
        <v>0</v>
      </c>
      <c r="Y16" s="13">
        <f t="shared" si="16"/>
        <v>0</v>
      </c>
      <c r="Z16" s="13">
        <f t="shared" si="17"/>
        <v>123.8</v>
      </c>
      <c r="AA16" s="13">
        <f t="shared" si="18"/>
        <v>123.8</v>
      </c>
    </row>
    <row r="17" spans="1:27" s="3" customFormat="1" ht="15">
      <c r="A17" s="11">
        <v>12</v>
      </c>
      <c r="B17" s="56" t="s">
        <v>45</v>
      </c>
      <c r="C17" s="12">
        <v>1.02</v>
      </c>
      <c r="D17" s="12">
        <v>4721</v>
      </c>
      <c r="E17" s="12"/>
      <c r="F17" s="12"/>
      <c r="G17" s="13">
        <f t="shared" si="1"/>
        <v>4721</v>
      </c>
      <c r="H17" s="13">
        <f t="shared" si="2"/>
        <v>4628.4</v>
      </c>
      <c r="I17" s="14">
        <f t="shared" si="3"/>
        <v>1.78</v>
      </c>
      <c r="J17" s="57">
        <v>5.587</v>
      </c>
      <c r="K17" s="14">
        <f t="shared" si="4"/>
        <v>0.32</v>
      </c>
      <c r="L17" s="13">
        <f t="shared" si="5"/>
        <v>3044.08996782174</v>
      </c>
      <c r="M17" s="15">
        <f t="shared" si="6"/>
        <v>0.25799999999999995</v>
      </c>
      <c r="N17" s="13">
        <f t="shared" si="7"/>
        <v>3829.2</v>
      </c>
      <c r="O17" s="13">
        <f t="shared" si="8"/>
        <v>3829.2</v>
      </c>
      <c r="P17" s="13">
        <f t="shared" si="9"/>
        <v>2770.9</v>
      </c>
      <c r="Q17" s="16">
        <f t="shared" si="10"/>
        <v>0.51</v>
      </c>
      <c r="R17" s="13">
        <v>553.1</v>
      </c>
      <c r="S17" s="13">
        <f t="shared" si="11"/>
        <v>2770.9</v>
      </c>
      <c r="T17" s="13">
        <f t="shared" si="19"/>
        <v>500.98</v>
      </c>
      <c r="U17" s="13">
        <f t="shared" si="12"/>
        <v>0</v>
      </c>
      <c r="V17" s="13">
        <f t="shared" si="13"/>
        <v>0</v>
      </c>
      <c r="W17" s="13">
        <f t="shared" si="14"/>
        <v>0</v>
      </c>
      <c r="X17" s="13">
        <f t="shared" si="15"/>
        <v>-221.56</v>
      </c>
      <c r="Y17" s="13">
        <f t="shared" si="16"/>
        <v>-1225.439346880115</v>
      </c>
      <c r="Z17" s="13">
        <f t="shared" si="17"/>
        <v>-1225.439346880115</v>
      </c>
      <c r="AA17" s="13">
        <f t="shared" si="18"/>
        <v>1545.4606531198851</v>
      </c>
    </row>
    <row r="18" spans="1:27" s="26" customFormat="1" ht="12.75">
      <c r="A18" s="18"/>
      <c r="B18" s="19" t="s">
        <v>26</v>
      </c>
      <c r="C18" s="59">
        <f>SUM(C6:C17)</f>
        <v>61.541999999999994</v>
      </c>
      <c r="D18" s="20">
        <f>SUM(D6:D17)</f>
        <v>159150</v>
      </c>
      <c r="E18" s="20">
        <f>SUM(E6:E17)</f>
        <v>1129</v>
      </c>
      <c r="F18" s="20"/>
      <c r="G18" s="20">
        <f>SUM(G6:G17)</f>
        <v>160278.99999999997</v>
      </c>
      <c r="H18" s="21">
        <f t="shared" si="2"/>
        <v>2604.4</v>
      </c>
      <c r="I18" s="22">
        <v>1</v>
      </c>
      <c r="J18" s="22">
        <v>1</v>
      </c>
      <c r="K18" s="22">
        <v>1</v>
      </c>
      <c r="L18" s="23">
        <f>SUM(L6:L17)</f>
        <v>18556.105631309656</v>
      </c>
      <c r="M18" s="24"/>
      <c r="N18" s="20">
        <f aca="true" t="shared" si="20" ref="N18:S18">SUM(N6:N17)</f>
        <v>-46313.09999999999</v>
      </c>
      <c r="O18" s="20">
        <f t="shared" si="20"/>
        <v>25643.699999999997</v>
      </c>
      <c r="P18" s="25">
        <f t="shared" si="20"/>
        <v>18556.2</v>
      </c>
      <c r="Q18" s="25">
        <f t="shared" si="20"/>
        <v>7.739999999999999</v>
      </c>
      <c r="R18" s="25">
        <f t="shared" si="20"/>
        <v>26408.8</v>
      </c>
      <c r="S18" s="25">
        <f t="shared" si="20"/>
        <v>18556.2</v>
      </c>
      <c r="T18" s="21">
        <f>S18/R18*100</f>
        <v>70.2652146254279</v>
      </c>
      <c r="U18" s="21"/>
      <c r="V18" s="25">
        <f>SUM(V6:V17)</f>
        <v>4863.5</v>
      </c>
      <c r="W18" s="25">
        <f>SUM(W6:W17)</f>
        <v>1225.2999999999997</v>
      </c>
      <c r="X18" s="25"/>
      <c r="Y18" s="17">
        <f>SUM(Y6:Y17)</f>
        <v>-1225.439346880115</v>
      </c>
      <c r="Z18" s="17">
        <f>SUM(Z6:Z17)</f>
        <v>-0.13934688011522667</v>
      </c>
      <c r="AA18" s="17">
        <f>SUM(AA6:AA17)</f>
        <v>18556.060653119883</v>
      </c>
    </row>
    <row r="19" spans="2:27" ht="25.5">
      <c r="B19" s="1" t="s">
        <v>27</v>
      </c>
      <c r="C19" s="27"/>
      <c r="D19" s="27"/>
      <c r="E19" s="27"/>
      <c r="F19" s="27"/>
      <c r="G19" s="27"/>
      <c r="H19" s="28" t="s">
        <v>30</v>
      </c>
      <c r="I19" s="54">
        <v>18556.1</v>
      </c>
      <c r="J19" s="51" t="s">
        <v>29</v>
      </c>
      <c r="K19" s="30">
        <f>ROUND(L19*1.1,3)</f>
        <v>0.578</v>
      </c>
      <c r="L19" s="53">
        <v>0.5251025</v>
      </c>
      <c r="M19" s="73" t="s">
        <v>30</v>
      </c>
      <c r="N19" s="73"/>
      <c r="O19" s="31">
        <v>18556.1</v>
      </c>
      <c r="P19" s="29"/>
      <c r="U19" s="33"/>
      <c r="V19" s="33"/>
      <c r="W19" s="33"/>
      <c r="X19" s="52">
        <v>279.42</v>
      </c>
      <c r="Y19" s="35">
        <f>W18+Y18</f>
        <v>-0.13934688011522667</v>
      </c>
      <c r="Z19" s="29"/>
      <c r="AA19" s="29"/>
    </row>
    <row r="20" spans="3:27" s="36" customFormat="1" ht="12.75">
      <c r="C20" s="37"/>
      <c r="D20" s="37"/>
      <c r="E20" s="37"/>
      <c r="F20" s="37"/>
      <c r="G20" s="37"/>
      <c r="H20" s="38"/>
      <c r="I20" s="29"/>
      <c r="J20" s="50"/>
      <c r="K20" s="39"/>
      <c r="L20" s="31">
        <f>+L18-O19</f>
        <v>0.0056313096574740484</v>
      </c>
      <c r="M20" s="40"/>
      <c r="N20" s="41"/>
      <c r="O20" s="41"/>
      <c r="P20" s="27">
        <f>P18-O19</f>
        <v>0.10000000000218279</v>
      </c>
      <c r="Q20" s="42"/>
      <c r="U20" s="43"/>
      <c r="V20" s="43"/>
      <c r="W20" s="43"/>
      <c r="X20" s="44"/>
      <c r="Y20" s="45"/>
      <c r="AA20" s="34"/>
    </row>
    <row r="21" spans="7:8" ht="12.75">
      <c r="G21" s="37"/>
      <c r="H21" s="46"/>
    </row>
    <row r="22" ht="12.75">
      <c r="X22" s="34"/>
    </row>
  </sheetData>
  <sheetProtection formatCells="0" formatColumns="0" formatRows="0" insertColumns="0" insertRows="0" insertHyperlinks="0" deleteColumns="0" deleteRows="0" sort="0" autoFilter="0" pivotTables="0"/>
  <autoFilter ref="A5:AA21"/>
  <mergeCells count="26">
    <mergeCell ref="AA3:AA4"/>
    <mergeCell ref="X3:Y3"/>
    <mergeCell ref="Z3:Z4"/>
    <mergeCell ref="C1:Q1"/>
    <mergeCell ref="Q3:Q4"/>
    <mergeCell ref="R3:T3"/>
    <mergeCell ref="R2:AA2"/>
    <mergeCell ref="D2:Q2"/>
    <mergeCell ref="D3:D4"/>
    <mergeCell ref="U3:W3"/>
    <mergeCell ref="A2:A4"/>
    <mergeCell ref="B2:B4"/>
    <mergeCell ref="C2:C4"/>
    <mergeCell ref="M19:N19"/>
    <mergeCell ref="M3:M4"/>
    <mergeCell ref="F3:F4"/>
    <mergeCell ref="E3:E4"/>
    <mergeCell ref="G3:G4"/>
    <mergeCell ref="I3:I4"/>
    <mergeCell ref="H3:H4"/>
    <mergeCell ref="P3:P4"/>
    <mergeCell ref="J3:J4"/>
    <mergeCell ref="K3:K4"/>
    <mergeCell ref="O3:O4"/>
    <mergeCell ref="L3:L4"/>
    <mergeCell ref="N3:N4"/>
  </mergeCells>
  <printOptions/>
  <pageMargins left="0.1968503937007874" right="0.1968503937007874" top="0.1968503937007874" bottom="0.1968503937007874" header="0" footer="0"/>
  <pageSetup fitToWidth="3" horizontalDpi="300" verticalDpi="300" orientation="landscape" paperSize="9" scale="8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A22"/>
  <sheetViews>
    <sheetView view="pageBreakPreview" zoomScaleSheetLayoutView="100" workbookViewId="0" topLeftCell="A1">
      <pane xSplit="3" ySplit="7" topLeftCell="J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14" sqref="P14"/>
    </sheetView>
  </sheetViews>
  <sheetFormatPr defaultColWidth="8.8515625" defaultRowHeight="12.75"/>
  <cols>
    <col min="1" max="1" width="5.421875" style="1" hidden="1" customWidth="1"/>
    <col min="2" max="2" width="29.00390625" style="1" customWidth="1"/>
    <col min="3" max="6" width="11.7109375" style="3" customWidth="1"/>
    <col min="7" max="7" width="15.7109375" style="3" customWidth="1"/>
    <col min="8" max="8" width="10.140625" style="3" customWidth="1"/>
    <col min="9" max="9" width="10.57421875" style="3" customWidth="1"/>
    <col min="10" max="10" width="13.28125" style="3" customWidth="1"/>
    <col min="11" max="11" width="13.8515625" style="47" customWidth="1"/>
    <col min="12" max="12" width="14.00390625" style="31" customWidth="1"/>
    <col min="13" max="13" width="10.57421875" style="48" customWidth="1"/>
    <col min="14" max="14" width="12.140625" style="31" customWidth="1"/>
    <col min="15" max="15" width="12.57421875" style="31" customWidth="1"/>
    <col min="16" max="16" width="12.28125" style="49" customWidth="1"/>
    <col min="17" max="17" width="8.8515625" style="32" customWidth="1"/>
    <col min="18" max="18" width="11.28125" style="1" customWidth="1"/>
    <col min="19" max="19" width="10.8515625" style="1" customWidth="1"/>
    <col min="20" max="20" width="11.7109375" style="1" customWidth="1"/>
    <col min="21" max="21" width="10.421875" style="3" customWidth="1"/>
    <col min="22" max="22" width="10.28125" style="3" bestFit="1" customWidth="1"/>
    <col min="23" max="23" width="12.7109375" style="3" customWidth="1"/>
    <col min="24" max="24" width="11.8515625" style="4" customWidth="1"/>
    <col min="25" max="25" width="11.8515625" style="5" customWidth="1"/>
    <col min="26" max="26" width="11.00390625" style="1" customWidth="1"/>
    <col min="27" max="27" width="11.421875" style="1" customWidth="1"/>
    <col min="28" max="16384" width="8.8515625" style="1" customWidth="1"/>
  </cols>
  <sheetData>
    <row r="1" spans="2:17" ht="15.75">
      <c r="B1" s="2"/>
      <c r="C1" s="64" t="s">
        <v>46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27" ht="13.5" customHeight="1">
      <c r="A2" s="70" t="s">
        <v>0</v>
      </c>
      <c r="B2" s="71" t="s">
        <v>1</v>
      </c>
      <c r="C2" s="72" t="s">
        <v>2</v>
      </c>
      <c r="D2" s="66" t="s">
        <v>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2" t="s">
        <v>4</v>
      </c>
      <c r="S2" s="62"/>
      <c r="T2" s="62"/>
      <c r="U2" s="62"/>
      <c r="V2" s="62"/>
      <c r="W2" s="62"/>
      <c r="X2" s="62"/>
      <c r="Y2" s="62"/>
      <c r="Z2" s="62"/>
      <c r="AA2" s="62"/>
    </row>
    <row r="3" spans="1:27" ht="15.75" customHeight="1">
      <c r="A3" s="70"/>
      <c r="B3" s="71"/>
      <c r="C3" s="72"/>
      <c r="D3" s="69" t="s">
        <v>6</v>
      </c>
      <c r="E3" s="69" t="s">
        <v>31</v>
      </c>
      <c r="F3" s="69" t="s">
        <v>32</v>
      </c>
      <c r="G3" s="69" t="s">
        <v>33</v>
      </c>
      <c r="H3" s="69" t="s">
        <v>7</v>
      </c>
      <c r="I3" s="69" t="s">
        <v>8</v>
      </c>
      <c r="J3" s="69" t="s">
        <v>9</v>
      </c>
      <c r="K3" s="75" t="s">
        <v>10</v>
      </c>
      <c r="L3" s="76" t="s">
        <v>11</v>
      </c>
      <c r="M3" s="74" t="s">
        <v>12</v>
      </c>
      <c r="N3" s="76" t="s">
        <v>13</v>
      </c>
      <c r="O3" s="76" t="s">
        <v>14</v>
      </c>
      <c r="P3" s="69" t="s">
        <v>15</v>
      </c>
      <c r="Q3" s="65" t="s">
        <v>16</v>
      </c>
      <c r="R3" s="62" t="s">
        <v>17</v>
      </c>
      <c r="S3" s="62"/>
      <c r="T3" s="62"/>
      <c r="U3" s="62" t="s">
        <v>18</v>
      </c>
      <c r="V3" s="62"/>
      <c r="W3" s="62"/>
      <c r="X3" s="63" t="s">
        <v>19</v>
      </c>
      <c r="Y3" s="63"/>
      <c r="Z3" s="62" t="s">
        <v>20</v>
      </c>
      <c r="AA3" s="62" t="s">
        <v>5</v>
      </c>
    </row>
    <row r="4" spans="1:27" ht="54.75" customHeight="1">
      <c r="A4" s="70"/>
      <c r="B4" s="71"/>
      <c r="C4" s="72"/>
      <c r="D4" s="69"/>
      <c r="E4" s="69"/>
      <c r="F4" s="69"/>
      <c r="G4" s="69"/>
      <c r="H4" s="69"/>
      <c r="I4" s="69"/>
      <c r="J4" s="69"/>
      <c r="K4" s="75"/>
      <c r="L4" s="76"/>
      <c r="M4" s="74"/>
      <c r="N4" s="76"/>
      <c r="O4" s="76"/>
      <c r="P4" s="69"/>
      <c r="Q4" s="65"/>
      <c r="R4" s="6">
        <v>2011</v>
      </c>
      <c r="S4" s="6">
        <v>2012</v>
      </c>
      <c r="T4" s="6" t="s">
        <v>21</v>
      </c>
      <c r="U4" s="6" t="s">
        <v>22</v>
      </c>
      <c r="V4" s="6" t="s">
        <v>28</v>
      </c>
      <c r="W4" s="6" t="s">
        <v>23</v>
      </c>
      <c r="X4" s="8" t="s">
        <v>24</v>
      </c>
      <c r="Y4" s="7" t="s">
        <v>25</v>
      </c>
      <c r="Z4" s="62"/>
      <c r="AA4" s="62"/>
    </row>
    <row r="5" spans="1:27" s="10" customFormat="1" ht="12.75">
      <c r="A5" s="9">
        <v>1</v>
      </c>
      <c r="B5" s="9">
        <v>1</v>
      </c>
      <c r="C5" s="9">
        <f aca="true" t="shared" si="0" ref="C5:AA5">B5+1</f>
        <v>2</v>
      </c>
      <c r="D5" s="9">
        <f t="shared" si="0"/>
        <v>3</v>
      </c>
      <c r="E5" s="9">
        <f t="shared" si="0"/>
        <v>4</v>
      </c>
      <c r="F5" s="9">
        <f t="shared" si="0"/>
        <v>5</v>
      </c>
      <c r="G5" s="9">
        <f t="shared" si="0"/>
        <v>6</v>
      </c>
      <c r="H5" s="9">
        <f t="shared" si="0"/>
        <v>7</v>
      </c>
      <c r="I5" s="9">
        <f t="shared" si="0"/>
        <v>8</v>
      </c>
      <c r="J5" s="9">
        <f t="shared" si="0"/>
        <v>9</v>
      </c>
      <c r="K5" s="9">
        <f t="shared" si="0"/>
        <v>10</v>
      </c>
      <c r="L5" s="9">
        <f t="shared" si="0"/>
        <v>11</v>
      </c>
      <c r="M5" s="9">
        <f t="shared" si="0"/>
        <v>12</v>
      </c>
      <c r="N5" s="9">
        <f t="shared" si="0"/>
        <v>13</v>
      </c>
      <c r="O5" s="9">
        <f t="shared" si="0"/>
        <v>14</v>
      </c>
      <c r="P5" s="9">
        <f t="shared" si="0"/>
        <v>15</v>
      </c>
      <c r="Q5" s="9">
        <f t="shared" si="0"/>
        <v>16</v>
      </c>
      <c r="R5" s="9">
        <f t="shared" si="0"/>
        <v>17</v>
      </c>
      <c r="S5" s="9">
        <f t="shared" si="0"/>
        <v>18</v>
      </c>
      <c r="T5" s="9">
        <f t="shared" si="0"/>
        <v>19</v>
      </c>
      <c r="U5" s="9">
        <f t="shared" si="0"/>
        <v>20</v>
      </c>
      <c r="V5" s="9">
        <f t="shared" si="0"/>
        <v>21</v>
      </c>
      <c r="W5" s="9">
        <f t="shared" si="0"/>
        <v>22</v>
      </c>
      <c r="X5" s="9">
        <f t="shared" si="0"/>
        <v>23</v>
      </c>
      <c r="Y5" s="9">
        <f t="shared" si="0"/>
        <v>24</v>
      </c>
      <c r="Z5" s="9">
        <f t="shared" si="0"/>
        <v>25</v>
      </c>
      <c r="AA5" s="9">
        <f t="shared" si="0"/>
        <v>26</v>
      </c>
    </row>
    <row r="6" spans="1:27" s="3" customFormat="1" ht="15">
      <c r="A6" s="11">
        <v>1</v>
      </c>
      <c r="B6" s="55" t="s">
        <v>34</v>
      </c>
      <c r="C6" s="12">
        <v>35.711</v>
      </c>
      <c r="D6" s="12">
        <v>104255</v>
      </c>
      <c r="E6" s="12"/>
      <c r="F6" s="12"/>
      <c r="G6" s="13">
        <f aca="true" t="shared" si="1" ref="G6:G17">+D6+E6-F6</f>
        <v>104255</v>
      </c>
      <c r="H6" s="13">
        <f aca="true" t="shared" si="2" ref="H6:H18">ROUND(G6/C6,1)</f>
        <v>2919.4</v>
      </c>
      <c r="I6" s="14">
        <f aca="true" t="shared" si="3" ref="I6:I17">ROUND(H6/$H$18,2)</f>
        <v>1.12</v>
      </c>
      <c r="J6" s="57">
        <v>0.596</v>
      </c>
      <c r="K6" s="14">
        <f aca="true" t="shared" si="4" ref="K6:K17">ROUND(I6/J6,2)</f>
        <v>1.88</v>
      </c>
      <c r="L6" s="13">
        <f aca="true" t="shared" si="5" ref="L6:L17">IF($L$19-K6&gt;0,($H$18*C6*($L$19-K6)*J6),0)</f>
        <v>0</v>
      </c>
      <c r="M6" s="15">
        <f aca="true" t="shared" si="6" ref="M6:M17">$K$19-K6</f>
        <v>-1.274</v>
      </c>
      <c r="N6" s="13">
        <f aca="true" t="shared" si="7" ref="N6:N17">ROUND($H$18*M6*C6*J6,1)</f>
        <v>-70619.6</v>
      </c>
      <c r="O6" s="13">
        <f aca="true" t="shared" si="8" ref="O6:O17">IF(N6&gt;0,N6,0)</f>
        <v>0</v>
      </c>
      <c r="P6" s="13">
        <f aca="true" t="shared" si="9" ref="P6:P17">ROUND($O$19*(O6/$O$18),1)</f>
        <v>0</v>
      </c>
      <c r="Q6" s="16">
        <f aca="true" t="shared" si="10" ref="Q6:Q17">ROUND(K6+P6/(C6*$H$18*J6),2)</f>
        <v>1.88</v>
      </c>
      <c r="R6" s="13">
        <v>1311</v>
      </c>
      <c r="S6" s="13">
        <f aca="true" t="shared" si="11" ref="S6:S17">P6</f>
        <v>0</v>
      </c>
      <c r="T6" s="13">
        <f>S6/R6*100</f>
        <v>0</v>
      </c>
      <c r="U6" s="13">
        <f aca="true" t="shared" si="12" ref="U6:U17">IF(T6&lt;50,50,0)</f>
        <v>50</v>
      </c>
      <c r="V6" s="13">
        <f aca="true" t="shared" si="13" ref="V6:V17">ROUND(R6*U6/100,1)</f>
        <v>655.5</v>
      </c>
      <c r="W6" s="13">
        <f aca="true" t="shared" si="14" ref="W6:W17">IF(V6-S6&lt;0,0,V6-S6)</f>
        <v>655.5</v>
      </c>
      <c r="X6" s="13">
        <f aca="true" t="shared" si="15" ref="X6:X17">IF($X$19-T6&gt;0,0,$X$19-T6)</f>
        <v>0</v>
      </c>
      <c r="Y6" s="13">
        <f aca="true" t="shared" si="16" ref="Y6:Y17">IF(T6=0,0,X6*S6/T6)</f>
        <v>0</v>
      </c>
      <c r="Z6" s="13">
        <f aca="true" t="shared" si="17" ref="Z6:Z17">+W6+Y6</f>
        <v>655.5</v>
      </c>
      <c r="AA6" s="13">
        <f aca="true" t="shared" si="18" ref="AA6:AA17">+Z6+S6</f>
        <v>655.5</v>
      </c>
    </row>
    <row r="7" spans="1:27" s="3" customFormat="1" ht="15">
      <c r="A7" s="11">
        <v>2</v>
      </c>
      <c r="B7" s="55" t="s">
        <v>35</v>
      </c>
      <c r="C7" s="12">
        <v>6.385</v>
      </c>
      <c r="D7" s="12">
        <v>10653</v>
      </c>
      <c r="E7" s="12">
        <v>210.5</v>
      </c>
      <c r="F7" s="12"/>
      <c r="G7" s="13">
        <f t="shared" si="1"/>
        <v>10863.5</v>
      </c>
      <c r="H7" s="13">
        <f t="shared" si="2"/>
        <v>1701.4</v>
      </c>
      <c r="I7" s="14">
        <f t="shared" si="3"/>
        <v>0.65</v>
      </c>
      <c r="J7" s="57">
        <v>1.466</v>
      </c>
      <c r="K7" s="14">
        <f t="shared" si="4"/>
        <v>0.44</v>
      </c>
      <c r="L7" s="13">
        <f t="shared" si="5"/>
        <v>2705.6641573201873</v>
      </c>
      <c r="M7" s="15">
        <f t="shared" si="6"/>
        <v>0.16599999999999998</v>
      </c>
      <c r="N7" s="13">
        <f t="shared" si="7"/>
        <v>4046.8</v>
      </c>
      <c r="O7" s="13">
        <f t="shared" si="8"/>
        <v>4046.8</v>
      </c>
      <c r="P7" s="13">
        <f t="shared" si="9"/>
        <v>2889.8</v>
      </c>
      <c r="Q7" s="16">
        <f t="shared" si="10"/>
        <v>0.56</v>
      </c>
      <c r="R7" s="13">
        <v>6051.3</v>
      </c>
      <c r="S7" s="13">
        <f t="shared" si="11"/>
        <v>2889.8</v>
      </c>
      <c r="T7" s="13">
        <f aca="true" t="shared" si="19" ref="T7:T17">ROUND(S7/R7*100,2)</f>
        <v>47.76</v>
      </c>
      <c r="U7" s="13">
        <f t="shared" si="12"/>
        <v>50</v>
      </c>
      <c r="V7" s="13">
        <f t="shared" si="13"/>
        <v>3025.7</v>
      </c>
      <c r="W7" s="13">
        <f t="shared" si="14"/>
        <v>135.89999999999964</v>
      </c>
      <c r="X7" s="13">
        <f t="shared" si="15"/>
        <v>0</v>
      </c>
      <c r="Y7" s="13">
        <f t="shared" si="16"/>
        <v>0</v>
      </c>
      <c r="Z7" s="13">
        <f t="shared" si="17"/>
        <v>135.89999999999964</v>
      </c>
      <c r="AA7" s="13">
        <f t="shared" si="18"/>
        <v>3025.7</v>
      </c>
    </row>
    <row r="8" spans="1:27" s="3" customFormat="1" ht="15">
      <c r="A8" s="11">
        <v>3</v>
      </c>
      <c r="B8" s="55" t="s">
        <v>36</v>
      </c>
      <c r="C8" s="12">
        <v>3.986</v>
      </c>
      <c r="D8" s="12">
        <v>7982</v>
      </c>
      <c r="E8" s="12"/>
      <c r="F8" s="12"/>
      <c r="G8" s="13">
        <f t="shared" si="1"/>
        <v>7982</v>
      </c>
      <c r="H8" s="13">
        <f t="shared" si="2"/>
        <v>2002.5</v>
      </c>
      <c r="I8" s="14">
        <f t="shared" si="3"/>
        <v>0.77</v>
      </c>
      <c r="J8" s="57">
        <v>1.716</v>
      </c>
      <c r="K8" s="14">
        <f t="shared" si="4"/>
        <v>0.45</v>
      </c>
      <c r="L8" s="13">
        <f t="shared" si="5"/>
        <v>1798.9822376922739</v>
      </c>
      <c r="M8" s="15">
        <f t="shared" si="6"/>
        <v>0.15599999999999997</v>
      </c>
      <c r="N8" s="13">
        <f t="shared" si="7"/>
        <v>2779</v>
      </c>
      <c r="O8" s="13">
        <f t="shared" si="8"/>
        <v>2779</v>
      </c>
      <c r="P8" s="13">
        <f t="shared" si="9"/>
        <v>1984.5</v>
      </c>
      <c r="Q8" s="16">
        <f t="shared" si="10"/>
        <v>0.56</v>
      </c>
      <c r="R8" s="13">
        <v>5469</v>
      </c>
      <c r="S8" s="13">
        <f t="shared" si="11"/>
        <v>1984.5</v>
      </c>
      <c r="T8" s="13">
        <f t="shared" si="19"/>
        <v>36.29</v>
      </c>
      <c r="U8" s="13">
        <f t="shared" si="12"/>
        <v>50</v>
      </c>
      <c r="V8" s="13">
        <f t="shared" si="13"/>
        <v>2734.5</v>
      </c>
      <c r="W8" s="13">
        <f t="shared" si="14"/>
        <v>750</v>
      </c>
      <c r="X8" s="13">
        <f t="shared" si="15"/>
        <v>0</v>
      </c>
      <c r="Y8" s="13">
        <f t="shared" si="16"/>
        <v>0</v>
      </c>
      <c r="Z8" s="13">
        <f t="shared" si="17"/>
        <v>750</v>
      </c>
      <c r="AA8" s="13">
        <f t="shared" si="18"/>
        <v>2734.5</v>
      </c>
    </row>
    <row r="9" spans="1:27" s="3" customFormat="1" ht="15">
      <c r="A9" s="11">
        <v>4</v>
      </c>
      <c r="B9" s="55" t="s">
        <v>37</v>
      </c>
      <c r="C9" s="12">
        <v>1.428</v>
      </c>
      <c r="D9" s="12">
        <v>2325</v>
      </c>
      <c r="E9" s="12">
        <v>477.3</v>
      </c>
      <c r="F9" s="12"/>
      <c r="G9" s="13">
        <f t="shared" si="1"/>
        <v>2802.3</v>
      </c>
      <c r="H9" s="13">
        <f t="shared" si="2"/>
        <v>1962.4</v>
      </c>
      <c r="I9" s="14">
        <f t="shared" si="3"/>
        <v>0.75</v>
      </c>
      <c r="J9" s="57">
        <v>2.329</v>
      </c>
      <c r="K9" s="14">
        <f t="shared" si="4"/>
        <v>0.32</v>
      </c>
      <c r="L9" s="13">
        <f t="shared" si="5"/>
        <v>2000.748707485799</v>
      </c>
      <c r="M9" s="15">
        <f t="shared" si="6"/>
        <v>0.286</v>
      </c>
      <c r="N9" s="13">
        <f t="shared" si="7"/>
        <v>2477.3</v>
      </c>
      <c r="O9" s="13">
        <f t="shared" si="8"/>
        <v>2477.3</v>
      </c>
      <c r="P9" s="13">
        <f t="shared" si="9"/>
        <v>1769</v>
      </c>
      <c r="Q9" s="16">
        <f t="shared" si="10"/>
        <v>0.52</v>
      </c>
      <c r="R9" s="13">
        <v>1953.7</v>
      </c>
      <c r="S9" s="13">
        <f t="shared" si="11"/>
        <v>1769</v>
      </c>
      <c r="T9" s="13">
        <f t="shared" si="19"/>
        <v>90.55</v>
      </c>
      <c r="U9" s="13">
        <f t="shared" si="12"/>
        <v>0</v>
      </c>
      <c r="V9" s="13">
        <f t="shared" si="13"/>
        <v>0</v>
      </c>
      <c r="W9" s="13">
        <f t="shared" si="14"/>
        <v>0</v>
      </c>
      <c r="X9" s="13">
        <f t="shared" si="15"/>
        <v>0</v>
      </c>
      <c r="Y9" s="13">
        <f t="shared" si="16"/>
        <v>0</v>
      </c>
      <c r="Z9" s="13">
        <f t="shared" si="17"/>
        <v>0</v>
      </c>
      <c r="AA9" s="13">
        <f t="shared" si="18"/>
        <v>1769</v>
      </c>
    </row>
    <row r="10" spans="1:27" s="3" customFormat="1" ht="15">
      <c r="A10" s="11">
        <v>5</v>
      </c>
      <c r="B10" s="55" t="s">
        <v>38</v>
      </c>
      <c r="C10" s="12">
        <v>3.577</v>
      </c>
      <c r="D10" s="12">
        <v>6752</v>
      </c>
      <c r="E10" s="12"/>
      <c r="F10" s="12"/>
      <c r="G10" s="13">
        <f t="shared" si="1"/>
        <v>6752</v>
      </c>
      <c r="H10" s="13">
        <f t="shared" si="2"/>
        <v>1887.6</v>
      </c>
      <c r="I10" s="14">
        <f t="shared" si="3"/>
        <v>0.72</v>
      </c>
      <c r="J10" s="57">
        <v>1.699</v>
      </c>
      <c r="K10" s="14">
        <f t="shared" si="4"/>
        <v>0.42</v>
      </c>
      <c r="L10" s="13">
        <f t="shared" si="5"/>
        <v>2073.2302560809208</v>
      </c>
      <c r="M10" s="15">
        <f t="shared" si="6"/>
        <v>0.186</v>
      </c>
      <c r="N10" s="13">
        <f t="shared" si="7"/>
        <v>2944</v>
      </c>
      <c r="O10" s="13">
        <f t="shared" si="8"/>
        <v>2944</v>
      </c>
      <c r="P10" s="13">
        <f t="shared" si="9"/>
        <v>2102.3</v>
      </c>
      <c r="Q10" s="16">
        <f t="shared" si="10"/>
        <v>0.55</v>
      </c>
      <c r="R10" s="13">
        <v>3193.2</v>
      </c>
      <c r="S10" s="13">
        <f t="shared" si="11"/>
        <v>2102.3</v>
      </c>
      <c r="T10" s="13">
        <f t="shared" si="19"/>
        <v>65.84</v>
      </c>
      <c r="U10" s="13">
        <f t="shared" si="12"/>
        <v>0</v>
      </c>
      <c r="V10" s="13">
        <f t="shared" si="13"/>
        <v>0</v>
      </c>
      <c r="W10" s="13">
        <f t="shared" si="14"/>
        <v>0</v>
      </c>
      <c r="X10" s="13">
        <f t="shared" si="15"/>
        <v>0</v>
      </c>
      <c r="Y10" s="13">
        <f t="shared" si="16"/>
        <v>0</v>
      </c>
      <c r="Z10" s="13">
        <f t="shared" si="17"/>
        <v>0</v>
      </c>
      <c r="AA10" s="13">
        <f t="shared" si="18"/>
        <v>2102.3</v>
      </c>
    </row>
    <row r="11" spans="1:27" s="3" customFormat="1" ht="15">
      <c r="A11" s="11">
        <v>6</v>
      </c>
      <c r="B11" s="55" t="s">
        <v>39</v>
      </c>
      <c r="C11" s="12">
        <v>1.831</v>
      </c>
      <c r="D11" s="12">
        <v>3815</v>
      </c>
      <c r="E11" s="12"/>
      <c r="F11" s="12"/>
      <c r="G11" s="13">
        <f t="shared" si="1"/>
        <v>3815</v>
      </c>
      <c r="H11" s="13">
        <f t="shared" si="2"/>
        <v>2083.6</v>
      </c>
      <c r="I11" s="14">
        <f t="shared" si="3"/>
        <v>0.8</v>
      </c>
      <c r="J11" s="57">
        <v>1.878</v>
      </c>
      <c r="K11" s="14">
        <f t="shared" si="4"/>
        <v>0.43</v>
      </c>
      <c r="L11" s="13">
        <f t="shared" si="5"/>
        <v>1083.5017299385065</v>
      </c>
      <c r="M11" s="15">
        <f t="shared" si="6"/>
        <v>0.176</v>
      </c>
      <c r="N11" s="13">
        <f t="shared" si="7"/>
        <v>1576.2</v>
      </c>
      <c r="O11" s="13">
        <f t="shared" si="8"/>
        <v>1576.2</v>
      </c>
      <c r="P11" s="13">
        <f t="shared" si="9"/>
        <v>1125.6</v>
      </c>
      <c r="Q11" s="16">
        <f t="shared" si="10"/>
        <v>0.56</v>
      </c>
      <c r="R11" s="13">
        <v>1116.2</v>
      </c>
      <c r="S11" s="13">
        <f t="shared" si="11"/>
        <v>1125.6</v>
      </c>
      <c r="T11" s="13">
        <f t="shared" si="19"/>
        <v>100.84</v>
      </c>
      <c r="U11" s="13">
        <f t="shared" si="12"/>
        <v>0</v>
      </c>
      <c r="V11" s="13">
        <f t="shared" si="13"/>
        <v>0</v>
      </c>
      <c r="W11" s="13">
        <f t="shared" si="14"/>
        <v>0</v>
      </c>
      <c r="X11" s="13">
        <f t="shared" si="15"/>
        <v>0</v>
      </c>
      <c r="Y11" s="13">
        <f t="shared" si="16"/>
        <v>0</v>
      </c>
      <c r="Z11" s="13">
        <f t="shared" si="17"/>
        <v>0</v>
      </c>
      <c r="AA11" s="13">
        <f t="shared" si="18"/>
        <v>1125.6</v>
      </c>
    </row>
    <row r="12" spans="1:27" s="3" customFormat="1" ht="15">
      <c r="A12" s="11">
        <v>7</v>
      </c>
      <c r="B12" s="55" t="s">
        <v>40</v>
      </c>
      <c r="C12" s="12">
        <v>1.446</v>
      </c>
      <c r="D12" s="12">
        <v>4127</v>
      </c>
      <c r="E12" s="12">
        <v>97.8</v>
      </c>
      <c r="F12" s="12"/>
      <c r="G12" s="13">
        <f t="shared" si="1"/>
        <v>4224.8</v>
      </c>
      <c r="H12" s="13">
        <f t="shared" si="2"/>
        <v>2921.7</v>
      </c>
      <c r="I12" s="14">
        <f t="shared" si="3"/>
        <v>1.12</v>
      </c>
      <c r="J12" s="57">
        <v>2.73</v>
      </c>
      <c r="K12" s="14">
        <f t="shared" si="4"/>
        <v>0.41</v>
      </c>
      <c r="L12" s="13">
        <f t="shared" si="5"/>
        <v>1449.4961964109539</v>
      </c>
      <c r="M12" s="15">
        <f t="shared" si="6"/>
        <v>0.196</v>
      </c>
      <c r="N12" s="13">
        <f t="shared" si="7"/>
        <v>2015.1</v>
      </c>
      <c r="O12" s="13">
        <f t="shared" si="8"/>
        <v>2015.1</v>
      </c>
      <c r="P12" s="13">
        <f t="shared" si="9"/>
        <v>1439</v>
      </c>
      <c r="Q12" s="16">
        <f t="shared" si="10"/>
        <v>0.55</v>
      </c>
      <c r="R12" s="13">
        <v>1000.7</v>
      </c>
      <c r="S12" s="13">
        <f t="shared" si="11"/>
        <v>1439</v>
      </c>
      <c r="T12" s="13">
        <f t="shared" si="19"/>
        <v>143.8</v>
      </c>
      <c r="U12" s="13">
        <f t="shared" si="12"/>
        <v>0</v>
      </c>
      <c r="V12" s="13">
        <f t="shared" si="13"/>
        <v>0</v>
      </c>
      <c r="W12" s="13">
        <f t="shared" si="14"/>
        <v>0</v>
      </c>
      <c r="X12" s="13">
        <f t="shared" si="15"/>
        <v>0</v>
      </c>
      <c r="Y12" s="13">
        <f t="shared" si="16"/>
        <v>0</v>
      </c>
      <c r="Z12" s="13">
        <f t="shared" si="17"/>
        <v>0</v>
      </c>
      <c r="AA12" s="13">
        <f t="shared" si="18"/>
        <v>1439</v>
      </c>
    </row>
    <row r="13" spans="1:27" s="3" customFormat="1" ht="15">
      <c r="A13" s="11">
        <v>8</v>
      </c>
      <c r="B13" s="55" t="s">
        <v>41</v>
      </c>
      <c r="C13" s="12">
        <v>1.636</v>
      </c>
      <c r="D13" s="12">
        <v>3397</v>
      </c>
      <c r="E13" s="12">
        <v>221.1</v>
      </c>
      <c r="F13" s="12"/>
      <c r="G13" s="13">
        <f t="shared" si="1"/>
        <v>3618.1</v>
      </c>
      <c r="H13" s="13">
        <f t="shared" si="2"/>
        <v>2211.6</v>
      </c>
      <c r="I13" s="14">
        <f t="shared" si="3"/>
        <v>0.85</v>
      </c>
      <c r="J13" s="57">
        <v>2.208</v>
      </c>
      <c r="K13" s="14">
        <f t="shared" si="4"/>
        <v>0.38</v>
      </c>
      <c r="L13" s="13">
        <f t="shared" si="5"/>
        <v>1608.616946765353</v>
      </c>
      <c r="M13" s="15">
        <f t="shared" si="6"/>
        <v>0.22599999999999998</v>
      </c>
      <c r="N13" s="13">
        <f t="shared" si="7"/>
        <v>2126.2</v>
      </c>
      <c r="O13" s="13">
        <f t="shared" si="8"/>
        <v>2126.2</v>
      </c>
      <c r="P13" s="13">
        <f t="shared" si="9"/>
        <v>1518.3</v>
      </c>
      <c r="Q13" s="16">
        <f t="shared" si="10"/>
        <v>0.54</v>
      </c>
      <c r="R13" s="13">
        <v>985.3</v>
      </c>
      <c r="S13" s="13">
        <f t="shared" si="11"/>
        <v>1518.3</v>
      </c>
      <c r="T13" s="13">
        <f t="shared" si="19"/>
        <v>154.1</v>
      </c>
      <c r="U13" s="13">
        <f t="shared" si="12"/>
        <v>0</v>
      </c>
      <c r="V13" s="13">
        <f t="shared" si="13"/>
        <v>0</v>
      </c>
      <c r="W13" s="13">
        <f t="shared" si="14"/>
        <v>0</v>
      </c>
      <c r="X13" s="13">
        <f t="shared" si="15"/>
        <v>0</v>
      </c>
      <c r="Y13" s="13">
        <f t="shared" si="16"/>
        <v>0</v>
      </c>
      <c r="Z13" s="13">
        <f t="shared" si="17"/>
        <v>0</v>
      </c>
      <c r="AA13" s="13">
        <f t="shared" si="18"/>
        <v>1518.3</v>
      </c>
    </row>
    <row r="14" spans="1:27" s="3" customFormat="1" ht="15">
      <c r="A14" s="11">
        <v>9</v>
      </c>
      <c r="B14" s="55" t="s">
        <v>42</v>
      </c>
      <c r="C14" s="12">
        <v>1.964</v>
      </c>
      <c r="D14" s="12">
        <v>3993</v>
      </c>
      <c r="E14" s="12">
        <v>122.3</v>
      </c>
      <c r="F14" s="12"/>
      <c r="G14" s="13">
        <f t="shared" si="1"/>
        <v>4115.3</v>
      </c>
      <c r="H14" s="13">
        <f t="shared" si="2"/>
        <v>2095.4</v>
      </c>
      <c r="I14" s="14">
        <f t="shared" si="3"/>
        <v>0.8</v>
      </c>
      <c r="J14" s="57">
        <v>2.461</v>
      </c>
      <c r="K14" s="14">
        <f t="shared" si="4"/>
        <v>0.33</v>
      </c>
      <c r="L14" s="13">
        <f t="shared" si="5"/>
        <v>2781.8077773002155</v>
      </c>
      <c r="M14" s="15">
        <f t="shared" si="6"/>
        <v>0.27599999999999997</v>
      </c>
      <c r="N14" s="13">
        <f t="shared" si="7"/>
        <v>3474.3</v>
      </c>
      <c r="O14" s="13">
        <f t="shared" si="8"/>
        <v>3474.3</v>
      </c>
      <c r="P14" s="13">
        <f t="shared" si="9"/>
        <v>2481</v>
      </c>
      <c r="Q14" s="16">
        <f t="shared" si="10"/>
        <v>0.53</v>
      </c>
      <c r="R14" s="13">
        <v>2874</v>
      </c>
      <c r="S14" s="13">
        <f t="shared" si="11"/>
        <v>2481</v>
      </c>
      <c r="T14" s="13">
        <f t="shared" si="19"/>
        <v>86.33</v>
      </c>
      <c r="U14" s="13">
        <f t="shared" si="12"/>
        <v>0</v>
      </c>
      <c r="V14" s="13">
        <f t="shared" si="13"/>
        <v>0</v>
      </c>
      <c r="W14" s="13">
        <f t="shared" si="14"/>
        <v>0</v>
      </c>
      <c r="X14" s="13">
        <f t="shared" si="15"/>
        <v>0</v>
      </c>
      <c r="Y14" s="13">
        <f t="shared" si="16"/>
        <v>0</v>
      </c>
      <c r="Z14" s="13">
        <f t="shared" si="17"/>
        <v>0</v>
      </c>
      <c r="AA14" s="13">
        <f t="shared" si="18"/>
        <v>2481</v>
      </c>
    </row>
    <row r="15" spans="1:27" s="3" customFormat="1" ht="15">
      <c r="A15" s="11">
        <v>10</v>
      </c>
      <c r="B15" s="55" t="s">
        <v>43</v>
      </c>
      <c r="C15" s="12">
        <v>1.391</v>
      </c>
      <c r="D15" s="12">
        <v>3247</v>
      </c>
      <c r="E15" s="12"/>
      <c r="F15" s="12"/>
      <c r="G15" s="13">
        <f t="shared" si="1"/>
        <v>3247</v>
      </c>
      <c r="H15" s="13">
        <f t="shared" si="2"/>
        <v>2334.3</v>
      </c>
      <c r="I15" s="14">
        <f t="shared" si="3"/>
        <v>0.9</v>
      </c>
      <c r="J15" s="57">
        <v>2.31</v>
      </c>
      <c r="K15" s="14">
        <f t="shared" si="4"/>
        <v>0.39</v>
      </c>
      <c r="L15" s="13">
        <f t="shared" si="5"/>
        <v>1347.215479973563</v>
      </c>
      <c r="M15" s="15">
        <f t="shared" si="6"/>
        <v>0.21599999999999997</v>
      </c>
      <c r="N15" s="13">
        <f t="shared" si="7"/>
        <v>1807.6</v>
      </c>
      <c r="O15" s="13">
        <f t="shared" si="8"/>
        <v>1807.6</v>
      </c>
      <c r="P15" s="13">
        <f t="shared" si="9"/>
        <v>1290.8</v>
      </c>
      <c r="Q15" s="16">
        <f t="shared" si="10"/>
        <v>0.54</v>
      </c>
      <c r="R15" s="13">
        <v>1653.7</v>
      </c>
      <c r="S15" s="13">
        <f t="shared" si="11"/>
        <v>1290.8</v>
      </c>
      <c r="T15" s="13">
        <f t="shared" si="19"/>
        <v>78.06</v>
      </c>
      <c r="U15" s="13">
        <f t="shared" si="12"/>
        <v>0</v>
      </c>
      <c r="V15" s="13">
        <f t="shared" si="13"/>
        <v>0</v>
      </c>
      <c r="W15" s="13">
        <f t="shared" si="14"/>
        <v>0</v>
      </c>
      <c r="X15" s="13">
        <f t="shared" si="15"/>
        <v>0</v>
      </c>
      <c r="Y15" s="13">
        <f t="shared" si="16"/>
        <v>0</v>
      </c>
      <c r="Z15" s="13">
        <f t="shared" si="17"/>
        <v>0</v>
      </c>
      <c r="AA15" s="13">
        <f t="shared" si="18"/>
        <v>1290.8</v>
      </c>
    </row>
    <row r="16" spans="1:27" s="3" customFormat="1" ht="15">
      <c r="A16" s="11">
        <v>11</v>
      </c>
      <c r="B16" s="55" t="s">
        <v>44</v>
      </c>
      <c r="C16" s="12">
        <v>1.167</v>
      </c>
      <c r="D16" s="12">
        <v>3883</v>
      </c>
      <c r="E16" s="12"/>
      <c r="F16" s="12"/>
      <c r="G16" s="13">
        <f t="shared" si="1"/>
        <v>3883</v>
      </c>
      <c r="H16" s="13">
        <f t="shared" si="2"/>
        <v>3327.3</v>
      </c>
      <c r="I16" s="14">
        <f t="shared" si="3"/>
        <v>1.28</v>
      </c>
      <c r="J16" s="57">
        <v>2.793</v>
      </c>
      <c r="K16" s="14">
        <f t="shared" si="4"/>
        <v>0.46</v>
      </c>
      <c r="L16" s="13">
        <f t="shared" si="5"/>
        <v>772.3743977927274</v>
      </c>
      <c r="M16" s="15">
        <f t="shared" si="6"/>
        <v>0.14599999999999996</v>
      </c>
      <c r="N16" s="13">
        <f t="shared" si="7"/>
        <v>1239.4</v>
      </c>
      <c r="O16" s="13">
        <f t="shared" si="8"/>
        <v>1239.4</v>
      </c>
      <c r="P16" s="13">
        <f t="shared" si="9"/>
        <v>885.1</v>
      </c>
      <c r="Q16" s="16">
        <f t="shared" si="10"/>
        <v>0.56</v>
      </c>
      <c r="R16" s="13">
        <v>247.6</v>
      </c>
      <c r="S16" s="13">
        <f t="shared" si="11"/>
        <v>885.1</v>
      </c>
      <c r="T16" s="13">
        <f t="shared" si="19"/>
        <v>357.47</v>
      </c>
      <c r="U16" s="13">
        <f t="shared" si="12"/>
        <v>0</v>
      </c>
      <c r="V16" s="13">
        <f t="shared" si="13"/>
        <v>0</v>
      </c>
      <c r="W16" s="13">
        <f t="shared" si="14"/>
        <v>0</v>
      </c>
      <c r="X16" s="13">
        <f t="shared" si="15"/>
        <v>-136.26000000000002</v>
      </c>
      <c r="Y16" s="13">
        <f t="shared" si="16"/>
        <v>-337.381391445436</v>
      </c>
      <c r="Z16" s="13">
        <f t="shared" si="17"/>
        <v>-337.381391445436</v>
      </c>
      <c r="AA16" s="13">
        <f t="shared" si="18"/>
        <v>547.7186085545641</v>
      </c>
    </row>
    <row r="17" spans="1:27" s="3" customFormat="1" ht="15">
      <c r="A17" s="11">
        <v>12</v>
      </c>
      <c r="B17" s="56" t="s">
        <v>45</v>
      </c>
      <c r="C17" s="12">
        <v>1.02</v>
      </c>
      <c r="D17" s="12">
        <v>4721</v>
      </c>
      <c r="E17" s="12"/>
      <c r="F17" s="12"/>
      <c r="G17" s="13">
        <f t="shared" si="1"/>
        <v>4721</v>
      </c>
      <c r="H17" s="13">
        <f t="shared" si="2"/>
        <v>4628.4</v>
      </c>
      <c r="I17" s="14">
        <f t="shared" si="3"/>
        <v>1.78</v>
      </c>
      <c r="J17" s="57">
        <v>3.866</v>
      </c>
      <c r="K17" s="14">
        <f t="shared" si="4"/>
        <v>0.46</v>
      </c>
      <c r="L17" s="13">
        <f t="shared" si="5"/>
        <v>934.4328535575743</v>
      </c>
      <c r="M17" s="15">
        <f t="shared" si="6"/>
        <v>0.14599999999999996</v>
      </c>
      <c r="N17" s="13">
        <f t="shared" si="7"/>
        <v>1499.4</v>
      </c>
      <c r="O17" s="13">
        <f t="shared" si="8"/>
        <v>1499.4</v>
      </c>
      <c r="P17" s="13">
        <f t="shared" si="9"/>
        <v>1070.7</v>
      </c>
      <c r="Q17" s="16">
        <f t="shared" si="10"/>
        <v>0.56</v>
      </c>
      <c r="R17" s="13">
        <v>553.1</v>
      </c>
      <c r="S17" s="13">
        <f t="shared" si="11"/>
        <v>1070.7</v>
      </c>
      <c r="T17" s="13">
        <f t="shared" si="19"/>
        <v>193.58</v>
      </c>
      <c r="U17" s="13">
        <f t="shared" si="12"/>
        <v>0</v>
      </c>
      <c r="V17" s="13">
        <f t="shared" si="13"/>
        <v>0</v>
      </c>
      <c r="W17" s="13">
        <f t="shared" si="14"/>
        <v>0</v>
      </c>
      <c r="X17" s="13">
        <f t="shared" si="15"/>
        <v>0</v>
      </c>
      <c r="Y17" s="13">
        <f t="shared" si="16"/>
        <v>0</v>
      </c>
      <c r="Z17" s="13">
        <f t="shared" si="17"/>
        <v>0</v>
      </c>
      <c r="AA17" s="13">
        <f t="shared" si="18"/>
        <v>1070.7</v>
      </c>
    </row>
    <row r="18" spans="1:27" s="26" customFormat="1" ht="12.75">
      <c r="A18" s="18"/>
      <c r="B18" s="19" t="s">
        <v>26</v>
      </c>
      <c r="C18" s="20">
        <f>SUM(C6:C17)</f>
        <v>61.541999999999994</v>
      </c>
      <c r="D18" s="20">
        <f>SUM(D6:D17)</f>
        <v>159150</v>
      </c>
      <c r="E18" s="20">
        <f>SUM(E6:E17)</f>
        <v>1129</v>
      </c>
      <c r="F18" s="20"/>
      <c r="G18" s="20">
        <f>SUM(G6:G17)</f>
        <v>160278.99999999997</v>
      </c>
      <c r="H18" s="21">
        <f t="shared" si="2"/>
        <v>2604.4</v>
      </c>
      <c r="I18" s="22">
        <v>1</v>
      </c>
      <c r="J18" s="22">
        <v>1</v>
      </c>
      <c r="K18" s="22">
        <v>1</v>
      </c>
      <c r="L18" s="23">
        <f>SUM(L6:L17)</f>
        <v>18556.07074031807</v>
      </c>
      <c r="M18" s="24"/>
      <c r="N18" s="20">
        <f aca="true" t="shared" si="20" ref="N18:S18">SUM(N6:N17)</f>
        <v>-44634.3</v>
      </c>
      <c r="O18" s="20">
        <f t="shared" si="20"/>
        <v>25985.300000000003</v>
      </c>
      <c r="P18" s="25">
        <f t="shared" si="20"/>
        <v>18556.1</v>
      </c>
      <c r="Q18" s="25">
        <f t="shared" si="20"/>
        <v>7.910000000000002</v>
      </c>
      <c r="R18" s="25">
        <f t="shared" si="20"/>
        <v>26408.8</v>
      </c>
      <c r="S18" s="25">
        <f t="shared" si="20"/>
        <v>18556.1</v>
      </c>
      <c r="T18" s="21">
        <f>S18/R18*100</f>
        <v>70.26483596376964</v>
      </c>
      <c r="U18" s="21"/>
      <c r="V18" s="25">
        <f>SUM(V6:V17)</f>
        <v>6415.7</v>
      </c>
      <c r="W18" s="25">
        <f>SUM(W6:W17)</f>
        <v>1541.3999999999996</v>
      </c>
      <c r="X18" s="25"/>
      <c r="Y18" s="17">
        <f>SUM(Y6:Y17)</f>
        <v>-337.381391445436</v>
      </c>
      <c r="Z18" s="17">
        <f>SUM(Z6:Z17)</f>
        <v>1204.0186085545636</v>
      </c>
      <c r="AA18" s="17">
        <f>SUM(AA6:AA17)</f>
        <v>19760.118608554567</v>
      </c>
    </row>
    <row r="19" spans="2:27" ht="25.5">
      <c r="B19" s="1" t="s">
        <v>27</v>
      </c>
      <c r="C19" s="27"/>
      <c r="D19" s="27"/>
      <c r="E19" s="27"/>
      <c r="F19" s="27"/>
      <c r="G19" s="27"/>
      <c r="H19" s="28" t="s">
        <v>30</v>
      </c>
      <c r="I19" s="54">
        <v>18556.1</v>
      </c>
      <c r="J19" s="51" t="s">
        <v>29</v>
      </c>
      <c r="K19" s="30">
        <f>ROUND(L19*1.1,3)</f>
        <v>0.606</v>
      </c>
      <c r="L19" s="53">
        <v>0.5509868</v>
      </c>
      <c r="M19" s="73" t="s">
        <v>30</v>
      </c>
      <c r="N19" s="73"/>
      <c r="O19" s="31">
        <v>18556.1</v>
      </c>
      <c r="P19" s="29"/>
      <c r="U19" s="33"/>
      <c r="V19" s="33"/>
      <c r="W19" s="33"/>
      <c r="X19" s="52">
        <v>221.21</v>
      </c>
      <c r="Y19" s="35">
        <f>W18+Y18</f>
        <v>1204.0186085545636</v>
      </c>
      <c r="Z19" s="29"/>
      <c r="AA19" s="29"/>
    </row>
    <row r="20" spans="3:27" s="36" customFormat="1" ht="12.75">
      <c r="C20" s="37"/>
      <c r="D20" s="37"/>
      <c r="E20" s="37"/>
      <c r="F20" s="37"/>
      <c r="G20" s="37"/>
      <c r="H20" s="38"/>
      <c r="I20" s="29"/>
      <c r="J20" s="50"/>
      <c r="K20" s="39"/>
      <c r="L20" s="31">
        <f>+L18-O19</f>
        <v>-0.029259681927214842</v>
      </c>
      <c r="M20" s="40"/>
      <c r="N20" s="41"/>
      <c r="O20" s="41"/>
      <c r="P20" s="27">
        <f>P18-O19</f>
        <v>0</v>
      </c>
      <c r="Q20" s="42"/>
      <c r="U20" s="43"/>
      <c r="V20" s="43"/>
      <c r="W20" s="43"/>
      <c r="X20" s="44"/>
      <c r="Y20" s="45"/>
      <c r="AA20" s="34"/>
    </row>
    <row r="21" spans="7:8" ht="12.75">
      <c r="G21" s="37"/>
      <c r="H21" s="46"/>
    </row>
    <row r="22" ht="12.75">
      <c r="X22" s="34"/>
    </row>
  </sheetData>
  <sheetProtection formatCells="0" formatColumns="0" formatRows="0" insertColumns="0" insertRows="0" insertHyperlinks="0" deleteColumns="0" deleteRows="0" sort="0" autoFilter="0" pivotTables="0"/>
  <autoFilter ref="A5:AA21"/>
  <mergeCells count="26">
    <mergeCell ref="P3:P4"/>
    <mergeCell ref="J3:J4"/>
    <mergeCell ref="K3:K4"/>
    <mergeCell ref="O3:O4"/>
    <mergeCell ref="L3:L4"/>
    <mergeCell ref="N3:N4"/>
    <mergeCell ref="A2:A4"/>
    <mergeCell ref="B2:B4"/>
    <mergeCell ref="C2:C4"/>
    <mergeCell ref="M19:N19"/>
    <mergeCell ref="M3:M4"/>
    <mergeCell ref="F3:F4"/>
    <mergeCell ref="E3:E4"/>
    <mergeCell ref="G3:G4"/>
    <mergeCell ref="I3:I4"/>
    <mergeCell ref="H3:H4"/>
    <mergeCell ref="AA3:AA4"/>
    <mergeCell ref="X3:Y3"/>
    <mergeCell ref="Z3:Z4"/>
    <mergeCell ref="C1:Q1"/>
    <mergeCell ref="Q3:Q4"/>
    <mergeCell ref="R3:T3"/>
    <mergeCell ref="R2:AA2"/>
    <mergeCell ref="D2:Q2"/>
    <mergeCell ref="D3:D4"/>
    <mergeCell ref="U3:W3"/>
  </mergeCells>
  <printOptions/>
  <pageMargins left="0.1968503937007874" right="0.1968503937007874" top="0.1968503937007874" bottom="0.1968503937007874" header="0" footer="0"/>
  <pageSetup fitToWidth="3" horizontalDpi="300" verticalDpi="300" orientation="landscape" paperSize="9" scale="8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AA22"/>
  <sheetViews>
    <sheetView view="pageBreakPreview" zoomScaleSheetLayoutView="100" workbookViewId="0" topLeftCell="A1">
      <pane xSplit="3" ySplit="7" topLeftCell="U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C17" sqref="AC17"/>
    </sheetView>
  </sheetViews>
  <sheetFormatPr defaultColWidth="8.8515625" defaultRowHeight="12.75"/>
  <cols>
    <col min="1" max="1" width="5.421875" style="1" hidden="1" customWidth="1"/>
    <col min="2" max="2" width="29.00390625" style="1" customWidth="1"/>
    <col min="3" max="6" width="11.7109375" style="3" customWidth="1"/>
    <col min="7" max="7" width="15.7109375" style="3" customWidth="1"/>
    <col min="8" max="8" width="10.140625" style="3" customWidth="1"/>
    <col min="9" max="9" width="10.57421875" style="3" customWidth="1"/>
    <col min="10" max="10" width="13.28125" style="3" customWidth="1"/>
    <col min="11" max="11" width="13.8515625" style="47" customWidth="1"/>
    <col min="12" max="12" width="14.00390625" style="31" customWidth="1"/>
    <col min="13" max="13" width="10.57421875" style="48" customWidth="1"/>
    <col min="14" max="14" width="12.140625" style="31" customWidth="1"/>
    <col min="15" max="15" width="12.57421875" style="31" customWidth="1"/>
    <col min="16" max="16" width="12.28125" style="49" customWidth="1"/>
    <col min="17" max="17" width="8.8515625" style="32" customWidth="1"/>
    <col min="18" max="18" width="11.28125" style="1" customWidth="1"/>
    <col min="19" max="19" width="10.8515625" style="1" customWidth="1"/>
    <col min="20" max="20" width="11.7109375" style="1" customWidth="1"/>
    <col min="21" max="21" width="10.421875" style="3" customWidth="1"/>
    <col min="22" max="22" width="10.28125" style="3" bestFit="1" customWidth="1"/>
    <col min="23" max="23" width="12.7109375" style="3" customWidth="1"/>
    <col min="24" max="24" width="11.8515625" style="4" customWidth="1"/>
    <col min="25" max="25" width="11.8515625" style="5" customWidth="1"/>
    <col min="26" max="26" width="11.00390625" style="1" customWidth="1"/>
    <col min="27" max="27" width="11.421875" style="1" customWidth="1"/>
    <col min="28" max="16384" width="8.8515625" style="1" customWidth="1"/>
  </cols>
  <sheetData>
    <row r="1" spans="2:17" ht="15.75">
      <c r="B1" s="2"/>
      <c r="C1" s="64" t="s">
        <v>46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27" ht="13.5" customHeight="1">
      <c r="A2" s="70" t="s">
        <v>0</v>
      </c>
      <c r="B2" s="71" t="s">
        <v>1</v>
      </c>
      <c r="C2" s="72" t="s">
        <v>2</v>
      </c>
      <c r="D2" s="66" t="s">
        <v>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2" t="s">
        <v>4</v>
      </c>
      <c r="S2" s="62"/>
      <c r="T2" s="62"/>
      <c r="U2" s="62"/>
      <c r="V2" s="62"/>
      <c r="W2" s="62"/>
      <c r="X2" s="62"/>
      <c r="Y2" s="62"/>
      <c r="Z2" s="62"/>
      <c r="AA2" s="62"/>
    </row>
    <row r="3" spans="1:27" ht="15.75" customHeight="1">
      <c r="A3" s="70"/>
      <c r="B3" s="71"/>
      <c r="C3" s="72"/>
      <c r="D3" s="69" t="s">
        <v>6</v>
      </c>
      <c r="E3" s="69" t="s">
        <v>31</v>
      </c>
      <c r="F3" s="69" t="s">
        <v>32</v>
      </c>
      <c r="G3" s="69" t="s">
        <v>33</v>
      </c>
      <c r="H3" s="69" t="s">
        <v>7</v>
      </c>
      <c r="I3" s="69" t="s">
        <v>8</v>
      </c>
      <c r="J3" s="69" t="s">
        <v>9</v>
      </c>
      <c r="K3" s="75" t="s">
        <v>10</v>
      </c>
      <c r="L3" s="76" t="s">
        <v>11</v>
      </c>
      <c r="M3" s="74" t="s">
        <v>12</v>
      </c>
      <c r="N3" s="76" t="s">
        <v>13</v>
      </c>
      <c r="O3" s="76" t="s">
        <v>14</v>
      </c>
      <c r="P3" s="69" t="s">
        <v>15</v>
      </c>
      <c r="Q3" s="65" t="s">
        <v>16</v>
      </c>
      <c r="R3" s="62" t="s">
        <v>17</v>
      </c>
      <c r="S3" s="62"/>
      <c r="T3" s="62"/>
      <c r="U3" s="62" t="s">
        <v>18</v>
      </c>
      <c r="V3" s="62"/>
      <c r="W3" s="62"/>
      <c r="X3" s="63" t="s">
        <v>19</v>
      </c>
      <c r="Y3" s="63"/>
      <c r="Z3" s="62" t="s">
        <v>20</v>
      </c>
      <c r="AA3" s="62" t="s">
        <v>5</v>
      </c>
    </row>
    <row r="4" spans="1:27" ht="54.75" customHeight="1">
      <c r="A4" s="70"/>
      <c r="B4" s="71"/>
      <c r="C4" s="72"/>
      <c r="D4" s="69"/>
      <c r="E4" s="69"/>
      <c r="F4" s="69"/>
      <c r="G4" s="69"/>
      <c r="H4" s="69"/>
      <c r="I4" s="69"/>
      <c r="J4" s="69"/>
      <c r="K4" s="75"/>
      <c r="L4" s="76"/>
      <c r="M4" s="74"/>
      <c r="N4" s="76"/>
      <c r="O4" s="76"/>
      <c r="P4" s="69"/>
      <c r="Q4" s="65"/>
      <c r="R4" s="6">
        <v>2011</v>
      </c>
      <c r="S4" s="6">
        <v>2012</v>
      </c>
      <c r="T4" s="6" t="s">
        <v>21</v>
      </c>
      <c r="U4" s="6" t="s">
        <v>22</v>
      </c>
      <c r="V4" s="6" t="s">
        <v>28</v>
      </c>
      <c r="W4" s="6" t="s">
        <v>23</v>
      </c>
      <c r="X4" s="8" t="s">
        <v>24</v>
      </c>
      <c r="Y4" s="7" t="s">
        <v>25</v>
      </c>
      <c r="Z4" s="62"/>
      <c r="AA4" s="62"/>
    </row>
    <row r="5" spans="1:27" s="10" customFormat="1" ht="12.75">
      <c r="A5" s="9">
        <v>1</v>
      </c>
      <c r="B5" s="9">
        <v>1</v>
      </c>
      <c r="C5" s="9">
        <f aca="true" t="shared" si="0" ref="C5:AA5">B5+1</f>
        <v>2</v>
      </c>
      <c r="D5" s="9">
        <f t="shared" si="0"/>
        <v>3</v>
      </c>
      <c r="E5" s="9">
        <f t="shared" si="0"/>
        <v>4</v>
      </c>
      <c r="F5" s="9">
        <f t="shared" si="0"/>
        <v>5</v>
      </c>
      <c r="G5" s="9">
        <f t="shared" si="0"/>
        <v>6</v>
      </c>
      <c r="H5" s="9">
        <f t="shared" si="0"/>
        <v>7</v>
      </c>
      <c r="I5" s="9">
        <f t="shared" si="0"/>
        <v>8</v>
      </c>
      <c r="J5" s="9">
        <f t="shared" si="0"/>
        <v>9</v>
      </c>
      <c r="K5" s="9">
        <f t="shared" si="0"/>
        <v>10</v>
      </c>
      <c r="L5" s="9">
        <f t="shared" si="0"/>
        <v>11</v>
      </c>
      <c r="M5" s="9">
        <f t="shared" si="0"/>
        <v>12</v>
      </c>
      <c r="N5" s="9">
        <f t="shared" si="0"/>
        <v>13</v>
      </c>
      <c r="O5" s="9">
        <f t="shared" si="0"/>
        <v>14</v>
      </c>
      <c r="P5" s="9">
        <f t="shared" si="0"/>
        <v>15</v>
      </c>
      <c r="Q5" s="9">
        <f t="shared" si="0"/>
        <v>16</v>
      </c>
      <c r="R5" s="9">
        <f t="shared" si="0"/>
        <v>17</v>
      </c>
      <c r="S5" s="9">
        <f t="shared" si="0"/>
        <v>18</v>
      </c>
      <c r="T5" s="9">
        <f t="shared" si="0"/>
        <v>19</v>
      </c>
      <c r="U5" s="9">
        <f t="shared" si="0"/>
        <v>20</v>
      </c>
      <c r="V5" s="9">
        <f t="shared" si="0"/>
        <v>21</v>
      </c>
      <c r="W5" s="9">
        <f t="shared" si="0"/>
        <v>22</v>
      </c>
      <c r="X5" s="9">
        <f t="shared" si="0"/>
        <v>23</v>
      </c>
      <c r="Y5" s="9">
        <f t="shared" si="0"/>
        <v>24</v>
      </c>
      <c r="Z5" s="9">
        <f t="shared" si="0"/>
        <v>25</v>
      </c>
      <c r="AA5" s="9">
        <f t="shared" si="0"/>
        <v>26</v>
      </c>
    </row>
    <row r="6" spans="1:27" s="3" customFormat="1" ht="15">
      <c r="A6" s="11">
        <v>1</v>
      </c>
      <c r="B6" s="55" t="s">
        <v>34</v>
      </c>
      <c r="C6" s="12">
        <v>35.711</v>
      </c>
      <c r="D6" s="12">
        <v>104255</v>
      </c>
      <c r="E6" s="12"/>
      <c r="F6" s="12"/>
      <c r="G6" s="13">
        <f aca="true" t="shared" si="1" ref="G6:G17">+D6+E6-F6</f>
        <v>104255</v>
      </c>
      <c r="H6" s="13">
        <f aca="true" t="shared" si="2" ref="H6:H18">ROUND(G6/C6,1)</f>
        <v>2919.4</v>
      </c>
      <c r="I6" s="14">
        <f aca="true" t="shared" si="3" ref="I6:I17">ROUND(H6/$H$18,2)</f>
        <v>1.12</v>
      </c>
      <c r="J6" s="57">
        <v>0.596</v>
      </c>
      <c r="K6" s="14">
        <f aca="true" t="shared" si="4" ref="K6:K17">ROUND(I6/J6,2)</f>
        <v>1.88</v>
      </c>
      <c r="L6" s="13">
        <f aca="true" t="shared" si="5" ref="L6:L17">IF($L$19-K6&gt;0,($H$18*C6*($L$19-K6)*J6),0)</f>
        <v>0</v>
      </c>
      <c r="M6" s="15">
        <f aca="true" t="shared" si="6" ref="M6:M17">$K$19-K6</f>
        <v>-1.2469999999999999</v>
      </c>
      <c r="N6" s="13">
        <f aca="true" t="shared" si="7" ref="N6:N17">ROUND($H$18*M6*C6*J6,1)</f>
        <v>-69123</v>
      </c>
      <c r="O6" s="13">
        <f aca="true" t="shared" si="8" ref="O6:O17">IF(N6&gt;0,N6,0)</f>
        <v>0</v>
      </c>
      <c r="P6" s="13">
        <f aca="true" t="shared" si="9" ref="P6:P17">ROUND($O$19*(O6/$O$18),1)</f>
        <v>0</v>
      </c>
      <c r="Q6" s="16">
        <f aca="true" t="shared" si="10" ref="Q6:Q17">ROUND(K6+P6/(C6*$H$18*J6),2)</f>
        <v>1.88</v>
      </c>
      <c r="R6" s="13">
        <v>1311</v>
      </c>
      <c r="S6" s="13">
        <f aca="true" t="shared" si="11" ref="S6:S17">P6</f>
        <v>0</v>
      </c>
      <c r="T6" s="13">
        <f>S6/R6*100</f>
        <v>0</v>
      </c>
      <c r="U6" s="13">
        <f aca="true" t="shared" si="12" ref="U6:U17">IF(T6&lt;50,50,0)</f>
        <v>50</v>
      </c>
      <c r="V6" s="13">
        <f aca="true" t="shared" si="13" ref="V6:V17">ROUND(R6*U6/100,1)</f>
        <v>655.5</v>
      </c>
      <c r="W6" s="13">
        <f aca="true" t="shared" si="14" ref="W6:W17">IF(V6-S6&lt;0,0,V6-S6)</f>
        <v>655.5</v>
      </c>
      <c r="X6" s="13">
        <f aca="true" t="shared" si="15" ref="X6:X17">IF($X$19-T6&gt;0,0,$X$19-T6)</f>
        <v>0</v>
      </c>
      <c r="Y6" s="13">
        <f aca="true" t="shared" si="16" ref="Y6:Y17">IF(T6=0,0,X6*S6/T6)</f>
        <v>0</v>
      </c>
      <c r="Z6" s="13">
        <f aca="true" t="shared" si="17" ref="Z6:Z17">+W6+Y6</f>
        <v>655.5</v>
      </c>
      <c r="AA6" s="13">
        <f aca="true" t="shared" si="18" ref="AA6:AA17">+Z6+S6</f>
        <v>655.5</v>
      </c>
    </row>
    <row r="7" spans="1:27" s="3" customFormat="1" ht="15">
      <c r="A7" s="11">
        <v>2</v>
      </c>
      <c r="B7" s="55" t="s">
        <v>35</v>
      </c>
      <c r="C7" s="12">
        <v>6.385</v>
      </c>
      <c r="D7" s="12">
        <v>10653</v>
      </c>
      <c r="E7" s="12">
        <v>210.5</v>
      </c>
      <c r="F7" s="12"/>
      <c r="G7" s="13">
        <f t="shared" si="1"/>
        <v>10863.5</v>
      </c>
      <c r="H7" s="13">
        <f t="shared" si="2"/>
        <v>1701.4</v>
      </c>
      <c r="I7" s="14">
        <f t="shared" si="3"/>
        <v>0.65</v>
      </c>
      <c r="J7" s="57">
        <v>1.466</v>
      </c>
      <c r="K7" s="14">
        <f t="shared" si="4"/>
        <v>0.44</v>
      </c>
      <c r="L7" s="13">
        <f t="shared" si="5"/>
        <v>3293.74560123844</v>
      </c>
      <c r="M7" s="15">
        <f t="shared" si="6"/>
        <v>0.193</v>
      </c>
      <c r="N7" s="13">
        <f t="shared" si="7"/>
        <v>4705</v>
      </c>
      <c r="O7" s="13">
        <f t="shared" si="8"/>
        <v>4705</v>
      </c>
      <c r="P7" s="13">
        <f t="shared" si="9"/>
        <v>3442.6</v>
      </c>
      <c r="Q7" s="16">
        <f t="shared" si="10"/>
        <v>0.58</v>
      </c>
      <c r="R7" s="13">
        <v>6051.3</v>
      </c>
      <c r="S7" s="13">
        <f t="shared" si="11"/>
        <v>3442.6</v>
      </c>
      <c r="T7" s="13">
        <f aca="true" t="shared" si="19" ref="T7:T17">ROUND(S7/R7*100,2)</f>
        <v>56.89</v>
      </c>
      <c r="U7" s="13">
        <f t="shared" si="12"/>
        <v>0</v>
      </c>
      <c r="V7" s="13">
        <f t="shared" si="13"/>
        <v>0</v>
      </c>
      <c r="W7" s="13">
        <f t="shared" si="14"/>
        <v>0</v>
      </c>
      <c r="X7" s="13">
        <f t="shared" si="15"/>
        <v>0</v>
      </c>
      <c r="Y7" s="13">
        <f t="shared" si="16"/>
        <v>0</v>
      </c>
      <c r="Z7" s="13">
        <f t="shared" si="17"/>
        <v>0</v>
      </c>
      <c r="AA7" s="13">
        <f t="shared" si="18"/>
        <v>3442.6</v>
      </c>
    </row>
    <row r="8" spans="1:27" s="3" customFormat="1" ht="15">
      <c r="A8" s="11">
        <v>3</v>
      </c>
      <c r="B8" s="55" t="s">
        <v>36</v>
      </c>
      <c r="C8" s="12">
        <v>3.986</v>
      </c>
      <c r="D8" s="12">
        <v>7982</v>
      </c>
      <c r="E8" s="12"/>
      <c r="F8" s="12"/>
      <c r="G8" s="13">
        <f t="shared" si="1"/>
        <v>7982</v>
      </c>
      <c r="H8" s="13">
        <f t="shared" si="2"/>
        <v>2002.5</v>
      </c>
      <c r="I8" s="14">
        <f t="shared" si="3"/>
        <v>0.77</v>
      </c>
      <c r="J8" s="57">
        <v>1.877</v>
      </c>
      <c r="K8" s="14">
        <f t="shared" si="4"/>
        <v>0.41</v>
      </c>
      <c r="L8" s="13">
        <f t="shared" si="5"/>
        <v>3217.233861817449</v>
      </c>
      <c r="M8" s="15">
        <f t="shared" si="6"/>
        <v>0.22300000000000003</v>
      </c>
      <c r="N8" s="13">
        <f t="shared" si="7"/>
        <v>4345.2</v>
      </c>
      <c r="O8" s="13">
        <f t="shared" si="8"/>
        <v>4345.2</v>
      </c>
      <c r="P8" s="13">
        <f t="shared" si="9"/>
        <v>3179.3</v>
      </c>
      <c r="Q8" s="16">
        <f t="shared" si="10"/>
        <v>0.57</v>
      </c>
      <c r="R8" s="13">
        <v>5469</v>
      </c>
      <c r="S8" s="13">
        <f t="shared" si="11"/>
        <v>3179.3</v>
      </c>
      <c r="T8" s="13">
        <f t="shared" si="19"/>
        <v>58.13</v>
      </c>
      <c r="U8" s="13">
        <f t="shared" si="12"/>
        <v>0</v>
      </c>
      <c r="V8" s="13">
        <f t="shared" si="13"/>
        <v>0</v>
      </c>
      <c r="W8" s="13">
        <f t="shared" si="14"/>
        <v>0</v>
      </c>
      <c r="X8" s="13">
        <f t="shared" si="15"/>
        <v>0</v>
      </c>
      <c r="Y8" s="13">
        <f t="shared" si="16"/>
        <v>0</v>
      </c>
      <c r="Z8" s="13">
        <f t="shared" si="17"/>
        <v>0</v>
      </c>
      <c r="AA8" s="13">
        <f t="shared" si="18"/>
        <v>3179.3</v>
      </c>
    </row>
    <row r="9" spans="1:27" s="3" customFormat="1" ht="15">
      <c r="A9" s="11">
        <v>4</v>
      </c>
      <c r="B9" s="55" t="s">
        <v>37</v>
      </c>
      <c r="C9" s="12">
        <v>1.428</v>
      </c>
      <c r="D9" s="12">
        <v>2325</v>
      </c>
      <c r="E9" s="12">
        <v>477.3</v>
      </c>
      <c r="F9" s="12"/>
      <c r="G9" s="13">
        <f t="shared" si="1"/>
        <v>2802.3</v>
      </c>
      <c r="H9" s="13">
        <f t="shared" si="2"/>
        <v>1962.4</v>
      </c>
      <c r="I9" s="14">
        <f t="shared" si="3"/>
        <v>0.75</v>
      </c>
      <c r="J9" s="57">
        <v>2.329</v>
      </c>
      <c r="K9" s="14">
        <f t="shared" si="4"/>
        <v>0.32</v>
      </c>
      <c r="L9" s="13">
        <f t="shared" si="5"/>
        <v>2209.6977089890083</v>
      </c>
      <c r="M9" s="15">
        <f t="shared" si="6"/>
        <v>0.313</v>
      </c>
      <c r="N9" s="13">
        <f t="shared" si="7"/>
        <v>2711.1</v>
      </c>
      <c r="O9" s="13">
        <f t="shared" si="8"/>
        <v>2711.1</v>
      </c>
      <c r="P9" s="13">
        <f t="shared" si="9"/>
        <v>1983.7</v>
      </c>
      <c r="Q9" s="16">
        <f t="shared" si="10"/>
        <v>0.55</v>
      </c>
      <c r="R9" s="13">
        <v>1953.7</v>
      </c>
      <c r="S9" s="13">
        <f t="shared" si="11"/>
        <v>1983.7</v>
      </c>
      <c r="T9" s="13">
        <f t="shared" si="19"/>
        <v>101.54</v>
      </c>
      <c r="U9" s="13">
        <f t="shared" si="12"/>
        <v>0</v>
      </c>
      <c r="V9" s="13">
        <f t="shared" si="13"/>
        <v>0</v>
      </c>
      <c r="W9" s="13">
        <f t="shared" si="14"/>
        <v>0</v>
      </c>
      <c r="X9" s="13">
        <f t="shared" si="15"/>
        <v>-3.6230000000000047</v>
      </c>
      <c r="Y9" s="13">
        <f t="shared" si="16"/>
        <v>-70.77944750837116</v>
      </c>
      <c r="Z9" s="13">
        <f t="shared" si="17"/>
        <v>-70.77944750837116</v>
      </c>
      <c r="AA9" s="13">
        <f t="shared" si="18"/>
        <v>1912.9205524916288</v>
      </c>
    </row>
    <row r="10" spans="1:27" s="3" customFormat="1" ht="15">
      <c r="A10" s="11">
        <v>5</v>
      </c>
      <c r="B10" s="55" t="s">
        <v>38</v>
      </c>
      <c r="C10" s="12">
        <v>3.577</v>
      </c>
      <c r="D10" s="12">
        <v>6752</v>
      </c>
      <c r="E10" s="12"/>
      <c r="F10" s="12"/>
      <c r="G10" s="13">
        <f t="shared" si="1"/>
        <v>6752</v>
      </c>
      <c r="H10" s="13">
        <f t="shared" si="2"/>
        <v>1887.6</v>
      </c>
      <c r="I10" s="14">
        <f t="shared" si="3"/>
        <v>0.72</v>
      </c>
      <c r="J10" s="57">
        <v>1.043</v>
      </c>
      <c r="K10" s="14">
        <f t="shared" si="4"/>
        <v>0.69</v>
      </c>
      <c r="L10" s="13">
        <f t="shared" si="5"/>
        <v>0</v>
      </c>
      <c r="M10" s="15">
        <f t="shared" si="6"/>
        <v>-0.05699999999999994</v>
      </c>
      <c r="N10" s="13">
        <f t="shared" si="7"/>
        <v>-553.8</v>
      </c>
      <c r="O10" s="13">
        <f t="shared" si="8"/>
        <v>0</v>
      </c>
      <c r="P10" s="13">
        <f t="shared" si="9"/>
        <v>0</v>
      </c>
      <c r="Q10" s="16">
        <f t="shared" si="10"/>
        <v>0.69</v>
      </c>
      <c r="R10" s="13">
        <v>3193.2</v>
      </c>
      <c r="S10" s="13">
        <f t="shared" si="11"/>
        <v>0</v>
      </c>
      <c r="T10" s="13">
        <f t="shared" si="19"/>
        <v>0</v>
      </c>
      <c r="U10" s="13">
        <f t="shared" si="12"/>
        <v>50</v>
      </c>
      <c r="V10" s="13">
        <f t="shared" si="13"/>
        <v>1596.6</v>
      </c>
      <c r="W10" s="13">
        <f t="shared" si="14"/>
        <v>1596.6</v>
      </c>
      <c r="X10" s="13">
        <f t="shared" si="15"/>
        <v>0</v>
      </c>
      <c r="Y10" s="13">
        <f t="shared" si="16"/>
        <v>0</v>
      </c>
      <c r="Z10" s="13">
        <f t="shared" si="17"/>
        <v>1596.6</v>
      </c>
      <c r="AA10" s="13">
        <f t="shared" si="18"/>
        <v>1596.6</v>
      </c>
    </row>
    <row r="11" spans="1:27" s="3" customFormat="1" ht="15">
      <c r="A11" s="11">
        <v>6</v>
      </c>
      <c r="B11" s="55" t="s">
        <v>39</v>
      </c>
      <c r="C11" s="12">
        <v>1.831</v>
      </c>
      <c r="D11" s="12">
        <v>3815</v>
      </c>
      <c r="E11" s="12"/>
      <c r="F11" s="12"/>
      <c r="G11" s="13">
        <f t="shared" si="1"/>
        <v>3815</v>
      </c>
      <c r="H11" s="13">
        <f t="shared" si="2"/>
        <v>2083.6</v>
      </c>
      <c r="I11" s="14">
        <f t="shared" si="3"/>
        <v>0.8</v>
      </c>
      <c r="J11" s="57">
        <v>1.878</v>
      </c>
      <c r="K11" s="14">
        <f t="shared" si="4"/>
        <v>0.43</v>
      </c>
      <c r="L11" s="13">
        <f t="shared" si="5"/>
        <v>1299.537933323112</v>
      </c>
      <c r="M11" s="15">
        <f t="shared" si="6"/>
        <v>0.203</v>
      </c>
      <c r="N11" s="13">
        <f t="shared" si="7"/>
        <v>1818</v>
      </c>
      <c r="O11" s="13">
        <f t="shared" si="8"/>
        <v>1818</v>
      </c>
      <c r="P11" s="13">
        <f t="shared" si="9"/>
        <v>1330.2</v>
      </c>
      <c r="Q11" s="16">
        <f t="shared" si="10"/>
        <v>0.58</v>
      </c>
      <c r="R11" s="13">
        <v>1116.2</v>
      </c>
      <c r="S11" s="13">
        <f t="shared" si="11"/>
        <v>1330.2</v>
      </c>
      <c r="T11" s="13">
        <f t="shared" si="19"/>
        <v>119.17</v>
      </c>
      <c r="U11" s="13">
        <f t="shared" si="12"/>
        <v>0</v>
      </c>
      <c r="V11" s="13">
        <f t="shared" si="13"/>
        <v>0</v>
      </c>
      <c r="W11" s="13">
        <f t="shared" si="14"/>
        <v>0</v>
      </c>
      <c r="X11" s="13">
        <f t="shared" si="15"/>
        <v>-21.253</v>
      </c>
      <c r="Y11" s="13">
        <f t="shared" si="16"/>
        <v>-237.2303482420072</v>
      </c>
      <c r="Z11" s="13">
        <f t="shared" si="17"/>
        <v>-237.2303482420072</v>
      </c>
      <c r="AA11" s="13">
        <f t="shared" si="18"/>
        <v>1092.9696517579928</v>
      </c>
    </row>
    <row r="12" spans="1:27" s="3" customFormat="1" ht="15">
      <c r="A12" s="11">
        <v>7</v>
      </c>
      <c r="B12" s="55" t="s">
        <v>40</v>
      </c>
      <c r="C12" s="12">
        <v>1.446</v>
      </c>
      <c r="D12" s="12">
        <v>4127</v>
      </c>
      <c r="E12" s="12">
        <v>97.8</v>
      </c>
      <c r="F12" s="12"/>
      <c r="G12" s="13">
        <f t="shared" si="1"/>
        <v>4224.8</v>
      </c>
      <c r="H12" s="13">
        <f t="shared" si="2"/>
        <v>2921.7</v>
      </c>
      <c r="I12" s="14">
        <f t="shared" si="3"/>
        <v>1.12</v>
      </c>
      <c r="J12" s="57">
        <v>2.73</v>
      </c>
      <c r="K12" s="14">
        <f t="shared" si="4"/>
        <v>0.41</v>
      </c>
      <c r="L12" s="13">
        <f t="shared" si="5"/>
        <v>1697.50868158872</v>
      </c>
      <c r="M12" s="15">
        <f t="shared" si="6"/>
        <v>0.22300000000000003</v>
      </c>
      <c r="N12" s="13">
        <f t="shared" si="7"/>
        <v>2292.7</v>
      </c>
      <c r="O12" s="13">
        <f t="shared" si="8"/>
        <v>2292.7</v>
      </c>
      <c r="P12" s="13">
        <f t="shared" si="9"/>
        <v>1677.5</v>
      </c>
      <c r="Q12" s="16">
        <f t="shared" si="10"/>
        <v>0.57</v>
      </c>
      <c r="R12" s="13">
        <v>1000.7</v>
      </c>
      <c r="S12" s="13">
        <f t="shared" si="11"/>
        <v>1677.5</v>
      </c>
      <c r="T12" s="13">
        <f t="shared" si="19"/>
        <v>167.63</v>
      </c>
      <c r="U12" s="13">
        <f t="shared" si="12"/>
        <v>0</v>
      </c>
      <c r="V12" s="13">
        <f t="shared" si="13"/>
        <v>0</v>
      </c>
      <c r="W12" s="13">
        <f t="shared" si="14"/>
        <v>0</v>
      </c>
      <c r="X12" s="13">
        <f t="shared" si="15"/>
        <v>-69.713</v>
      </c>
      <c r="Y12" s="13">
        <f t="shared" si="16"/>
        <v>-697.6290490962239</v>
      </c>
      <c r="Z12" s="13">
        <f t="shared" si="17"/>
        <v>-697.6290490962239</v>
      </c>
      <c r="AA12" s="13">
        <f t="shared" si="18"/>
        <v>979.8709509037761</v>
      </c>
    </row>
    <row r="13" spans="1:27" s="3" customFormat="1" ht="15">
      <c r="A13" s="11">
        <v>8</v>
      </c>
      <c r="B13" s="55" t="s">
        <v>41</v>
      </c>
      <c r="C13" s="12">
        <v>1.636</v>
      </c>
      <c r="D13" s="12">
        <v>3397</v>
      </c>
      <c r="E13" s="12">
        <v>221.1</v>
      </c>
      <c r="F13" s="12"/>
      <c r="G13" s="13">
        <f t="shared" si="1"/>
        <v>3618.1</v>
      </c>
      <c r="H13" s="13">
        <f t="shared" si="2"/>
        <v>2211.6</v>
      </c>
      <c r="I13" s="14">
        <f t="shared" si="3"/>
        <v>0.85</v>
      </c>
      <c r="J13" s="57">
        <v>2.208</v>
      </c>
      <c r="K13" s="14">
        <f t="shared" si="4"/>
        <v>0.38</v>
      </c>
      <c r="L13" s="13">
        <f t="shared" si="5"/>
        <v>1835.564221819392</v>
      </c>
      <c r="M13" s="15">
        <f t="shared" si="6"/>
        <v>0.253</v>
      </c>
      <c r="N13" s="13">
        <f t="shared" si="7"/>
        <v>2380.2</v>
      </c>
      <c r="O13" s="13">
        <f t="shared" si="8"/>
        <v>2380.2</v>
      </c>
      <c r="P13" s="13">
        <f t="shared" si="9"/>
        <v>1741.6</v>
      </c>
      <c r="Q13" s="16">
        <f t="shared" si="10"/>
        <v>0.57</v>
      </c>
      <c r="R13" s="13">
        <v>985.3</v>
      </c>
      <c r="S13" s="13">
        <f t="shared" si="11"/>
        <v>1741.6</v>
      </c>
      <c r="T13" s="13">
        <f t="shared" si="19"/>
        <v>176.76</v>
      </c>
      <c r="U13" s="13">
        <f t="shared" si="12"/>
        <v>0</v>
      </c>
      <c r="V13" s="13">
        <f t="shared" si="13"/>
        <v>0</v>
      </c>
      <c r="W13" s="13">
        <f t="shared" si="14"/>
        <v>0</v>
      </c>
      <c r="X13" s="13">
        <f t="shared" si="15"/>
        <v>-78.84299999999999</v>
      </c>
      <c r="Y13" s="13">
        <f t="shared" si="16"/>
        <v>-776.8328173794976</v>
      </c>
      <c r="Z13" s="13">
        <f t="shared" si="17"/>
        <v>-776.8328173794976</v>
      </c>
      <c r="AA13" s="13">
        <f t="shared" si="18"/>
        <v>964.7671826205024</v>
      </c>
    </row>
    <row r="14" spans="1:27" s="3" customFormat="1" ht="15">
      <c r="A14" s="11">
        <v>9</v>
      </c>
      <c r="B14" s="55" t="s">
        <v>42</v>
      </c>
      <c r="C14" s="12">
        <v>1.964</v>
      </c>
      <c r="D14" s="12">
        <v>3993</v>
      </c>
      <c r="E14" s="12">
        <v>122.3</v>
      </c>
      <c r="F14" s="12"/>
      <c r="G14" s="13">
        <f t="shared" si="1"/>
        <v>4115.3</v>
      </c>
      <c r="H14" s="13">
        <f t="shared" si="2"/>
        <v>2095.4</v>
      </c>
      <c r="I14" s="14">
        <f t="shared" si="3"/>
        <v>0.8</v>
      </c>
      <c r="J14" s="57">
        <v>2.08</v>
      </c>
      <c r="K14" s="14">
        <f t="shared" si="4"/>
        <v>0.38</v>
      </c>
      <c r="L14" s="13">
        <f t="shared" si="5"/>
        <v>2075.8311944780803</v>
      </c>
      <c r="M14" s="15">
        <f t="shared" si="6"/>
        <v>0.253</v>
      </c>
      <c r="N14" s="13">
        <f t="shared" si="7"/>
        <v>2691.7</v>
      </c>
      <c r="O14" s="13">
        <f t="shared" si="8"/>
        <v>2691.7</v>
      </c>
      <c r="P14" s="13">
        <f t="shared" si="9"/>
        <v>1969.5</v>
      </c>
      <c r="Q14" s="16">
        <f t="shared" si="10"/>
        <v>0.57</v>
      </c>
      <c r="R14" s="13">
        <v>2874</v>
      </c>
      <c r="S14" s="13">
        <f t="shared" si="11"/>
        <v>1969.5</v>
      </c>
      <c r="T14" s="13">
        <f t="shared" si="19"/>
        <v>68.53</v>
      </c>
      <c r="U14" s="13">
        <f t="shared" si="12"/>
        <v>0</v>
      </c>
      <c r="V14" s="13">
        <f t="shared" si="13"/>
        <v>0</v>
      </c>
      <c r="W14" s="13">
        <f t="shared" si="14"/>
        <v>0</v>
      </c>
      <c r="X14" s="13">
        <f t="shared" si="15"/>
        <v>0</v>
      </c>
      <c r="Y14" s="13">
        <f t="shared" si="16"/>
        <v>0</v>
      </c>
      <c r="Z14" s="13">
        <f t="shared" si="17"/>
        <v>0</v>
      </c>
      <c r="AA14" s="13">
        <f t="shared" si="18"/>
        <v>1969.5</v>
      </c>
    </row>
    <row r="15" spans="1:27" s="3" customFormat="1" ht="15">
      <c r="A15" s="11">
        <v>10</v>
      </c>
      <c r="B15" s="55" t="s">
        <v>43</v>
      </c>
      <c r="C15" s="12">
        <v>1.391</v>
      </c>
      <c r="D15" s="12">
        <v>3247</v>
      </c>
      <c r="E15" s="12"/>
      <c r="F15" s="12"/>
      <c r="G15" s="13">
        <f t="shared" si="1"/>
        <v>3247</v>
      </c>
      <c r="H15" s="13">
        <f t="shared" si="2"/>
        <v>2334.3</v>
      </c>
      <c r="I15" s="14">
        <f t="shared" si="3"/>
        <v>0.9</v>
      </c>
      <c r="J15" s="57">
        <v>2.31</v>
      </c>
      <c r="K15" s="14">
        <f t="shared" si="4"/>
        <v>0.39</v>
      </c>
      <c r="L15" s="13">
        <f t="shared" si="5"/>
        <v>1549.09009619364</v>
      </c>
      <c r="M15" s="15">
        <f t="shared" si="6"/>
        <v>0.243</v>
      </c>
      <c r="N15" s="13">
        <f t="shared" si="7"/>
        <v>2033.5</v>
      </c>
      <c r="O15" s="13">
        <f t="shared" si="8"/>
        <v>2033.5</v>
      </c>
      <c r="P15" s="13">
        <f t="shared" si="9"/>
        <v>1487.9</v>
      </c>
      <c r="Q15" s="16">
        <f t="shared" si="10"/>
        <v>0.57</v>
      </c>
      <c r="R15" s="13">
        <v>1653.7</v>
      </c>
      <c r="S15" s="13">
        <f t="shared" si="11"/>
        <v>1487.9</v>
      </c>
      <c r="T15" s="13">
        <f t="shared" si="19"/>
        <v>89.97</v>
      </c>
      <c r="U15" s="13">
        <f t="shared" si="12"/>
        <v>0</v>
      </c>
      <c r="V15" s="13">
        <f t="shared" si="13"/>
        <v>0</v>
      </c>
      <c r="W15" s="13">
        <f t="shared" si="14"/>
        <v>0</v>
      </c>
      <c r="X15" s="13">
        <f t="shared" si="15"/>
        <v>0</v>
      </c>
      <c r="Y15" s="13">
        <f t="shared" si="16"/>
        <v>0</v>
      </c>
      <c r="Z15" s="13">
        <f t="shared" si="17"/>
        <v>0</v>
      </c>
      <c r="AA15" s="13">
        <f t="shared" si="18"/>
        <v>1487.9</v>
      </c>
    </row>
    <row r="16" spans="1:27" s="3" customFormat="1" ht="15">
      <c r="A16" s="11">
        <v>11</v>
      </c>
      <c r="B16" s="55" t="s">
        <v>44</v>
      </c>
      <c r="C16" s="12">
        <v>1.167</v>
      </c>
      <c r="D16" s="12">
        <v>3883</v>
      </c>
      <c r="E16" s="12"/>
      <c r="F16" s="12"/>
      <c r="G16" s="13">
        <f t="shared" si="1"/>
        <v>3883</v>
      </c>
      <c r="H16" s="13">
        <f t="shared" si="2"/>
        <v>3327.3</v>
      </c>
      <c r="I16" s="14">
        <f t="shared" si="3"/>
        <v>1.28</v>
      </c>
      <c r="J16" s="57">
        <v>2.793</v>
      </c>
      <c r="K16" s="14">
        <f t="shared" si="4"/>
        <v>0.46</v>
      </c>
      <c r="L16" s="13">
        <f t="shared" si="5"/>
        <v>977.152915916604</v>
      </c>
      <c r="M16" s="15">
        <f t="shared" si="6"/>
        <v>0.173</v>
      </c>
      <c r="N16" s="13">
        <f t="shared" si="7"/>
        <v>1468.6</v>
      </c>
      <c r="O16" s="13">
        <f t="shared" si="8"/>
        <v>1468.6</v>
      </c>
      <c r="P16" s="13">
        <f t="shared" si="9"/>
        <v>1074.6</v>
      </c>
      <c r="Q16" s="16">
        <f t="shared" si="10"/>
        <v>0.59</v>
      </c>
      <c r="R16" s="13">
        <v>247.6</v>
      </c>
      <c r="S16" s="13">
        <f t="shared" si="11"/>
        <v>1074.6</v>
      </c>
      <c r="T16" s="13">
        <f t="shared" si="19"/>
        <v>434.01</v>
      </c>
      <c r="U16" s="13">
        <f t="shared" si="12"/>
        <v>0</v>
      </c>
      <c r="V16" s="13">
        <f t="shared" si="13"/>
        <v>0</v>
      </c>
      <c r="W16" s="13">
        <f t="shared" si="14"/>
        <v>0</v>
      </c>
      <c r="X16" s="13">
        <f t="shared" si="15"/>
        <v>-336.09299999999996</v>
      </c>
      <c r="Y16" s="13">
        <v>-342</v>
      </c>
      <c r="Z16" s="13">
        <f t="shared" si="17"/>
        <v>-342</v>
      </c>
      <c r="AA16" s="13">
        <f t="shared" si="18"/>
        <v>732.5999999999999</v>
      </c>
    </row>
    <row r="17" spans="1:27" s="3" customFormat="1" ht="15">
      <c r="A17" s="11">
        <v>12</v>
      </c>
      <c r="B17" s="56" t="s">
        <v>45</v>
      </c>
      <c r="C17" s="12">
        <v>1.02</v>
      </c>
      <c r="D17" s="12">
        <v>4721</v>
      </c>
      <c r="E17" s="12"/>
      <c r="F17" s="12"/>
      <c r="G17" s="13">
        <f t="shared" si="1"/>
        <v>4721</v>
      </c>
      <c r="H17" s="13">
        <f t="shared" si="2"/>
        <v>4628.4</v>
      </c>
      <c r="I17" s="14">
        <f t="shared" si="3"/>
        <v>1.78</v>
      </c>
      <c r="J17" s="57">
        <v>3.343</v>
      </c>
      <c r="K17" s="14">
        <f t="shared" si="4"/>
        <v>0.53</v>
      </c>
      <c r="L17" s="13">
        <f t="shared" si="5"/>
        <v>400.6056426122399</v>
      </c>
      <c r="M17" s="15">
        <f t="shared" si="6"/>
        <v>0.10299999999999998</v>
      </c>
      <c r="N17" s="13">
        <f t="shared" si="7"/>
        <v>914.7</v>
      </c>
      <c r="O17" s="13">
        <f t="shared" si="8"/>
        <v>914.7</v>
      </c>
      <c r="P17" s="13">
        <f t="shared" si="9"/>
        <v>669.3</v>
      </c>
      <c r="Q17" s="16">
        <f t="shared" si="10"/>
        <v>0.61</v>
      </c>
      <c r="R17" s="13">
        <v>553.1</v>
      </c>
      <c r="S17" s="13">
        <f t="shared" si="11"/>
        <v>669.3</v>
      </c>
      <c r="T17" s="13">
        <f t="shared" si="19"/>
        <v>121.01</v>
      </c>
      <c r="U17" s="13">
        <f t="shared" si="12"/>
        <v>0</v>
      </c>
      <c r="V17" s="13">
        <f t="shared" si="13"/>
        <v>0</v>
      </c>
      <c r="W17" s="13">
        <f t="shared" si="14"/>
        <v>0</v>
      </c>
      <c r="X17" s="13">
        <f t="shared" si="15"/>
        <v>-23.093000000000004</v>
      </c>
      <c r="Y17" s="13">
        <f t="shared" si="16"/>
        <v>-127.72617882819603</v>
      </c>
      <c r="Z17" s="13">
        <f t="shared" si="17"/>
        <v>-127.72617882819603</v>
      </c>
      <c r="AA17" s="13">
        <f t="shared" si="18"/>
        <v>541.573821171804</v>
      </c>
    </row>
    <row r="18" spans="1:27" s="26" customFormat="1" ht="12.75">
      <c r="A18" s="18"/>
      <c r="B18" s="19" t="s">
        <v>26</v>
      </c>
      <c r="C18" s="20">
        <f>SUM(C6:C17)</f>
        <v>61.541999999999994</v>
      </c>
      <c r="D18" s="20">
        <f>SUM(D6:D17)</f>
        <v>159150</v>
      </c>
      <c r="E18" s="20">
        <f>SUM(E6:E17)</f>
        <v>1129</v>
      </c>
      <c r="F18" s="20"/>
      <c r="G18" s="20">
        <f>SUM(G6:G17)</f>
        <v>160278.99999999997</v>
      </c>
      <c r="H18" s="21">
        <f t="shared" si="2"/>
        <v>2604.4</v>
      </c>
      <c r="I18" s="22">
        <v>1</v>
      </c>
      <c r="J18" s="22">
        <v>1</v>
      </c>
      <c r="K18" s="22">
        <v>1</v>
      </c>
      <c r="L18" s="23">
        <f>SUM(L6:L17)</f>
        <v>18555.967857976688</v>
      </c>
      <c r="M18" s="24"/>
      <c r="N18" s="20">
        <f aca="true" t="shared" si="20" ref="N18:S18">SUM(N6:N17)</f>
        <v>-44316.10000000002</v>
      </c>
      <c r="O18" s="20">
        <f t="shared" si="20"/>
        <v>25360.7</v>
      </c>
      <c r="P18" s="25">
        <f t="shared" si="20"/>
        <v>18556.2</v>
      </c>
      <c r="Q18" s="25">
        <f t="shared" si="20"/>
        <v>8.33</v>
      </c>
      <c r="R18" s="25">
        <f t="shared" si="20"/>
        <v>26408.8</v>
      </c>
      <c r="S18" s="25">
        <f t="shared" si="20"/>
        <v>18556.2</v>
      </c>
      <c r="T18" s="21">
        <f>S18/R18*100</f>
        <v>70.2652146254279</v>
      </c>
      <c r="U18" s="21"/>
      <c r="V18" s="25">
        <f>SUM(V6:V17)</f>
        <v>2252.1</v>
      </c>
      <c r="W18" s="25">
        <f>SUM(W6:W17)</f>
        <v>2252.1</v>
      </c>
      <c r="X18" s="25"/>
      <c r="Y18" s="17">
        <f>SUM(Y6:Y17)</f>
        <v>-2252.197841054296</v>
      </c>
      <c r="Z18" s="17">
        <f>SUM(Z6:Z17)</f>
        <v>-0.09784105429596934</v>
      </c>
      <c r="AA18" s="17">
        <f>SUM(AA6:AA17)</f>
        <v>18556.102158945705</v>
      </c>
    </row>
    <row r="19" spans="2:27" ht="25.5">
      <c r="B19" s="1" t="s">
        <v>27</v>
      </c>
      <c r="C19" s="27"/>
      <c r="D19" s="27"/>
      <c r="E19" s="27"/>
      <c r="F19" s="27"/>
      <c r="G19" s="27"/>
      <c r="H19" s="28" t="s">
        <v>30</v>
      </c>
      <c r="I19" s="54">
        <v>18556.1</v>
      </c>
      <c r="J19" s="51" t="s">
        <v>29</v>
      </c>
      <c r="K19" s="30">
        <f>ROUND(L19*1.1,3)</f>
        <v>0.633</v>
      </c>
      <c r="L19" s="53">
        <v>0.57511</v>
      </c>
      <c r="M19" s="73" t="s">
        <v>30</v>
      </c>
      <c r="N19" s="73"/>
      <c r="O19" s="31">
        <v>18556.1</v>
      </c>
      <c r="P19" s="29"/>
      <c r="U19" s="33"/>
      <c r="V19" s="33"/>
      <c r="W19" s="33"/>
      <c r="X19" s="52">
        <v>97.917</v>
      </c>
      <c r="Y19" s="35">
        <f>W18+Y18</f>
        <v>-0.0978410542961683</v>
      </c>
      <c r="Z19" s="29"/>
      <c r="AA19" s="29"/>
    </row>
    <row r="20" spans="3:27" s="36" customFormat="1" ht="12.75">
      <c r="C20" s="37"/>
      <c r="D20" s="37"/>
      <c r="E20" s="37"/>
      <c r="F20" s="37"/>
      <c r="G20" s="37"/>
      <c r="H20" s="38"/>
      <c r="I20" s="29"/>
      <c r="J20" s="50"/>
      <c r="K20" s="39"/>
      <c r="L20" s="31">
        <f>+L18-O19</f>
        <v>-0.13214202331073466</v>
      </c>
      <c r="M20" s="40"/>
      <c r="N20" s="41"/>
      <c r="O20" s="41"/>
      <c r="P20" s="27">
        <f>P18-O19</f>
        <v>0.10000000000218279</v>
      </c>
      <c r="Q20" s="42"/>
      <c r="U20" s="43"/>
      <c r="V20" s="43"/>
      <c r="W20" s="43"/>
      <c r="X20" s="44"/>
      <c r="Y20" s="45"/>
      <c r="AA20" s="34"/>
    </row>
    <row r="21" spans="7:8" ht="12.75">
      <c r="G21" s="37"/>
      <c r="H21" s="46"/>
    </row>
    <row r="22" spans="24:27" ht="12.75">
      <c r="X22" s="34"/>
      <c r="AA22" s="58"/>
    </row>
  </sheetData>
  <sheetProtection formatCells="0" formatColumns="0" formatRows="0" insertColumns="0" insertRows="0" insertHyperlinks="0" deleteColumns="0" deleteRows="0" sort="0" autoFilter="0" pivotTables="0"/>
  <autoFilter ref="A5:AA21"/>
  <mergeCells count="26">
    <mergeCell ref="AA3:AA4"/>
    <mergeCell ref="X3:Y3"/>
    <mergeCell ref="Z3:Z4"/>
    <mergeCell ref="C1:Q1"/>
    <mergeCell ref="Q3:Q4"/>
    <mergeCell ref="R3:T3"/>
    <mergeCell ref="R2:AA2"/>
    <mergeCell ref="D2:Q2"/>
    <mergeCell ref="D3:D4"/>
    <mergeCell ref="U3:W3"/>
    <mergeCell ref="A2:A4"/>
    <mergeCell ref="B2:B4"/>
    <mergeCell ref="C2:C4"/>
    <mergeCell ref="M19:N19"/>
    <mergeCell ref="M3:M4"/>
    <mergeCell ref="F3:F4"/>
    <mergeCell ref="E3:E4"/>
    <mergeCell ref="G3:G4"/>
    <mergeCell ref="I3:I4"/>
    <mergeCell ref="H3:H4"/>
    <mergeCell ref="P3:P4"/>
    <mergeCell ref="J3:J4"/>
    <mergeCell ref="K3:K4"/>
    <mergeCell ref="O3:O4"/>
    <mergeCell ref="L3:L4"/>
    <mergeCell ref="N3:N4"/>
  </mergeCells>
  <printOptions/>
  <pageMargins left="0.1968503937007874" right="0.1968503937007874" top="0.1968503937007874" bottom="0.1968503937007874" header="0" footer="0"/>
  <pageSetup fitToWidth="3" horizontalDpi="300" verticalDpi="300" orientation="landscape" paperSize="9" scale="8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A22"/>
  <sheetViews>
    <sheetView tabSelected="1" view="pageBreakPreview" zoomScaleSheetLayoutView="100" workbookViewId="0" topLeftCell="A1">
      <pane xSplit="3" ySplit="7" topLeftCell="D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1" sqref="R1:AA16384"/>
    </sheetView>
  </sheetViews>
  <sheetFormatPr defaultColWidth="8.8515625" defaultRowHeight="12.75"/>
  <cols>
    <col min="1" max="1" width="5.421875" style="1" hidden="1" customWidth="1"/>
    <col min="2" max="2" width="29.00390625" style="1" customWidth="1"/>
    <col min="3" max="6" width="11.7109375" style="3" customWidth="1"/>
    <col min="7" max="7" width="15.7109375" style="3" customWidth="1"/>
    <col min="8" max="8" width="10.140625" style="3" customWidth="1"/>
    <col min="9" max="9" width="10.57421875" style="3" customWidth="1"/>
    <col min="10" max="10" width="13.28125" style="3" customWidth="1"/>
    <col min="11" max="11" width="13.8515625" style="47" customWidth="1"/>
    <col min="12" max="12" width="14.00390625" style="31" customWidth="1"/>
    <col min="13" max="13" width="10.57421875" style="48" customWidth="1"/>
    <col min="14" max="14" width="12.140625" style="31" customWidth="1"/>
    <col min="15" max="15" width="12.57421875" style="31" customWidth="1"/>
    <col min="16" max="16" width="12.28125" style="49" customWidth="1"/>
    <col min="17" max="17" width="8.8515625" style="32" customWidth="1"/>
    <col min="18" max="18" width="11.28125" style="1" hidden="1" customWidth="1"/>
    <col min="19" max="19" width="10.8515625" style="1" hidden="1" customWidth="1"/>
    <col min="20" max="20" width="11.7109375" style="1" hidden="1" customWidth="1"/>
    <col min="21" max="21" width="10.421875" style="3" hidden="1" customWidth="1"/>
    <col min="22" max="22" width="10.28125" style="3" hidden="1" customWidth="1"/>
    <col min="23" max="23" width="12.7109375" style="3" hidden="1" customWidth="1"/>
    <col min="24" max="24" width="11.8515625" style="4" hidden="1" customWidth="1"/>
    <col min="25" max="25" width="11.8515625" style="5" hidden="1" customWidth="1"/>
    <col min="26" max="26" width="11.00390625" style="1" hidden="1" customWidth="1"/>
    <col min="27" max="27" width="11.421875" style="1" hidden="1" customWidth="1"/>
    <col min="28" max="16384" width="8.8515625" style="1" customWidth="1"/>
  </cols>
  <sheetData>
    <row r="1" spans="2:17" ht="15.75">
      <c r="B1" s="2"/>
      <c r="C1" s="64" t="s">
        <v>46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27" ht="13.5" customHeight="1">
      <c r="A2" s="70" t="s">
        <v>0</v>
      </c>
      <c r="B2" s="71" t="s">
        <v>1</v>
      </c>
      <c r="C2" s="72" t="s">
        <v>2</v>
      </c>
      <c r="D2" s="66" t="s">
        <v>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2" t="s">
        <v>4</v>
      </c>
      <c r="S2" s="62"/>
      <c r="T2" s="62"/>
      <c r="U2" s="62"/>
      <c r="V2" s="62"/>
      <c r="W2" s="62"/>
      <c r="X2" s="62"/>
      <c r="Y2" s="62"/>
      <c r="Z2" s="62"/>
      <c r="AA2" s="62"/>
    </row>
    <row r="3" spans="1:27" ht="15.75" customHeight="1">
      <c r="A3" s="70"/>
      <c r="B3" s="71"/>
      <c r="C3" s="72"/>
      <c r="D3" s="69" t="s">
        <v>6</v>
      </c>
      <c r="E3" s="69" t="s">
        <v>31</v>
      </c>
      <c r="F3" s="69" t="s">
        <v>32</v>
      </c>
      <c r="G3" s="69" t="s">
        <v>33</v>
      </c>
      <c r="H3" s="69" t="s">
        <v>7</v>
      </c>
      <c r="I3" s="69" t="s">
        <v>8</v>
      </c>
      <c r="J3" s="69" t="s">
        <v>9</v>
      </c>
      <c r="K3" s="75" t="s">
        <v>10</v>
      </c>
      <c r="L3" s="76" t="s">
        <v>11</v>
      </c>
      <c r="M3" s="74" t="s">
        <v>12</v>
      </c>
      <c r="N3" s="76" t="s">
        <v>13</v>
      </c>
      <c r="O3" s="76" t="s">
        <v>14</v>
      </c>
      <c r="P3" s="69" t="s">
        <v>15</v>
      </c>
      <c r="Q3" s="65" t="s">
        <v>16</v>
      </c>
      <c r="R3" s="62" t="s">
        <v>17</v>
      </c>
      <c r="S3" s="62"/>
      <c r="T3" s="62"/>
      <c r="U3" s="62" t="s">
        <v>18</v>
      </c>
      <c r="V3" s="62"/>
      <c r="W3" s="62"/>
      <c r="X3" s="63" t="s">
        <v>19</v>
      </c>
      <c r="Y3" s="63"/>
      <c r="Z3" s="62" t="s">
        <v>20</v>
      </c>
      <c r="AA3" s="62" t="s">
        <v>5</v>
      </c>
    </row>
    <row r="4" spans="1:27" ht="54.75" customHeight="1">
      <c r="A4" s="70"/>
      <c r="B4" s="71"/>
      <c r="C4" s="72"/>
      <c r="D4" s="69"/>
      <c r="E4" s="69"/>
      <c r="F4" s="69"/>
      <c r="G4" s="69"/>
      <c r="H4" s="69"/>
      <c r="I4" s="69"/>
      <c r="J4" s="69"/>
      <c r="K4" s="75"/>
      <c r="L4" s="76"/>
      <c r="M4" s="74"/>
      <c r="N4" s="76"/>
      <c r="O4" s="76"/>
      <c r="P4" s="69"/>
      <c r="Q4" s="65"/>
      <c r="R4" s="6">
        <v>2011</v>
      </c>
      <c r="S4" s="6">
        <v>2012</v>
      </c>
      <c r="T4" s="6" t="s">
        <v>21</v>
      </c>
      <c r="U4" s="6" t="s">
        <v>22</v>
      </c>
      <c r="V4" s="6" t="s">
        <v>28</v>
      </c>
      <c r="W4" s="6" t="s">
        <v>23</v>
      </c>
      <c r="X4" s="8" t="s">
        <v>24</v>
      </c>
      <c r="Y4" s="7" t="s">
        <v>25</v>
      </c>
      <c r="Z4" s="62"/>
      <c r="AA4" s="62"/>
    </row>
    <row r="5" spans="1:27" s="10" customFormat="1" ht="12.75">
      <c r="A5" s="9">
        <v>1</v>
      </c>
      <c r="B5" s="9">
        <v>1</v>
      </c>
      <c r="C5" s="9">
        <f aca="true" t="shared" si="0" ref="C5:AA5">B5+1</f>
        <v>2</v>
      </c>
      <c r="D5" s="9">
        <f t="shared" si="0"/>
        <v>3</v>
      </c>
      <c r="E5" s="9">
        <f t="shared" si="0"/>
        <v>4</v>
      </c>
      <c r="F5" s="9">
        <f t="shared" si="0"/>
        <v>5</v>
      </c>
      <c r="G5" s="9">
        <f t="shared" si="0"/>
        <v>6</v>
      </c>
      <c r="H5" s="9">
        <f t="shared" si="0"/>
        <v>7</v>
      </c>
      <c r="I5" s="9">
        <f t="shared" si="0"/>
        <v>8</v>
      </c>
      <c r="J5" s="9">
        <f t="shared" si="0"/>
        <v>9</v>
      </c>
      <c r="K5" s="9">
        <f t="shared" si="0"/>
        <v>10</v>
      </c>
      <c r="L5" s="9">
        <f t="shared" si="0"/>
        <v>11</v>
      </c>
      <c r="M5" s="9">
        <f t="shared" si="0"/>
        <v>12</v>
      </c>
      <c r="N5" s="9">
        <f t="shared" si="0"/>
        <v>13</v>
      </c>
      <c r="O5" s="9">
        <f t="shared" si="0"/>
        <v>14</v>
      </c>
      <c r="P5" s="9">
        <f t="shared" si="0"/>
        <v>15</v>
      </c>
      <c r="Q5" s="9">
        <f t="shared" si="0"/>
        <v>16</v>
      </c>
      <c r="R5" s="9">
        <f t="shared" si="0"/>
        <v>17</v>
      </c>
      <c r="S5" s="9">
        <f t="shared" si="0"/>
        <v>18</v>
      </c>
      <c r="T5" s="9">
        <f t="shared" si="0"/>
        <v>19</v>
      </c>
      <c r="U5" s="9">
        <f t="shared" si="0"/>
        <v>20</v>
      </c>
      <c r="V5" s="9">
        <f t="shared" si="0"/>
        <v>21</v>
      </c>
      <c r="W5" s="9">
        <f t="shared" si="0"/>
        <v>22</v>
      </c>
      <c r="X5" s="9">
        <f t="shared" si="0"/>
        <v>23</v>
      </c>
      <c r="Y5" s="9">
        <f t="shared" si="0"/>
        <v>24</v>
      </c>
      <c r="Z5" s="9">
        <f t="shared" si="0"/>
        <v>25</v>
      </c>
      <c r="AA5" s="9">
        <f t="shared" si="0"/>
        <v>26</v>
      </c>
    </row>
    <row r="6" spans="1:27" s="3" customFormat="1" ht="15.75">
      <c r="A6" s="11">
        <v>1</v>
      </c>
      <c r="B6" s="55" t="s">
        <v>34</v>
      </c>
      <c r="C6" s="12">
        <v>35.711</v>
      </c>
      <c r="D6" s="12">
        <v>104255</v>
      </c>
      <c r="E6" s="12"/>
      <c r="F6" s="12"/>
      <c r="G6" s="13">
        <f aca="true" t="shared" si="1" ref="G6:G17">+D6+E6-F6</f>
        <v>104255</v>
      </c>
      <c r="H6" s="13">
        <f aca="true" t="shared" si="2" ref="H6:H18">ROUND(G6/C6,1)</f>
        <v>2919.4</v>
      </c>
      <c r="I6" s="14">
        <f aca="true" t="shared" si="3" ref="I6:I17">ROUND(H6/$H$18,2)</f>
        <v>1.12</v>
      </c>
      <c r="J6" s="57">
        <v>0.596</v>
      </c>
      <c r="K6" s="14">
        <f aca="true" t="shared" si="4" ref="K6:K17">ROUND(I6/J6,2)</f>
        <v>1.88</v>
      </c>
      <c r="L6" s="13">
        <f aca="true" t="shared" si="5" ref="L6:L17">IF($L$19-K6&gt;0,($H$18*C6*($L$19-K6)*J6),0)</f>
        <v>0</v>
      </c>
      <c r="M6" s="15">
        <f aca="true" t="shared" si="6" ref="M6:M17">$K$19-K6</f>
        <v>-1.2719999999999998</v>
      </c>
      <c r="N6" s="13">
        <f aca="true" t="shared" si="7" ref="N6:N17">ROUND($H$18*M6*C6*J6,1)</f>
        <v>-70508.8</v>
      </c>
      <c r="O6" s="13">
        <f aca="true" t="shared" si="8" ref="O6:O17">IF(N6&gt;0,N6,0)</f>
        <v>0</v>
      </c>
      <c r="P6" s="60">
        <f aca="true" t="shared" si="9" ref="P6:P17">ROUND($O$19*(O6/$O$18),1)</f>
        <v>0</v>
      </c>
      <c r="Q6" s="16">
        <f aca="true" t="shared" si="10" ref="Q6:Q17">ROUND(K6+P6/(C6*$H$18*J6),2)</f>
        <v>1.88</v>
      </c>
      <c r="R6" s="13">
        <v>1311</v>
      </c>
      <c r="S6" s="13">
        <f aca="true" t="shared" si="11" ref="S6:S17">P6</f>
        <v>0</v>
      </c>
      <c r="T6" s="13">
        <f>S6/R6*100</f>
        <v>0</v>
      </c>
      <c r="U6" s="13">
        <f aca="true" t="shared" si="12" ref="U6:U17">IF(T6&lt;50,50,0)</f>
        <v>50</v>
      </c>
      <c r="V6" s="13">
        <f aca="true" t="shared" si="13" ref="V6:V17">ROUND(R6*U6/100,1)</f>
        <v>655.5</v>
      </c>
      <c r="W6" s="13">
        <f aca="true" t="shared" si="14" ref="W6:W17">IF(V6-S6&lt;0,0,V6-S6)</f>
        <v>655.5</v>
      </c>
      <c r="X6" s="13">
        <f aca="true" t="shared" si="15" ref="X6:X17">IF($X$19-T6&gt;0,0,$X$19-T6)</f>
        <v>0</v>
      </c>
      <c r="Y6" s="13">
        <f aca="true" t="shared" si="16" ref="Y6:Y17">IF(T6=0,0,X6*S6/T6)</f>
        <v>0</v>
      </c>
      <c r="Z6" s="13">
        <f aca="true" t="shared" si="17" ref="Z6:Z17">+W6+Y6</f>
        <v>655.5</v>
      </c>
      <c r="AA6" s="13">
        <f aca="true" t="shared" si="18" ref="AA6:AA17">+Z6+S6</f>
        <v>655.5</v>
      </c>
    </row>
    <row r="7" spans="1:27" s="3" customFormat="1" ht="15.75">
      <c r="A7" s="11">
        <v>2</v>
      </c>
      <c r="B7" s="55" t="s">
        <v>35</v>
      </c>
      <c r="C7" s="12">
        <v>6.385</v>
      </c>
      <c r="D7" s="12">
        <v>10653</v>
      </c>
      <c r="E7" s="12">
        <v>210.5</v>
      </c>
      <c r="F7" s="12"/>
      <c r="G7" s="13">
        <f t="shared" si="1"/>
        <v>10863.5</v>
      </c>
      <c r="H7" s="13">
        <f t="shared" si="2"/>
        <v>1701.4</v>
      </c>
      <c r="I7" s="14">
        <f t="shared" si="3"/>
        <v>0.65</v>
      </c>
      <c r="J7" s="57">
        <v>1.466</v>
      </c>
      <c r="K7" s="14">
        <f t="shared" si="4"/>
        <v>0.44</v>
      </c>
      <c r="L7" s="13">
        <f t="shared" si="5"/>
        <v>2753.365082625075</v>
      </c>
      <c r="M7" s="15">
        <f t="shared" si="6"/>
        <v>0.16799999999999998</v>
      </c>
      <c r="N7" s="13">
        <f t="shared" si="7"/>
        <v>4095.5</v>
      </c>
      <c r="O7" s="13">
        <f t="shared" si="8"/>
        <v>4095.5</v>
      </c>
      <c r="P7" s="60">
        <f t="shared" si="9"/>
        <v>2928</v>
      </c>
      <c r="Q7" s="16">
        <f t="shared" si="10"/>
        <v>0.56</v>
      </c>
      <c r="R7" s="13">
        <v>6051.3</v>
      </c>
      <c r="S7" s="13">
        <f t="shared" si="11"/>
        <v>2928</v>
      </c>
      <c r="T7" s="13">
        <f aca="true" t="shared" si="19" ref="T7:T17">ROUND(S7/R7*100,2)</f>
        <v>48.39</v>
      </c>
      <c r="U7" s="13">
        <f t="shared" si="12"/>
        <v>50</v>
      </c>
      <c r="V7" s="13">
        <f t="shared" si="13"/>
        <v>3025.7</v>
      </c>
      <c r="W7" s="13">
        <f t="shared" si="14"/>
        <v>97.69999999999982</v>
      </c>
      <c r="X7" s="13">
        <f t="shared" si="15"/>
        <v>0</v>
      </c>
      <c r="Y7" s="13">
        <f t="shared" si="16"/>
        <v>0</v>
      </c>
      <c r="Z7" s="13">
        <f t="shared" si="17"/>
        <v>97.69999999999982</v>
      </c>
      <c r="AA7" s="13">
        <f t="shared" si="18"/>
        <v>3025.7</v>
      </c>
    </row>
    <row r="8" spans="1:27" s="3" customFormat="1" ht="15.75">
      <c r="A8" s="11">
        <v>3</v>
      </c>
      <c r="B8" s="55" t="s">
        <v>36</v>
      </c>
      <c r="C8" s="12">
        <v>3.986</v>
      </c>
      <c r="D8" s="12">
        <v>7982</v>
      </c>
      <c r="E8" s="12"/>
      <c r="F8" s="12"/>
      <c r="G8" s="13">
        <f t="shared" si="1"/>
        <v>7982</v>
      </c>
      <c r="H8" s="13">
        <f t="shared" si="2"/>
        <v>2002.5</v>
      </c>
      <c r="I8" s="14">
        <f t="shared" si="3"/>
        <v>0.77</v>
      </c>
      <c r="J8" s="57">
        <v>1.716</v>
      </c>
      <c r="K8" s="14">
        <f t="shared" si="4"/>
        <v>0.45</v>
      </c>
      <c r="L8" s="13">
        <f t="shared" si="5"/>
        <v>1833.8389570307672</v>
      </c>
      <c r="M8" s="15">
        <f t="shared" si="6"/>
        <v>0.15799999999999997</v>
      </c>
      <c r="N8" s="13">
        <f t="shared" si="7"/>
        <v>2814.6</v>
      </c>
      <c r="O8" s="13">
        <f t="shared" si="8"/>
        <v>2814.6</v>
      </c>
      <c r="P8" s="60">
        <f t="shared" si="9"/>
        <v>2012.2</v>
      </c>
      <c r="Q8" s="16">
        <f t="shared" si="10"/>
        <v>0.56</v>
      </c>
      <c r="R8" s="13">
        <v>5469</v>
      </c>
      <c r="S8" s="13">
        <f t="shared" si="11"/>
        <v>2012.2</v>
      </c>
      <c r="T8" s="13">
        <f t="shared" si="19"/>
        <v>36.79</v>
      </c>
      <c r="U8" s="13">
        <f t="shared" si="12"/>
        <v>50</v>
      </c>
      <c r="V8" s="13">
        <f t="shared" si="13"/>
        <v>2734.5</v>
      </c>
      <c r="W8" s="13">
        <f t="shared" si="14"/>
        <v>722.3</v>
      </c>
      <c r="X8" s="13">
        <f t="shared" si="15"/>
        <v>0</v>
      </c>
      <c r="Y8" s="13">
        <f t="shared" si="16"/>
        <v>0</v>
      </c>
      <c r="Z8" s="13">
        <f t="shared" si="17"/>
        <v>722.3</v>
      </c>
      <c r="AA8" s="13">
        <f t="shared" si="18"/>
        <v>2734.5</v>
      </c>
    </row>
    <row r="9" spans="1:27" s="3" customFormat="1" ht="15.75">
      <c r="A9" s="11">
        <v>4</v>
      </c>
      <c r="B9" s="55" t="s">
        <v>37</v>
      </c>
      <c r="C9" s="12">
        <v>1.428</v>
      </c>
      <c r="D9" s="12">
        <v>2325</v>
      </c>
      <c r="E9" s="12">
        <v>477.3</v>
      </c>
      <c r="F9" s="12"/>
      <c r="G9" s="13">
        <f t="shared" si="1"/>
        <v>2802.3</v>
      </c>
      <c r="H9" s="13">
        <f t="shared" si="2"/>
        <v>1962.4</v>
      </c>
      <c r="I9" s="14">
        <f t="shared" si="3"/>
        <v>0.75</v>
      </c>
      <c r="J9" s="57">
        <v>2.329</v>
      </c>
      <c r="K9" s="14">
        <f t="shared" si="4"/>
        <v>0.32</v>
      </c>
      <c r="L9" s="13">
        <f t="shared" si="5"/>
        <v>2017.6971434827371</v>
      </c>
      <c r="M9" s="15">
        <f t="shared" si="6"/>
        <v>0.288</v>
      </c>
      <c r="N9" s="13">
        <f t="shared" si="7"/>
        <v>2494.6</v>
      </c>
      <c r="O9" s="13">
        <f t="shared" si="8"/>
        <v>2494.6</v>
      </c>
      <c r="P9" s="60">
        <f t="shared" si="9"/>
        <v>1783.5</v>
      </c>
      <c r="Q9" s="16">
        <f t="shared" si="10"/>
        <v>0.53</v>
      </c>
      <c r="R9" s="13">
        <v>1953.7</v>
      </c>
      <c r="S9" s="13">
        <f t="shared" si="11"/>
        <v>1783.5</v>
      </c>
      <c r="T9" s="13">
        <f t="shared" si="19"/>
        <v>91.29</v>
      </c>
      <c r="U9" s="13">
        <f t="shared" si="12"/>
        <v>0</v>
      </c>
      <c r="V9" s="13">
        <f t="shared" si="13"/>
        <v>0</v>
      </c>
      <c r="W9" s="13">
        <f t="shared" si="14"/>
        <v>0</v>
      </c>
      <c r="X9" s="13">
        <f t="shared" si="15"/>
        <v>0</v>
      </c>
      <c r="Y9" s="13">
        <f t="shared" si="16"/>
        <v>0</v>
      </c>
      <c r="Z9" s="13">
        <f t="shared" si="17"/>
        <v>0</v>
      </c>
      <c r="AA9" s="13">
        <f t="shared" si="18"/>
        <v>1783.5</v>
      </c>
    </row>
    <row r="10" spans="1:27" s="3" customFormat="1" ht="15.75">
      <c r="A10" s="11">
        <v>5</v>
      </c>
      <c r="B10" s="55" t="s">
        <v>38</v>
      </c>
      <c r="C10" s="12">
        <v>3.577</v>
      </c>
      <c r="D10" s="12">
        <v>6752</v>
      </c>
      <c r="E10" s="12"/>
      <c r="F10" s="12"/>
      <c r="G10" s="13">
        <f t="shared" si="1"/>
        <v>6752</v>
      </c>
      <c r="H10" s="13">
        <f t="shared" si="2"/>
        <v>1887.6</v>
      </c>
      <c r="I10" s="14">
        <f t="shared" si="3"/>
        <v>0.72</v>
      </c>
      <c r="J10" s="57">
        <v>1.699</v>
      </c>
      <c r="K10" s="14">
        <f t="shared" si="4"/>
        <v>0.42</v>
      </c>
      <c r="L10" s="13">
        <f t="shared" si="5"/>
        <v>2104.2004732484033</v>
      </c>
      <c r="M10" s="15">
        <f t="shared" si="6"/>
        <v>0.188</v>
      </c>
      <c r="N10" s="13">
        <f t="shared" si="7"/>
        <v>2975.6</v>
      </c>
      <c r="O10" s="13">
        <f t="shared" si="8"/>
        <v>2975.6</v>
      </c>
      <c r="P10" s="60">
        <f t="shared" si="9"/>
        <v>2127.3</v>
      </c>
      <c r="Q10" s="16">
        <f t="shared" si="10"/>
        <v>0.55</v>
      </c>
      <c r="R10" s="13">
        <v>3193.2</v>
      </c>
      <c r="S10" s="13">
        <f t="shared" si="11"/>
        <v>2127.3</v>
      </c>
      <c r="T10" s="13">
        <f t="shared" si="19"/>
        <v>66.62</v>
      </c>
      <c r="U10" s="13">
        <f t="shared" si="12"/>
        <v>0</v>
      </c>
      <c r="V10" s="13">
        <f t="shared" si="13"/>
        <v>0</v>
      </c>
      <c r="W10" s="13">
        <f t="shared" si="14"/>
        <v>0</v>
      </c>
      <c r="X10" s="13">
        <f t="shared" si="15"/>
        <v>0</v>
      </c>
      <c r="Y10" s="13">
        <f t="shared" si="16"/>
        <v>0</v>
      </c>
      <c r="Z10" s="13">
        <f t="shared" si="17"/>
        <v>0</v>
      </c>
      <c r="AA10" s="13">
        <f t="shared" si="18"/>
        <v>2127.3</v>
      </c>
    </row>
    <row r="11" spans="1:27" s="3" customFormat="1" ht="15.75">
      <c r="A11" s="11">
        <v>6</v>
      </c>
      <c r="B11" s="55" t="s">
        <v>39</v>
      </c>
      <c r="C11" s="12">
        <v>1.831</v>
      </c>
      <c r="D11" s="12">
        <v>3815</v>
      </c>
      <c r="E11" s="12"/>
      <c r="F11" s="12"/>
      <c r="G11" s="13">
        <f t="shared" si="1"/>
        <v>3815</v>
      </c>
      <c r="H11" s="13">
        <f t="shared" si="2"/>
        <v>2083.6</v>
      </c>
      <c r="I11" s="14">
        <f t="shared" si="3"/>
        <v>0.8</v>
      </c>
      <c r="J11" s="57">
        <v>1.878</v>
      </c>
      <c r="K11" s="14">
        <f t="shared" si="4"/>
        <v>0.43</v>
      </c>
      <c r="L11" s="13">
        <f t="shared" si="5"/>
        <v>1101.0250286369653</v>
      </c>
      <c r="M11" s="15">
        <f t="shared" si="6"/>
        <v>0.178</v>
      </c>
      <c r="N11" s="13">
        <f t="shared" si="7"/>
        <v>1594.1</v>
      </c>
      <c r="O11" s="13">
        <f t="shared" si="8"/>
        <v>1594.1</v>
      </c>
      <c r="P11" s="60">
        <f t="shared" si="9"/>
        <v>1139.7</v>
      </c>
      <c r="Q11" s="16">
        <f t="shared" si="10"/>
        <v>0.56</v>
      </c>
      <c r="R11" s="13">
        <v>1116.2</v>
      </c>
      <c r="S11" s="13">
        <f t="shared" si="11"/>
        <v>1139.7</v>
      </c>
      <c r="T11" s="13">
        <f t="shared" si="19"/>
        <v>102.11</v>
      </c>
      <c r="U11" s="13">
        <f t="shared" si="12"/>
        <v>0</v>
      </c>
      <c r="V11" s="13">
        <f t="shared" si="13"/>
        <v>0</v>
      </c>
      <c r="W11" s="13">
        <f t="shared" si="14"/>
        <v>0</v>
      </c>
      <c r="X11" s="13">
        <f t="shared" si="15"/>
        <v>0</v>
      </c>
      <c r="Y11" s="13">
        <f t="shared" si="16"/>
        <v>0</v>
      </c>
      <c r="Z11" s="13">
        <f t="shared" si="17"/>
        <v>0</v>
      </c>
      <c r="AA11" s="13">
        <f t="shared" si="18"/>
        <v>1139.7</v>
      </c>
    </row>
    <row r="12" spans="1:27" s="3" customFormat="1" ht="15.75">
      <c r="A12" s="11">
        <v>7</v>
      </c>
      <c r="B12" s="55" t="s">
        <v>40</v>
      </c>
      <c r="C12" s="12">
        <v>1.446</v>
      </c>
      <c r="D12" s="12">
        <v>4127</v>
      </c>
      <c r="E12" s="12">
        <v>97.8</v>
      </c>
      <c r="F12" s="12"/>
      <c r="G12" s="13">
        <f t="shared" si="1"/>
        <v>4224.8</v>
      </c>
      <c r="H12" s="13">
        <f t="shared" si="2"/>
        <v>2921.7</v>
      </c>
      <c r="I12" s="14">
        <f t="shared" si="3"/>
        <v>1.12</v>
      </c>
      <c r="J12" s="57">
        <v>2.73</v>
      </c>
      <c r="K12" s="14">
        <f t="shared" si="4"/>
        <v>0.41</v>
      </c>
      <c r="L12" s="13">
        <f t="shared" si="5"/>
        <v>1469.6131804656125</v>
      </c>
      <c r="M12" s="15">
        <f t="shared" si="6"/>
        <v>0.198</v>
      </c>
      <c r="N12" s="13">
        <f t="shared" si="7"/>
        <v>2035.7</v>
      </c>
      <c r="O12" s="13">
        <f t="shared" si="8"/>
        <v>2035.7</v>
      </c>
      <c r="P12" s="60">
        <f t="shared" si="9"/>
        <v>1455.4</v>
      </c>
      <c r="Q12" s="16">
        <f t="shared" si="10"/>
        <v>0.55</v>
      </c>
      <c r="R12" s="13">
        <v>1000.7</v>
      </c>
      <c r="S12" s="13">
        <f t="shared" si="11"/>
        <v>1455.4</v>
      </c>
      <c r="T12" s="13">
        <f t="shared" si="19"/>
        <v>145.44</v>
      </c>
      <c r="U12" s="13">
        <f t="shared" si="12"/>
        <v>0</v>
      </c>
      <c r="V12" s="13">
        <f t="shared" si="13"/>
        <v>0</v>
      </c>
      <c r="W12" s="13">
        <f t="shared" si="14"/>
        <v>0</v>
      </c>
      <c r="X12" s="13">
        <f t="shared" si="15"/>
        <v>-19.939999999999998</v>
      </c>
      <c r="Y12" s="13">
        <f t="shared" si="16"/>
        <v>-199.53710121012102</v>
      </c>
      <c r="Z12" s="13">
        <f t="shared" si="17"/>
        <v>-199.53710121012102</v>
      </c>
      <c r="AA12" s="13">
        <f t="shared" si="18"/>
        <v>1255.8628987898792</v>
      </c>
    </row>
    <row r="13" spans="1:27" s="3" customFormat="1" ht="15.75">
      <c r="A13" s="11">
        <v>8</v>
      </c>
      <c r="B13" s="55" t="s">
        <v>41</v>
      </c>
      <c r="C13" s="12">
        <v>1.636</v>
      </c>
      <c r="D13" s="12">
        <v>3397</v>
      </c>
      <c r="E13" s="12">
        <v>221.1</v>
      </c>
      <c r="F13" s="12"/>
      <c r="G13" s="13">
        <f t="shared" si="1"/>
        <v>3618.1</v>
      </c>
      <c r="H13" s="13">
        <f t="shared" si="2"/>
        <v>2211.6</v>
      </c>
      <c r="I13" s="14">
        <f t="shared" si="3"/>
        <v>0.85</v>
      </c>
      <c r="J13" s="57">
        <v>2.208</v>
      </c>
      <c r="K13" s="14">
        <f t="shared" si="4"/>
        <v>0.38</v>
      </c>
      <c r="L13" s="13">
        <f t="shared" si="5"/>
        <v>1627.0252729036033</v>
      </c>
      <c r="M13" s="15">
        <f t="shared" si="6"/>
        <v>0.22799999999999998</v>
      </c>
      <c r="N13" s="13">
        <f t="shared" si="7"/>
        <v>2145</v>
      </c>
      <c r="O13" s="13">
        <f t="shared" si="8"/>
        <v>2145</v>
      </c>
      <c r="P13" s="60">
        <f t="shared" si="9"/>
        <v>1533.5</v>
      </c>
      <c r="Q13" s="16">
        <f t="shared" si="10"/>
        <v>0.54</v>
      </c>
      <c r="R13" s="13">
        <v>985.3</v>
      </c>
      <c r="S13" s="13">
        <f t="shared" si="11"/>
        <v>1533.5</v>
      </c>
      <c r="T13" s="13">
        <f t="shared" si="19"/>
        <v>155.64</v>
      </c>
      <c r="U13" s="13">
        <f t="shared" si="12"/>
        <v>0</v>
      </c>
      <c r="V13" s="13">
        <f t="shared" si="13"/>
        <v>0</v>
      </c>
      <c r="W13" s="13">
        <f t="shared" si="14"/>
        <v>0</v>
      </c>
      <c r="X13" s="13">
        <f t="shared" si="15"/>
        <v>-30.139999999999986</v>
      </c>
      <c r="Y13" s="13">
        <f t="shared" si="16"/>
        <v>-296.9653687997943</v>
      </c>
      <c r="Z13" s="13">
        <f t="shared" si="17"/>
        <v>-296.9653687997943</v>
      </c>
      <c r="AA13" s="13">
        <f t="shared" si="18"/>
        <v>1236.5346312002057</v>
      </c>
    </row>
    <row r="14" spans="1:27" s="3" customFormat="1" ht="15.75">
      <c r="A14" s="11">
        <v>9</v>
      </c>
      <c r="B14" s="55" t="s">
        <v>42</v>
      </c>
      <c r="C14" s="12">
        <v>1.964</v>
      </c>
      <c r="D14" s="12">
        <v>3993</v>
      </c>
      <c r="E14" s="12">
        <v>122.3</v>
      </c>
      <c r="F14" s="12"/>
      <c r="G14" s="13">
        <f t="shared" si="1"/>
        <v>4115.3</v>
      </c>
      <c r="H14" s="13">
        <f t="shared" si="2"/>
        <v>2095.4</v>
      </c>
      <c r="I14" s="14">
        <f t="shared" si="3"/>
        <v>0.8</v>
      </c>
      <c r="J14" s="57">
        <v>2.334</v>
      </c>
      <c r="K14" s="14">
        <f t="shared" si="4"/>
        <v>0.34</v>
      </c>
      <c r="L14" s="13">
        <f t="shared" si="5"/>
        <v>2542.2274854563666</v>
      </c>
      <c r="M14" s="15">
        <f t="shared" si="6"/>
        <v>0.26799999999999996</v>
      </c>
      <c r="N14" s="13">
        <f t="shared" si="7"/>
        <v>3199.5</v>
      </c>
      <c r="O14" s="13">
        <f t="shared" si="8"/>
        <v>3199.5</v>
      </c>
      <c r="P14" s="60">
        <f t="shared" si="9"/>
        <v>2287.4</v>
      </c>
      <c r="Q14" s="16">
        <f t="shared" si="10"/>
        <v>0.53</v>
      </c>
      <c r="R14" s="13">
        <v>2874</v>
      </c>
      <c r="S14" s="13">
        <f t="shared" si="11"/>
        <v>2287.4</v>
      </c>
      <c r="T14" s="13">
        <f t="shared" si="19"/>
        <v>79.59</v>
      </c>
      <c r="U14" s="13">
        <f t="shared" si="12"/>
        <v>0</v>
      </c>
      <c r="V14" s="13">
        <f t="shared" si="13"/>
        <v>0</v>
      </c>
      <c r="W14" s="13">
        <f t="shared" si="14"/>
        <v>0</v>
      </c>
      <c r="X14" s="13">
        <f t="shared" si="15"/>
        <v>0</v>
      </c>
      <c r="Y14" s="13">
        <f t="shared" si="16"/>
        <v>0</v>
      </c>
      <c r="Z14" s="13">
        <f t="shared" si="17"/>
        <v>0</v>
      </c>
      <c r="AA14" s="13">
        <f t="shared" si="18"/>
        <v>2287.4</v>
      </c>
    </row>
    <row r="15" spans="1:27" s="3" customFormat="1" ht="15.75">
      <c r="A15" s="11">
        <v>10</v>
      </c>
      <c r="B15" s="55" t="s">
        <v>43</v>
      </c>
      <c r="C15" s="12">
        <v>1.391</v>
      </c>
      <c r="D15" s="12">
        <v>3247</v>
      </c>
      <c r="E15" s="12"/>
      <c r="F15" s="12"/>
      <c r="G15" s="13">
        <f t="shared" si="1"/>
        <v>3247</v>
      </c>
      <c r="H15" s="13">
        <f t="shared" si="2"/>
        <v>2334.3</v>
      </c>
      <c r="I15" s="14">
        <f t="shared" si="3"/>
        <v>0.9</v>
      </c>
      <c r="J15" s="57">
        <v>2.31</v>
      </c>
      <c r="K15" s="14">
        <f t="shared" si="4"/>
        <v>0.39</v>
      </c>
      <c r="L15" s="13">
        <f t="shared" si="5"/>
        <v>1363.5900928589942</v>
      </c>
      <c r="M15" s="15">
        <f t="shared" si="6"/>
        <v>0.21799999999999997</v>
      </c>
      <c r="N15" s="13">
        <f t="shared" si="7"/>
        <v>1824.3</v>
      </c>
      <c r="O15" s="13">
        <f t="shared" si="8"/>
        <v>1824.3</v>
      </c>
      <c r="P15" s="60">
        <f t="shared" si="9"/>
        <v>1304.2</v>
      </c>
      <c r="Q15" s="16">
        <f t="shared" si="10"/>
        <v>0.55</v>
      </c>
      <c r="R15" s="13">
        <v>1653.7</v>
      </c>
      <c r="S15" s="13">
        <f t="shared" si="11"/>
        <v>1304.2</v>
      </c>
      <c r="T15" s="13">
        <f t="shared" si="19"/>
        <v>78.87</v>
      </c>
      <c r="U15" s="13">
        <f t="shared" si="12"/>
        <v>0</v>
      </c>
      <c r="V15" s="13">
        <f t="shared" si="13"/>
        <v>0</v>
      </c>
      <c r="W15" s="13">
        <f t="shared" si="14"/>
        <v>0</v>
      </c>
      <c r="X15" s="13">
        <f t="shared" si="15"/>
        <v>0</v>
      </c>
      <c r="Y15" s="13">
        <f t="shared" si="16"/>
        <v>0</v>
      </c>
      <c r="Z15" s="13">
        <f t="shared" si="17"/>
        <v>0</v>
      </c>
      <c r="AA15" s="13">
        <f t="shared" si="18"/>
        <v>1304.2</v>
      </c>
    </row>
    <row r="16" spans="1:27" s="3" customFormat="1" ht="15.75">
      <c r="A16" s="11">
        <v>11</v>
      </c>
      <c r="B16" s="55" t="s">
        <v>44</v>
      </c>
      <c r="C16" s="12">
        <v>1.167</v>
      </c>
      <c r="D16" s="12">
        <v>3883</v>
      </c>
      <c r="E16" s="12"/>
      <c r="F16" s="12"/>
      <c r="G16" s="13">
        <f t="shared" si="1"/>
        <v>3883</v>
      </c>
      <c r="H16" s="13">
        <f t="shared" si="2"/>
        <v>3327.3</v>
      </c>
      <c r="I16" s="14">
        <f t="shared" si="3"/>
        <v>1.28</v>
      </c>
      <c r="J16" s="57">
        <v>2.793</v>
      </c>
      <c r="K16" s="14">
        <f t="shared" si="4"/>
        <v>0.46</v>
      </c>
      <c r="L16" s="13">
        <f t="shared" si="5"/>
        <v>788.9845542567535</v>
      </c>
      <c r="M16" s="15">
        <f t="shared" si="6"/>
        <v>0.14799999999999996</v>
      </c>
      <c r="N16" s="13">
        <f t="shared" si="7"/>
        <v>1256.4</v>
      </c>
      <c r="O16" s="13">
        <f t="shared" si="8"/>
        <v>1256.4</v>
      </c>
      <c r="P16" s="60">
        <f t="shared" si="9"/>
        <v>898.2</v>
      </c>
      <c r="Q16" s="16">
        <f t="shared" si="10"/>
        <v>0.57</v>
      </c>
      <c r="R16" s="13">
        <v>247.6</v>
      </c>
      <c r="S16" s="13">
        <f t="shared" si="11"/>
        <v>898.2</v>
      </c>
      <c r="T16" s="13">
        <f t="shared" si="19"/>
        <v>362.76</v>
      </c>
      <c r="U16" s="13">
        <f t="shared" si="12"/>
        <v>0</v>
      </c>
      <c r="V16" s="13">
        <f t="shared" si="13"/>
        <v>0</v>
      </c>
      <c r="W16" s="13">
        <f t="shared" si="14"/>
        <v>0</v>
      </c>
      <c r="X16" s="13">
        <f t="shared" si="15"/>
        <v>-237.26</v>
      </c>
      <c r="Y16" s="13">
        <f t="shared" si="16"/>
        <v>-587.4598412173337</v>
      </c>
      <c r="Z16" s="13">
        <f t="shared" si="17"/>
        <v>-587.4598412173337</v>
      </c>
      <c r="AA16" s="13">
        <f t="shared" si="18"/>
        <v>310.7401587826663</v>
      </c>
    </row>
    <row r="17" spans="1:27" s="3" customFormat="1" ht="15.75">
      <c r="A17" s="11">
        <v>12</v>
      </c>
      <c r="B17" s="56" t="s">
        <v>45</v>
      </c>
      <c r="C17" s="12">
        <v>1.02</v>
      </c>
      <c r="D17" s="12">
        <v>4721</v>
      </c>
      <c r="E17" s="12"/>
      <c r="F17" s="12"/>
      <c r="G17" s="13">
        <f t="shared" si="1"/>
        <v>4721</v>
      </c>
      <c r="H17" s="13">
        <f t="shared" si="2"/>
        <v>4628.4</v>
      </c>
      <c r="I17" s="14">
        <f t="shared" si="3"/>
        <v>1.78</v>
      </c>
      <c r="J17" s="57">
        <v>3.866</v>
      </c>
      <c r="K17" s="14">
        <f t="shared" si="4"/>
        <v>0.46</v>
      </c>
      <c r="L17" s="13">
        <f t="shared" si="5"/>
        <v>954.5281285266483</v>
      </c>
      <c r="M17" s="15">
        <f t="shared" si="6"/>
        <v>0.14799999999999996</v>
      </c>
      <c r="N17" s="13">
        <f t="shared" si="7"/>
        <v>1520</v>
      </c>
      <c r="O17" s="13">
        <f t="shared" si="8"/>
        <v>1520</v>
      </c>
      <c r="P17" s="60">
        <f t="shared" si="9"/>
        <v>1086.7</v>
      </c>
      <c r="Q17" s="16">
        <f t="shared" si="10"/>
        <v>0.57</v>
      </c>
      <c r="R17" s="13">
        <v>553.1</v>
      </c>
      <c r="S17" s="13">
        <f t="shared" si="11"/>
        <v>1086.7</v>
      </c>
      <c r="T17" s="13">
        <f t="shared" si="19"/>
        <v>196.47</v>
      </c>
      <c r="U17" s="13">
        <f t="shared" si="12"/>
        <v>0</v>
      </c>
      <c r="V17" s="13">
        <f t="shared" si="13"/>
        <v>0</v>
      </c>
      <c r="W17" s="13">
        <f t="shared" si="14"/>
        <v>0</v>
      </c>
      <c r="X17" s="13">
        <f t="shared" si="15"/>
        <v>-70.97</v>
      </c>
      <c r="Y17" s="13">
        <f t="shared" si="16"/>
        <v>-392.5438947421998</v>
      </c>
      <c r="Z17" s="13">
        <f t="shared" si="17"/>
        <v>-392.5438947421998</v>
      </c>
      <c r="AA17" s="13">
        <f t="shared" si="18"/>
        <v>694.1561052578002</v>
      </c>
    </row>
    <row r="18" spans="1:27" s="26" customFormat="1" ht="14.25">
      <c r="A18" s="18"/>
      <c r="B18" s="19" t="s">
        <v>26</v>
      </c>
      <c r="C18" s="20">
        <f>SUM(C6:C17)</f>
        <v>61.541999999999994</v>
      </c>
      <c r="D18" s="20">
        <f>SUM(D6:D17)</f>
        <v>159150</v>
      </c>
      <c r="E18" s="20">
        <f>SUM(E6:E17)</f>
        <v>1129</v>
      </c>
      <c r="F18" s="20"/>
      <c r="G18" s="20">
        <f>SUM(G6:G17)</f>
        <v>160278.99999999997</v>
      </c>
      <c r="H18" s="21">
        <f t="shared" si="2"/>
        <v>2604.4</v>
      </c>
      <c r="I18" s="22">
        <v>1</v>
      </c>
      <c r="J18" s="22">
        <v>1</v>
      </c>
      <c r="K18" s="22">
        <v>1</v>
      </c>
      <c r="L18" s="23">
        <f>SUM(L6:L17)</f>
        <v>18556.095399491925</v>
      </c>
      <c r="M18" s="24"/>
      <c r="N18" s="20">
        <f aca="true" t="shared" si="20" ref="N18:S18">SUM(N6:N17)</f>
        <v>-44553.50000000001</v>
      </c>
      <c r="O18" s="20">
        <f t="shared" si="20"/>
        <v>25955.300000000003</v>
      </c>
      <c r="P18" s="61">
        <f t="shared" si="20"/>
        <v>18556.100000000002</v>
      </c>
      <c r="Q18" s="25">
        <f t="shared" si="20"/>
        <v>7.950000000000001</v>
      </c>
      <c r="R18" s="25">
        <f t="shared" si="20"/>
        <v>26408.8</v>
      </c>
      <c r="S18" s="25">
        <f t="shared" si="20"/>
        <v>18556.100000000002</v>
      </c>
      <c r="T18" s="21">
        <f>S18/R18*100</f>
        <v>70.26483596376967</v>
      </c>
      <c r="U18" s="21"/>
      <c r="V18" s="25">
        <f>SUM(V6:V17)</f>
        <v>6415.7</v>
      </c>
      <c r="W18" s="25">
        <f>SUM(W6:W17)</f>
        <v>1475.4999999999998</v>
      </c>
      <c r="X18" s="25"/>
      <c r="Y18" s="17">
        <f>SUM(Y6:Y17)</f>
        <v>-1476.506205969449</v>
      </c>
      <c r="Z18" s="17">
        <f>SUM(Z6:Z17)</f>
        <v>-1.0062059694492405</v>
      </c>
      <c r="AA18" s="17">
        <f>SUM(AA6:AA17)</f>
        <v>18555.093794030552</v>
      </c>
    </row>
    <row r="19" spans="2:27" ht="25.5">
      <c r="B19" s="1" t="s">
        <v>27</v>
      </c>
      <c r="C19" s="27"/>
      <c r="D19" s="27"/>
      <c r="E19" s="27"/>
      <c r="F19" s="27"/>
      <c r="G19" s="27"/>
      <c r="H19" s="28" t="s">
        <v>30</v>
      </c>
      <c r="I19" s="54">
        <v>18556.1</v>
      </c>
      <c r="J19" s="51" t="s">
        <v>29</v>
      </c>
      <c r="K19" s="30">
        <f>ROUND(L19*1.1,3)</f>
        <v>0.608</v>
      </c>
      <c r="L19" s="53">
        <v>0.5529435</v>
      </c>
      <c r="M19" s="73" t="s">
        <v>30</v>
      </c>
      <c r="N19" s="73"/>
      <c r="O19" s="31">
        <v>18556.1</v>
      </c>
      <c r="P19" s="29"/>
      <c r="U19" s="33"/>
      <c r="V19" s="33"/>
      <c r="W19" s="33"/>
      <c r="X19" s="52">
        <v>125.5</v>
      </c>
      <c r="Y19" s="35">
        <f>W18+Y18</f>
        <v>-1.0062059694491836</v>
      </c>
      <c r="Z19" s="29"/>
      <c r="AA19" s="29"/>
    </row>
    <row r="20" spans="3:27" s="36" customFormat="1" ht="12.75">
      <c r="C20" s="37"/>
      <c r="D20" s="37"/>
      <c r="E20" s="37"/>
      <c r="F20" s="37"/>
      <c r="G20" s="37"/>
      <c r="H20" s="38"/>
      <c r="I20" s="29"/>
      <c r="J20" s="50"/>
      <c r="K20" s="39"/>
      <c r="L20" s="31">
        <f>+L18-O19</f>
        <v>-0.004600508073053788</v>
      </c>
      <c r="M20" s="40"/>
      <c r="N20" s="41"/>
      <c r="O20" s="41"/>
      <c r="P20" s="27">
        <f>P18-O19</f>
        <v>0</v>
      </c>
      <c r="Q20" s="42"/>
      <c r="U20" s="43"/>
      <c r="V20" s="43"/>
      <c r="W20" s="43"/>
      <c r="X20" s="44"/>
      <c r="Y20" s="45"/>
      <c r="AA20" s="34"/>
    </row>
    <row r="21" spans="7:8" ht="12.75">
      <c r="G21" s="37"/>
      <c r="H21" s="46"/>
    </row>
    <row r="22" ht="12.75">
      <c r="X22" s="34"/>
    </row>
  </sheetData>
  <sheetProtection formatCells="0" formatColumns="0" formatRows="0" insertColumns="0" insertRows="0" insertHyperlinks="0" deleteColumns="0" deleteRows="0" sort="0" autoFilter="0" pivotTables="0"/>
  <autoFilter ref="A5:AA21"/>
  <mergeCells count="26">
    <mergeCell ref="AA3:AA4"/>
    <mergeCell ref="X3:Y3"/>
    <mergeCell ref="Z3:Z4"/>
    <mergeCell ref="C1:Q1"/>
    <mergeCell ref="Q3:Q4"/>
    <mergeCell ref="R3:T3"/>
    <mergeCell ref="R2:AA2"/>
    <mergeCell ref="D2:Q2"/>
    <mergeCell ref="D3:D4"/>
    <mergeCell ref="U3:W3"/>
    <mergeCell ref="A2:A4"/>
    <mergeCell ref="B2:B4"/>
    <mergeCell ref="C2:C4"/>
    <mergeCell ref="M19:N19"/>
    <mergeCell ref="M3:M4"/>
    <mergeCell ref="F3:F4"/>
    <mergeCell ref="E3:E4"/>
    <mergeCell ref="G3:G4"/>
    <mergeCell ref="I3:I4"/>
    <mergeCell ref="H3:H4"/>
    <mergeCell ref="P3:P4"/>
    <mergeCell ref="J3:J4"/>
    <mergeCell ref="K3:K4"/>
    <mergeCell ref="O3:O4"/>
    <mergeCell ref="L3:L4"/>
    <mergeCell ref="N3:N4"/>
  </mergeCells>
  <printOptions/>
  <pageMargins left="0.1968503937007874" right="0.1968503937007874" top="0.1968503937007874" bottom="0.1968503937007874" header="0" footer="0"/>
  <pageSetup fitToHeight="1" fitToWidth="1" horizontalDpi="300" verticalDpi="300" orientation="landscape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КочесоковаТЕ</dc:creator>
  <cp:keywords/>
  <dc:description/>
  <cp:lastModifiedBy>USER</cp:lastModifiedBy>
  <cp:lastPrinted>2011-12-08T08:35:42Z</cp:lastPrinted>
  <dcterms:created xsi:type="dcterms:W3CDTF">2009-09-28T10:10:36Z</dcterms:created>
  <dcterms:modified xsi:type="dcterms:W3CDTF">2011-12-08T08:35:49Z</dcterms:modified>
  <cp:category/>
  <cp:version/>
  <cp:contentType/>
  <cp:contentStatus/>
</cp:coreProperties>
</file>