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updateLinks="never"/>
  <bookViews>
    <workbookView xWindow="-120" yWindow="600" windowWidth="20730" windowHeight="11040" tabRatio="809" activeTab="3"/>
  </bookViews>
  <sheets>
    <sheet name="Расчет номинала" sheetId="1" r:id="rId1"/>
    <sheet name="Затраты на содержание УДО" sheetId="7" r:id="rId2"/>
    <sheet name="Расчет нормативной стоимости" sheetId="4" r:id="rId3"/>
    <sheet name="Сходимость модели ПФ" sheetId="5" r:id="rId4"/>
    <sheet name="Общеразв. программы НЕ ПФ " sheetId="8" r:id="rId5"/>
    <sheet name="Уточнение мунзадания" sheetId="6" r:id="rId6"/>
    <sheet name="расчет уточнения часов" sheetId="9" r:id="rId7"/>
    <sheet name="Лист2" sheetId="10" r:id="rId8"/>
  </sheets>
  <externalReferences>
    <externalReference r:id="rId9"/>
    <externalReference r:id="rId10"/>
  </externalReferences>
  <definedNames>
    <definedName name="_xlnm._FilterDatabase" localSheetId="3" hidden="1">'Сходимость модели ПФ'!$A$1:$P$26</definedName>
    <definedName name="_xlnm.Print_Titles" localSheetId="1">'Затраты на содержание УДО'!$2:$2</definedName>
    <definedName name="_xlnm.Print_Titles" localSheetId="3">'Сходимость модели ПФ'!$1:$1</definedName>
    <definedName name="_xlnm.Print_Area" localSheetId="1">'Затраты на содержание УДО'!$A$1:$N$31</definedName>
    <definedName name="_xlnm.Print_Area" localSheetId="4">'Общеразв. программы НЕ ПФ '!$A$1:$H$106</definedName>
    <definedName name="_xlnm.Print_Area" localSheetId="0">'Расчет номинала'!$A$1:$I$19</definedName>
    <definedName name="_xlnm.Print_Area" localSheetId="2">'Расчет нормативной стоимости'!$A$1:$K$16</definedName>
    <definedName name="_xlnm.Print_Area" localSheetId="6">'расчет уточнения часов'!$A$4:$J$26</definedName>
    <definedName name="_xlnm.Print_Area" localSheetId="3">'Сходимость модели ПФ'!$A$1:$M$26</definedName>
    <definedName name="_xlnm.Print_Area" localSheetId="5">'Уточнение мунзадания'!$A$1:$H$26</definedName>
  </definedNames>
  <calcPr calcId="145621" iterate="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6" l="1"/>
  <c r="E8" i="6"/>
  <c r="G7" i="5"/>
  <c r="G3" i="5"/>
  <c r="E19" i="6"/>
  <c r="G74" i="8"/>
  <c r="E20" i="6"/>
  <c r="G83" i="8"/>
  <c r="G6" i="5"/>
  <c r="E24" i="6" l="1"/>
  <c r="F9" i="4" l="1"/>
  <c r="E23" i="6" l="1"/>
  <c r="H100" i="8"/>
  <c r="E6" i="9"/>
  <c r="F8" i="4" l="1"/>
  <c r="F7" i="4"/>
  <c r="F69" i="8" l="1"/>
  <c r="H69" i="8" s="1"/>
  <c r="E7" i="6"/>
  <c r="D4" i="6"/>
  <c r="AF17" i="1" l="1"/>
  <c r="D2" i="1" l="1"/>
  <c r="D21" i="6" l="1"/>
  <c r="D22" i="6"/>
  <c r="E9" i="6"/>
  <c r="E10" i="6"/>
  <c r="E11" i="6"/>
  <c r="D9" i="6"/>
  <c r="D10" i="6"/>
  <c r="D11" i="6"/>
  <c r="E9" i="9"/>
  <c r="E10" i="9"/>
  <c r="E11" i="9"/>
  <c r="D6" i="6"/>
  <c r="F11" i="9"/>
  <c r="F6" i="9"/>
  <c r="O2" i="5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1" i="8"/>
  <c r="I102" i="8"/>
  <c r="I103" i="8"/>
  <c r="J96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7" i="8"/>
  <c r="J98" i="8"/>
  <c r="J99" i="8"/>
  <c r="J101" i="8"/>
  <c r="J102" i="8"/>
  <c r="J103" i="8"/>
  <c r="K71" i="8" l="1"/>
  <c r="K76" i="8"/>
  <c r="K93" i="8"/>
  <c r="K81" i="8"/>
  <c r="K19" i="8"/>
  <c r="F24" i="9"/>
  <c r="G4" i="4" l="1"/>
  <c r="H4" i="4"/>
  <c r="K4" i="4"/>
  <c r="F4" i="4"/>
  <c r="G180" i="9" l="1"/>
  <c r="D180" i="9"/>
  <c r="B179" i="9"/>
  <c r="H179" i="9" s="1"/>
  <c r="C178" i="9"/>
  <c r="B178" i="9"/>
  <c r="H178" i="9" s="1"/>
  <c r="H177" i="9"/>
  <c r="C177" i="9"/>
  <c r="B177" i="9"/>
  <c r="B176" i="9"/>
  <c r="H176" i="9" s="1"/>
  <c r="B175" i="9"/>
  <c r="H175" i="9" s="1"/>
  <c r="B174" i="9"/>
  <c r="H174" i="9" s="1"/>
  <c r="A172" i="9"/>
  <c r="G168" i="9"/>
  <c r="D168" i="9"/>
  <c r="B167" i="9"/>
  <c r="H167" i="9" s="1"/>
  <c r="C166" i="9"/>
  <c r="B166" i="9"/>
  <c r="H166" i="9" s="1"/>
  <c r="C165" i="9"/>
  <c r="B165" i="9"/>
  <c r="H165" i="9" s="1"/>
  <c r="B164" i="9"/>
  <c r="H164" i="9" s="1"/>
  <c r="B163" i="9"/>
  <c r="H163" i="9" s="1"/>
  <c r="B162" i="9"/>
  <c r="H162" i="9" s="1"/>
  <c r="A160" i="9"/>
  <c r="G156" i="9"/>
  <c r="D156" i="9"/>
  <c r="B155" i="9"/>
  <c r="H155" i="9" s="1"/>
  <c r="C154" i="9"/>
  <c r="B154" i="9"/>
  <c r="H154" i="9" s="1"/>
  <c r="C153" i="9"/>
  <c r="B153" i="9"/>
  <c r="H153" i="9" s="1"/>
  <c r="B152" i="9"/>
  <c r="H152" i="9" s="1"/>
  <c r="B151" i="9"/>
  <c r="H151" i="9" s="1"/>
  <c r="B150" i="9"/>
  <c r="H150" i="9" s="1"/>
  <c r="A148" i="9"/>
  <c r="G144" i="9"/>
  <c r="D144" i="9"/>
  <c r="B143" i="9"/>
  <c r="H143" i="9" s="1"/>
  <c r="C142" i="9"/>
  <c r="B142" i="9"/>
  <c r="H142" i="9" s="1"/>
  <c r="C141" i="9"/>
  <c r="B141" i="9"/>
  <c r="H141" i="9" s="1"/>
  <c r="B140" i="9"/>
  <c r="H140" i="9" s="1"/>
  <c r="B139" i="9"/>
  <c r="H139" i="9" s="1"/>
  <c r="B138" i="9"/>
  <c r="H138" i="9" s="1"/>
  <c r="A136" i="9"/>
  <c r="G132" i="9"/>
  <c r="D132" i="9"/>
  <c r="B131" i="9"/>
  <c r="H131" i="9" s="1"/>
  <c r="C130" i="9"/>
  <c r="B130" i="9"/>
  <c r="H130" i="9" s="1"/>
  <c r="C129" i="9"/>
  <c r="B129" i="9"/>
  <c r="H129" i="9" s="1"/>
  <c r="H128" i="9"/>
  <c r="B128" i="9"/>
  <c r="B127" i="9"/>
  <c r="H127" i="9" s="1"/>
  <c r="B126" i="9"/>
  <c r="H126" i="9" s="1"/>
  <c r="A124" i="9"/>
  <c r="G120" i="9"/>
  <c r="D120" i="9"/>
  <c r="B119" i="9"/>
  <c r="H119" i="9" s="1"/>
  <c r="C118" i="9"/>
  <c r="B118" i="9"/>
  <c r="H118" i="9" s="1"/>
  <c r="C117" i="9"/>
  <c r="B117" i="9"/>
  <c r="H117" i="9" s="1"/>
  <c r="B116" i="9"/>
  <c r="H116" i="9" s="1"/>
  <c r="B115" i="9"/>
  <c r="H115" i="9" s="1"/>
  <c r="B114" i="9"/>
  <c r="H114" i="9" s="1"/>
  <c r="A112" i="9"/>
  <c r="G108" i="9"/>
  <c r="D108" i="9"/>
  <c r="B107" i="9"/>
  <c r="H107" i="9" s="1"/>
  <c r="C106" i="9"/>
  <c r="B106" i="9"/>
  <c r="H106" i="9" s="1"/>
  <c r="C105" i="9"/>
  <c r="B105" i="9"/>
  <c r="H105" i="9" s="1"/>
  <c r="B104" i="9"/>
  <c r="H104" i="9" s="1"/>
  <c r="B103" i="9"/>
  <c r="H103" i="9" s="1"/>
  <c r="B102" i="9"/>
  <c r="H102" i="9" s="1"/>
  <c r="A100" i="9"/>
  <c r="G96" i="9"/>
  <c r="D96" i="9"/>
  <c r="B95" i="9"/>
  <c r="H95" i="9" s="1"/>
  <c r="C94" i="9"/>
  <c r="B94" i="9"/>
  <c r="H94" i="9" s="1"/>
  <c r="C93" i="9"/>
  <c r="B93" i="9"/>
  <c r="H93" i="9" s="1"/>
  <c r="B92" i="9"/>
  <c r="H92" i="9" s="1"/>
  <c r="B91" i="9"/>
  <c r="H91" i="9" s="1"/>
  <c r="B90" i="9"/>
  <c r="H90" i="9" s="1"/>
  <c r="A88" i="9"/>
  <c r="G84" i="9"/>
  <c r="D84" i="9"/>
  <c r="B83" i="9"/>
  <c r="H83" i="9" s="1"/>
  <c r="C82" i="9"/>
  <c r="B82" i="9"/>
  <c r="H82" i="9" s="1"/>
  <c r="C81" i="9"/>
  <c r="B81" i="9"/>
  <c r="H81" i="9" s="1"/>
  <c r="B80" i="9"/>
  <c r="H80" i="9" s="1"/>
  <c r="B79" i="9"/>
  <c r="H79" i="9" s="1"/>
  <c r="B78" i="9"/>
  <c r="H78" i="9" s="1"/>
  <c r="A76" i="9"/>
  <c r="G72" i="9"/>
  <c r="D72" i="9"/>
  <c r="B71" i="9"/>
  <c r="H71" i="9" s="1"/>
  <c r="C70" i="9"/>
  <c r="B70" i="9"/>
  <c r="H70" i="9" s="1"/>
  <c r="C69" i="9"/>
  <c r="B69" i="9"/>
  <c r="H69" i="9" s="1"/>
  <c r="B68" i="9"/>
  <c r="H68" i="9" s="1"/>
  <c r="B67" i="9"/>
  <c r="H67" i="9" s="1"/>
  <c r="B66" i="9"/>
  <c r="H66" i="9" s="1"/>
  <c r="A64" i="9"/>
  <c r="G60" i="9"/>
  <c r="D60" i="9"/>
  <c r="B59" i="9"/>
  <c r="H59" i="9" s="1"/>
  <c r="C58" i="9"/>
  <c r="B58" i="9"/>
  <c r="H58" i="9" s="1"/>
  <c r="C57" i="9"/>
  <c r="B57" i="9"/>
  <c r="H57" i="9" s="1"/>
  <c r="B56" i="9"/>
  <c r="H56" i="9" s="1"/>
  <c r="B55" i="9"/>
  <c r="H55" i="9" s="1"/>
  <c r="B54" i="9"/>
  <c r="H54" i="9" s="1"/>
  <c r="A52" i="9"/>
  <c r="G48" i="9"/>
  <c r="D48" i="9"/>
  <c r="B47" i="9"/>
  <c r="H47" i="9" s="1"/>
  <c r="C46" i="9"/>
  <c r="B46" i="9"/>
  <c r="H46" i="9" s="1"/>
  <c r="C45" i="9"/>
  <c r="B45" i="9"/>
  <c r="H45" i="9" s="1"/>
  <c r="B44" i="9"/>
  <c r="H44" i="9" s="1"/>
  <c r="B43" i="9"/>
  <c r="H43" i="9" s="1"/>
  <c r="B42" i="9"/>
  <c r="H42" i="9" s="1"/>
  <c r="A40" i="9"/>
  <c r="G36" i="9"/>
  <c r="D36" i="9"/>
  <c r="B35" i="9"/>
  <c r="H35" i="9" s="1"/>
  <c r="C34" i="9"/>
  <c r="B34" i="9"/>
  <c r="H34" i="9" s="1"/>
  <c r="C33" i="9"/>
  <c r="B33" i="9"/>
  <c r="H33" i="9" s="1"/>
  <c r="H32" i="9"/>
  <c r="B32" i="9"/>
  <c r="B31" i="9"/>
  <c r="H31" i="9" s="1"/>
  <c r="B30" i="9"/>
  <c r="H30" i="9" s="1"/>
  <c r="A28" i="9"/>
  <c r="M23" i="9"/>
  <c r="D23" i="9"/>
  <c r="D22" i="9"/>
  <c r="C22" i="9"/>
  <c r="B22" i="9"/>
  <c r="D21" i="9"/>
  <c r="C21" i="9"/>
  <c r="B21" i="9"/>
  <c r="M20" i="9"/>
  <c r="M24" i="9" s="1"/>
  <c r="D20" i="9"/>
  <c r="M19" i="9"/>
  <c r="D19" i="9"/>
  <c r="M18" i="9"/>
  <c r="D18" i="9"/>
  <c r="A16" i="9"/>
  <c r="D12" i="9"/>
  <c r="B11" i="9"/>
  <c r="H11" i="9" s="1"/>
  <c r="C10" i="9"/>
  <c r="B10" i="9"/>
  <c r="H10" i="9" s="1"/>
  <c r="C9" i="9"/>
  <c r="B9" i="9"/>
  <c r="H9" i="9" s="1"/>
  <c r="B8" i="9"/>
  <c r="H8" i="9" s="1"/>
  <c r="B7" i="9"/>
  <c r="H7" i="9" s="1"/>
  <c r="B6" i="9"/>
  <c r="A4" i="9"/>
  <c r="B1" i="9"/>
  <c r="D24" i="9" l="1"/>
  <c r="H72" i="9"/>
  <c r="I64" i="9" s="1"/>
  <c r="H120" i="9"/>
  <c r="I112" i="9" s="1"/>
  <c r="H168" i="9"/>
  <c r="I160" i="9" s="1"/>
  <c r="G12" i="9"/>
  <c r="M12" i="9" s="1"/>
  <c r="H156" i="9"/>
  <c r="I148" i="9" s="1"/>
  <c r="H36" i="9"/>
  <c r="I28" i="9" s="1"/>
  <c r="H48" i="9"/>
  <c r="I40" i="9" s="1"/>
  <c r="H84" i="9"/>
  <c r="I76" i="9" s="1"/>
  <c r="H96" i="9"/>
  <c r="I88" i="9" s="1"/>
  <c r="H132" i="9"/>
  <c r="I124" i="9" s="1"/>
  <c r="H144" i="9"/>
  <c r="I136" i="9" s="1"/>
  <c r="H180" i="9"/>
  <c r="I172" i="9" s="1"/>
  <c r="H60" i="9"/>
  <c r="I52" i="9" s="1"/>
  <c r="H108" i="9"/>
  <c r="I100" i="9" s="1"/>
  <c r="H6" i="9"/>
  <c r="H12" i="9" s="1"/>
  <c r="I4" i="9" s="1"/>
  <c r="O17" i="5" l="1"/>
  <c r="O3" i="5"/>
  <c r="F7" i="9" s="1"/>
  <c r="E7" i="9" s="1"/>
  <c r="D7" i="6" s="1"/>
  <c r="O4" i="5"/>
  <c r="O5" i="5"/>
  <c r="O6" i="5"/>
  <c r="O7" i="5"/>
  <c r="O8" i="5"/>
  <c r="O9" i="5"/>
  <c r="O10" i="5"/>
  <c r="O11" i="5"/>
  <c r="O12" i="5"/>
  <c r="O13" i="5"/>
  <c r="O14" i="5"/>
  <c r="O15" i="5"/>
  <c r="O16" i="5"/>
  <c r="F8" i="9" l="1"/>
  <c r="E8" i="9" s="1"/>
  <c r="F12" i="9"/>
  <c r="P17" i="5"/>
  <c r="F10" i="4"/>
  <c r="D8" i="6" l="1"/>
  <c r="E12" i="9"/>
  <c r="I2" i="1"/>
  <c r="O4" i="7" l="1"/>
  <c r="P4" i="7" s="1"/>
  <c r="P3" i="7"/>
  <c r="O3" i="7"/>
  <c r="G8" i="4" l="1"/>
  <c r="G19" i="8"/>
  <c r="I4" i="7"/>
  <c r="J4" i="7"/>
  <c r="J3" i="7"/>
  <c r="F4" i="7"/>
  <c r="F3" i="7"/>
  <c r="F14" i="4" l="1"/>
  <c r="C15" i="1" l="1"/>
  <c r="C21" i="1" s="1"/>
  <c r="G20" i="8" l="1"/>
  <c r="G65" i="8"/>
  <c r="G66" i="8"/>
  <c r="G58" i="8"/>
  <c r="G54" i="8"/>
  <c r="G59" i="8"/>
  <c r="G52" i="8"/>
  <c r="G49" i="8"/>
  <c r="G42" i="8"/>
  <c r="G41" i="8"/>
  <c r="G25" i="8"/>
  <c r="G17" i="8"/>
  <c r="G18" i="8"/>
  <c r="G67" i="8"/>
  <c r="G13" i="8"/>
  <c r="G85" i="8" l="1"/>
  <c r="G103" i="8"/>
  <c r="G99" i="8"/>
  <c r="G78" i="8"/>
  <c r="G77" i="8"/>
  <c r="G104" i="8" s="1"/>
  <c r="E12" i="6" l="1"/>
  <c r="H19" i="8" l="1"/>
  <c r="H20" i="8"/>
  <c r="H21" i="8"/>
  <c r="H22" i="8"/>
  <c r="H23" i="8"/>
  <c r="H24" i="8"/>
  <c r="H107" i="8" s="1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H71" i="8"/>
  <c r="H72" i="8"/>
  <c r="H73" i="8"/>
  <c r="H74" i="8"/>
  <c r="L74" i="8" s="1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1" i="8"/>
  <c r="H102" i="8"/>
  <c r="H103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H108" i="8" l="1"/>
  <c r="H104" i="8"/>
  <c r="J10" i="8"/>
  <c r="I10" i="8"/>
  <c r="J18" i="8"/>
  <c r="I18" i="8"/>
  <c r="H65" i="8"/>
  <c r="I65" i="8"/>
  <c r="J65" i="8"/>
  <c r="J5" i="8"/>
  <c r="I5" i="8"/>
  <c r="J9" i="8"/>
  <c r="I9" i="8"/>
  <c r="J13" i="8"/>
  <c r="I13" i="8"/>
  <c r="J17" i="8"/>
  <c r="I17" i="8"/>
  <c r="K77" i="8"/>
  <c r="H66" i="8"/>
  <c r="J66" i="8"/>
  <c r="I66" i="8"/>
  <c r="H62" i="8"/>
  <c r="J62" i="8"/>
  <c r="I62" i="8"/>
  <c r="H58" i="8"/>
  <c r="J58" i="8"/>
  <c r="I58" i="8"/>
  <c r="H54" i="8"/>
  <c r="J54" i="8"/>
  <c r="I54" i="8"/>
  <c r="H50" i="8"/>
  <c r="J50" i="8"/>
  <c r="I50" i="8"/>
  <c r="J2" i="8"/>
  <c r="H2" i="8"/>
  <c r="I2" i="8"/>
  <c r="K72" i="8"/>
  <c r="H61" i="8"/>
  <c r="J61" i="8"/>
  <c r="I61" i="8"/>
  <c r="H49" i="8"/>
  <c r="I49" i="8"/>
  <c r="J49" i="8"/>
  <c r="J14" i="8"/>
  <c r="I14" i="8"/>
  <c r="H57" i="8"/>
  <c r="J57" i="8"/>
  <c r="I57" i="8"/>
  <c r="I3" i="8"/>
  <c r="J3" i="8"/>
  <c r="I11" i="8"/>
  <c r="J11" i="8"/>
  <c r="I15" i="8"/>
  <c r="J15" i="8"/>
  <c r="H68" i="8"/>
  <c r="I68" i="8"/>
  <c r="J68" i="8"/>
  <c r="H64" i="8"/>
  <c r="I64" i="8"/>
  <c r="J64" i="8"/>
  <c r="H60" i="8"/>
  <c r="I60" i="8"/>
  <c r="J60" i="8"/>
  <c r="H56" i="8"/>
  <c r="I56" i="8"/>
  <c r="J56" i="8"/>
  <c r="H52" i="8"/>
  <c r="I52" i="8"/>
  <c r="J52" i="8"/>
  <c r="J6" i="8"/>
  <c r="I6" i="8"/>
  <c r="H53" i="8"/>
  <c r="I53" i="8"/>
  <c r="J53" i="8"/>
  <c r="I7" i="8"/>
  <c r="J7" i="8"/>
  <c r="J4" i="8"/>
  <c r="I4" i="8"/>
  <c r="I8" i="8"/>
  <c r="J8" i="8"/>
  <c r="I12" i="8"/>
  <c r="J12" i="8"/>
  <c r="I16" i="8"/>
  <c r="J16" i="8"/>
  <c r="K94" i="8"/>
  <c r="K82" i="8"/>
  <c r="H67" i="8"/>
  <c r="K68" i="8" s="1"/>
  <c r="I67" i="8"/>
  <c r="K67" i="8" s="1"/>
  <c r="J67" i="8"/>
  <c r="H63" i="8"/>
  <c r="I63" i="8"/>
  <c r="J63" i="8"/>
  <c r="H59" i="8"/>
  <c r="I59" i="8"/>
  <c r="J59" i="8"/>
  <c r="H55" i="8"/>
  <c r="I55" i="8"/>
  <c r="J55" i="8"/>
  <c r="H51" i="8"/>
  <c r="I51" i="8"/>
  <c r="J51" i="8"/>
  <c r="K20" i="8"/>
  <c r="D14" i="1"/>
  <c r="D11" i="1"/>
  <c r="D10" i="1"/>
  <c r="D9" i="1"/>
  <c r="K50" i="8" l="1"/>
  <c r="E19" i="9"/>
  <c r="D19" i="6" s="1"/>
  <c r="E18" i="6"/>
  <c r="E18" i="9"/>
  <c r="D18" i="6" s="1"/>
  <c r="K2" i="8"/>
  <c r="E20" i="9"/>
  <c r="D20" i="6" s="1"/>
  <c r="K49" i="8"/>
  <c r="B18" i="9"/>
  <c r="H18" i="9" s="1"/>
  <c r="AF9" i="1"/>
  <c r="B19" i="9"/>
  <c r="H19" i="9" s="1"/>
  <c r="AF10" i="1"/>
  <c r="G18" i="4" s="1"/>
  <c r="B20" i="9"/>
  <c r="H20" i="9" s="1"/>
  <c r="D21" i="1"/>
  <c r="AF11" i="1"/>
  <c r="H18" i="4" s="1"/>
  <c r="B23" i="9"/>
  <c r="AF14" i="1"/>
  <c r="K18" i="4" s="1"/>
  <c r="B16" i="1"/>
  <c r="D4" i="9" s="1"/>
  <c r="J14" i="9" s="1"/>
  <c r="K14" i="9" s="1"/>
  <c r="H23" i="9" l="1"/>
  <c r="E23" i="9"/>
  <c r="D23" i="6" s="1"/>
  <c r="F18" i="4"/>
  <c r="L18" i="4" s="1"/>
  <c r="AF15" i="1"/>
  <c r="H8" i="4"/>
  <c r="E15" i="1" l="1"/>
  <c r="D16" i="1" l="1"/>
  <c r="D16" i="9" s="1"/>
  <c r="E21" i="1"/>
  <c r="M4" i="7"/>
  <c r="K4" i="7"/>
  <c r="K3" i="7"/>
  <c r="I3" i="7"/>
  <c r="C4" i="7"/>
  <c r="C3" i="7"/>
  <c r="M3" i="7"/>
  <c r="M18" i="7" l="1"/>
  <c r="N18" i="7" s="1"/>
  <c r="B4" i="7"/>
  <c r="B3" i="7"/>
  <c r="D18" i="7"/>
  <c r="E18" i="7"/>
  <c r="F18" i="7"/>
  <c r="G18" i="7"/>
  <c r="H18" i="7"/>
  <c r="I18" i="7"/>
  <c r="J18" i="7"/>
  <c r="K18" i="7"/>
  <c r="C18" i="7"/>
  <c r="B176" i="6" l="1"/>
  <c r="B177" i="6"/>
  <c r="F177" i="6" s="1"/>
  <c r="B178" i="6"/>
  <c r="F178" i="6" s="1"/>
  <c r="B179" i="6"/>
  <c r="B175" i="6"/>
  <c r="B174" i="6"/>
  <c r="F174" i="6" s="1"/>
  <c r="A172" i="6"/>
  <c r="E180" i="6"/>
  <c r="D180" i="6"/>
  <c r="F176" i="6"/>
  <c r="B164" i="6"/>
  <c r="F164" i="6" s="1"/>
  <c r="B165" i="6"/>
  <c r="F165" i="6" s="1"/>
  <c r="B166" i="6"/>
  <c r="F166" i="6" s="1"/>
  <c r="B167" i="6"/>
  <c r="B163" i="6"/>
  <c r="B162" i="6"/>
  <c r="F162" i="6" s="1"/>
  <c r="A160" i="6"/>
  <c r="E168" i="6"/>
  <c r="D168" i="6"/>
  <c r="B152" i="6"/>
  <c r="F152" i="6" s="1"/>
  <c r="B153" i="6"/>
  <c r="F153" i="6" s="1"/>
  <c r="B154" i="6"/>
  <c r="F154" i="6" s="1"/>
  <c r="B155" i="6"/>
  <c r="B151" i="6"/>
  <c r="B150" i="6"/>
  <c r="F150" i="6" s="1"/>
  <c r="A148" i="6"/>
  <c r="E156" i="6"/>
  <c r="D156" i="6"/>
  <c r="B140" i="6"/>
  <c r="F140" i="6" s="1"/>
  <c r="B141" i="6"/>
  <c r="F141" i="6" s="1"/>
  <c r="B142" i="6"/>
  <c r="F142" i="6" s="1"/>
  <c r="B143" i="6"/>
  <c r="B139" i="6"/>
  <c r="B138" i="6"/>
  <c r="F138" i="6" s="1"/>
  <c r="A136" i="6"/>
  <c r="E144" i="6"/>
  <c r="D144" i="6"/>
  <c r="B128" i="6"/>
  <c r="F128" i="6" s="1"/>
  <c r="B129" i="6"/>
  <c r="F129" i="6" s="1"/>
  <c r="B130" i="6"/>
  <c r="F130" i="6" s="1"/>
  <c r="B131" i="6"/>
  <c r="F131" i="6" s="1"/>
  <c r="B127" i="6"/>
  <c r="B126" i="6"/>
  <c r="F126" i="6" s="1"/>
  <c r="A124" i="6"/>
  <c r="E132" i="6"/>
  <c r="D132" i="6"/>
  <c r="B116" i="6"/>
  <c r="F116" i="6" s="1"/>
  <c r="B117" i="6"/>
  <c r="B118" i="6"/>
  <c r="F118" i="6" s="1"/>
  <c r="B119" i="6"/>
  <c r="F119" i="6" s="1"/>
  <c r="B115" i="6"/>
  <c r="F115" i="6" s="1"/>
  <c r="B114" i="6"/>
  <c r="F114" i="6" s="1"/>
  <c r="A112" i="6"/>
  <c r="E120" i="6"/>
  <c r="D120" i="6"/>
  <c r="F117" i="6"/>
  <c r="B104" i="6"/>
  <c r="B105" i="6"/>
  <c r="B106" i="6"/>
  <c r="F106" i="6" s="1"/>
  <c r="B107" i="6"/>
  <c r="F107" i="6" s="1"/>
  <c r="B103" i="6"/>
  <c r="F103" i="6" s="1"/>
  <c r="B102" i="6"/>
  <c r="F102" i="6" s="1"/>
  <c r="A100" i="6"/>
  <c r="E108" i="6"/>
  <c r="D108" i="6"/>
  <c r="F105" i="6"/>
  <c r="F104" i="6"/>
  <c r="B92" i="6"/>
  <c r="F92" i="6" s="1"/>
  <c r="B93" i="6"/>
  <c r="B94" i="6"/>
  <c r="F94" i="6" s="1"/>
  <c r="B95" i="6"/>
  <c r="B91" i="6"/>
  <c r="B90" i="6"/>
  <c r="F90" i="6" s="1"/>
  <c r="A88" i="6"/>
  <c r="E96" i="6"/>
  <c r="D96" i="6"/>
  <c r="B80" i="6"/>
  <c r="F80" i="6" s="1"/>
  <c r="B81" i="6"/>
  <c r="B82" i="6"/>
  <c r="F82" i="6" s="1"/>
  <c r="B83" i="6"/>
  <c r="F83" i="6" s="1"/>
  <c r="B79" i="6"/>
  <c r="B78" i="6"/>
  <c r="F78" i="6" s="1"/>
  <c r="A76" i="6"/>
  <c r="E84" i="6"/>
  <c r="D84" i="6"/>
  <c r="F81" i="6"/>
  <c r="B68" i="6"/>
  <c r="F68" i="6" s="1"/>
  <c r="B69" i="6"/>
  <c r="B70" i="6"/>
  <c r="F70" i="6" s="1"/>
  <c r="B71" i="6"/>
  <c r="B67" i="6"/>
  <c r="F67" i="6" s="1"/>
  <c r="B66" i="6"/>
  <c r="F66" i="6" s="1"/>
  <c r="A64" i="6"/>
  <c r="E72" i="6"/>
  <c r="D72" i="6"/>
  <c r="F69" i="6"/>
  <c r="B56" i="6"/>
  <c r="F56" i="6" s="1"/>
  <c r="B57" i="6"/>
  <c r="F57" i="6" s="1"/>
  <c r="B58" i="6"/>
  <c r="F58" i="6" s="1"/>
  <c r="B59" i="6"/>
  <c r="F59" i="6" s="1"/>
  <c r="B55" i="6"/>
  <c r="B54" i="6"/>
  <c r="B44" i="6"/>
  <c r="F44" i="6" s="1"/>
  <c r="B45" i="6"/>
  <c r="F45" i="6" s="1"/>
  <c r="B46" i="6"/>
  <c r="F46" i="6" s="1"/>
  <c r="B47" i="6"/>
  <c r="F47" i="6" s="1"/>
  <c r="B43" i="6"/>
  <c r="F43" i="6" s="1"/>
  <c r="B42" i="6"/>
  <c r="A52" i="6"/>
  <c r="E60" i="6"/>
  <c r="D60" i="6"/>
  <c r="A40" i="6"/>
  <c r="E48" i="6"/>
  <c r="D48" i="6"/>
  <c r="B31" i="6"/>
  <c r="B32" i="6"/>
  <c r="F32" i="6" s="1"/>
  <c r="B33" i="6"/>
  <c r="F33" i="6" s="1"/>
  <c r="B34" i="6"/>
  <c r="F34" i="6" s="1"/>
  <c r="B35" i="6"/>
  <c r="F35" i="6" s="1"/>
  <c r="B30" i="6"/>
  <c r="A28" i="6"/>
  <c r="E36" i="6"/>
  <c r="D36" i="6"/>
  <c r="F179" i="6" l="1"/>
  <c r="F175" i="6"/>
  <c r="F167" i="6"/>
  <c r="F163" i="6"/>
  <c r="F155" i="6"/>
  <c r="F151" i="6"/>
  <c r="F143" i="6"/>
  <c r="F139" i="6"/>
  <c r="F127" i="6"/>
  <c r="F132" i="6" s="1"/>
  <c r="G124" i="6" s="1"/>
  <c r="F120" i="6"/>
  <c r="G112" i="6" s="1"/>
  <c r="F108" i="6"/>
  <c r="G100" i="6" s="1"/>
  <c r="F95" i="6"/>
  <c r="F93" i="6"/>
  <c r="F91" i="6"/>
  <c r="F79" i="6"/>
  <c r="F84" i="6" s="1"/>
  <c r="G76" i="6" s="1"/>
  <c r="F71" i="6"/>
  <c r="F72" i="6" s="1"/>
  <c r="G64" i="6" s="1"/>
  <c r="F55" i="6"/>
  <c r="F54" i="6"/>
  <c r="F60" i="6" s="1"/>
  <c r="G52" i="6" s="1"/>
  <c r="F42" i="6"/>
  <c r="F48" i="6" s="1"/>
  <c r="G40" i="6" s="1"/>
  <c r="F31" i="6"/>
  <c r="F30" i="6"/>
  <c r="G14" i="4"/>
  <c r="H14" i="4"/>
  <c r="I14" i="4"/>
  <c r="J14" i="4"/>
  <c r="K14" i="4"/>
  <c r="F168" i="6" l="1"/>
  <c r="G160" i="6" s="1"/>
  <c r="F96" i="6"/>
  <c r="G88" i="6" s="1"/>
  <c r="F144" i="6"/>
  <c r="G136" i="6" s="1"/>
  <c r="F156" i="6"/>
  <c r="G148" i="6" s="1"/>
  <c r="F180" i="6"/>
  <c r="G172" i="6" s="1"/>
  <c r="F36" i="6"/>
  <c r="G28" i="6" s="1"/>
  <c r="D24" i="6"/>
  <c r="H3" i="8" l="1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K3" i="8" l="1"/>
  <c r="K104" i="8" s="1"/>
  <c r="L24" i="7"/>
  <c r="K24" i="7"/>
  <c r="J24" i="7"/>
  <c r="I24" i="7"/>
  <c r="H24" i="7"/>
  <c r="F24" i="7"/>
  <c r="E24" i="7"/>
  <c r="D24" i="7"/>
  <c r="C24" i="7"/>
  <c r="K25" i="7"/>
  <c r="K26" i="7" s="1"/>
  <c r="J25" i="7"/>
  <c r="I25" i="7"/>
  <c r="H25" i="7"/>
  <c r="F25" i="7"/>
  <c r="F26" i="7" s="1"/>
  <c r="E25" i="7"/>
  <c r="D25" i="7"/>
  <c r="C25" i="7"/>
  <c r="M26" i="7"/>
  <c r="L4" i="7"/>
  <c r="L3" i="7"/>
  <c r="L18" i="7" l="1"/>
  <c r="C26" i="7"/>
  <c r="H26" i="7"/>
  <c r="H105" i="8"/>
  <c r="C6" i="4"/>
  <c r="F12" i="4" s="1"/>
  <c r="D26" i="7"/>
  <c r="I26" i="7"/>
  <c r="E26" i="7"/>
  <c r="J26" i="7"/>
  <c r="L25" i="7"/>
  <c r="L26" i="7" s="1"/>
  <c r="N26" i="7" s="1"/>
  <c r="G10" i="4" l="1"/>
  <c r="H10" i="4"/>
  <c r="K10" i="4"/>
  <c r="K8" i="4" l="1"/>
  <c r="G15" i="1" l="1"/>
  <c r="F16" i="1" s="1"/>
  <c r="I15" i="1"/>
  <c r="H16" i="1" s="1"/>
  <c r="K15" i="1"/>
  <c r="J16" i="1" s="1"/>
  <c r="D40" i="6" l="1"/>
  <c r="H50" i="6" s="1"/>
  <c r="D40" i="9"/>
  <c r="J50" i="9" s="1"/>
  <c r="D52" i="6"/>
  <c r="H62" i="6" s="1"/>
  <c r="D52" i="9"/>
  <c r="J62" i="9" s="1"/>
  <c r="D28" i="6"/>
  <c r="H38" i="6" s="1"/>
  <c r="D28" i="9"/>
  <c r="J38" i="9" s="1"/>
  <c r="A16" i="6"/>
  <c r="A4" i="6"/>
  <c r="D16" i="6"/>
  <c r="M15" i="1"/>
  <c r="L16" i="1" s="1"/>
  <c r="O15" i="1"/>
  <c r="N16" i="1" s="1"/>
  <c r="Q15" i="1"/>
  <c r="P16" i="1" s="1"/>
  <c r="S15" i="1"/>
  <c r="R16" i="1" s="1"/>
  <c r="U15" i="1"/>
  <c r="T16" i="1" s="1"/>
  <c r="W15" i="1"/>
  <c r="V16" i="1" s="1"/>
  <c r="Y15" i="1"/>
  <c r="X16" i="1" s="1"/>
  <c r="AA15" i="1"/>
  <c r="Z16" i="1" s="1"/>
  <c r="AC15" i="1"/>
  <c r="AB16" i="1" s="1"/>
  <c r="AE15" i="1"/>
  <c r="AD16" i="1" s="1"/>
  <c r="B19" i="6"/>
  <c r="B20" i="6"/>
  <c r="F20" i="6" s="1"/>
  <c r="B21" i="6"/>
  <c r="B22" i="6"/>
  <c r="B23" i="6"/>
  <c r="B18" i="6"/>
  <c r="F18" i="6" s="1"/>
  <c r="B7" i="6"/>
  <c r="B8" i="6"/>
  <c r="B9" i="6"/>
  <c r="F9" i="6" s="1"/>
  <c r="B10" i="6"/>
  <c r="B11" i="6"/>
  <c r="B6" i="6"/>
  <c r="F6" i="6" s="1"/>
  <c r="B1" i="6"/>
  <c r="D12" i="6"/>
  <c r="F2" i="4"/>
  <c r="F11" i="4" s="1"/>
  <c r="G2" i="4"/>
  <c r="H2" i="4"/>
  <c r="H11" i="4" s="1"/>
  <c r="I2" i="4"/>
  <c r="J2" i="4"/>
  <c r="G24" i="5"/>
  <c r="K11" i="4"/>
  <c r="B1" i="4"/>
  <c r="K9" i="4"/>
  <c r="K12" i="4"/>
  <c r="H9" i="4"/>
  <c r="H12" i="4"/>
  <c r="G9" i="4"/>
  <c r="G11" i="4"/>
  <c r="G12" i="4"/>
  <c r="F3" i="1"/>
  <c r="D3" i="1"/>
  <c r="D136" i="6" l="1"/>
  <c r="H146" i="6" s="1"/>
  <c r="D136" i="9"/>
  <c r="J146" i="9" s="1"/>
  <c r="D88" i="6"/>
  <c r="H98" i="6" s="1"/>
  <c r="D88" i="9"/>
  <c r="J98" i="9" s="1"/>
  <c r="D172" i="6"/>
  <c r="H182" i="6" s="1"/>
  <c r="D172" i="9"/>
  <c r="J182" i="9" s="1"/>
  <c r="D124" i="6"/>
  <c r="H134" i="6" s="1"/>
  <c r="D124" i="9"/>
  <c r="J134" i="9" s="1"/>
  <c r="D76" i="6"/>
  <c r="H86" i="6" s="1"/>
  <c r="D76" i="9"/>
  <c r="J86" i="9" s="1"/>
  <c r="D160" i="6"/>
  <c r="H170" i="6" s="1"/>
  <c r="D160" i="9"/>
  <c r="J170" i="9" s="1"/>
  <c r="D112" i="6"/>
  <c r="H122" i="6" s="1"/>
  <c r="D112" i="9"/>
  <c r="J122" i="9" s="1"/>
  <c r="D64" i="6"/>
  <c r="H74" i="6" s="1"/>
  <c r="D64" i="9"/>
  <c r="J74" i="9" s="1"/>
  <c r="D148" i="6"/>
  <c r="H158" i="6" s="1"/>
  <c r="D148" i="9"/>
  <c r="J158" i="9" s="1"/>
  <c r="D100" i="6"/>
  <c r="H110" i="6" s="1"/>
  <c r="D100" i="9"/>
  <c r="J110" i="9" s="1"/>
  <c r="C174" i="9"/>
  <c r="C54" i="9"/>
  <c r="C30" i="9"/>
  <c r="C126" i="9"/>
  <c r="C138" i="9"/>
  <c r="C162" i="9"/>
  <c r="C42" i="9"/>
  <c r="C6" i="9"/>
  <c r="C18" i="9"/>
  <c r="C78" i="9"/>
  <c r="C66" i="9"/>
  <c r="C90" i="9"/>
  <c r="C114" i="9"/>
  <c r="C150" i="9"/>
  <c r="C102" i="9"/>
  <c r="G7" i="4"/>
  <c r="H7" i="4"/>
  <c r="F23" i="6"/>
  <c r="F19" i="6"/>
  <c r="F11" i="6"/>
  <c r="F7" i="6"/>
  <c r="F10" i="6"/>
  <c r="F8" i="6"/>
  <c r="K7" i="4"/>
  <c r="L7" i="4" l="1"/>
  <c r="C155" i="9"/>
  <c r="C131" i="9"/>
  <c r="C119" i="9"/>
  <c r="C107" i="9"/>
  <c r="C11" i="9"/>
  <c r="C179" i="9"/>
  <c r="C167" i="9"/>
  <c r="C143" i="9"/>
  <c r="C59" i="9"/>
  <c r="C23" i="9"/>
  <c r="C35" i="9"/>
  <c r="C95" i="9"/>
  <c r="C83" i="9"/>
  <c r="C71" i="9"/>
  <c r="C47" i="9"/>
  <c r="C176" i="9"/>
  <c r="C20" i="9"/>
  <c r="C32" i="9"/>
  <c r="C80" i="9"/>
  <c r="C68" i="9"/>
  <c r="C56" i="9"/>
  <c r="C44" i="9"/>
  <c r="C116" i="9"/>
  <c r="C92" i="9"/>
  <c r="C164" i="9"/>
  <c r="C152" i="9"/>
  <c r="C140" i="9"/>
  <c r="C128" i="9"/>
  <c r="C104" i="9"/>
  <c r="C8" i="9"/>
  <c r="C103" i="9"/>
  <c r="C91" i="9"/>
  <c r="C79" i="9"/>
  <c r="C55" i="9"/>
  <c r="C19" i="9"/>
  <c r="C163" i="9"/>
  <c r="C139" i="9"/>
  <c r="C127" i="9"/>
  <c r="C115" i="9"/>
  <c r="C175" i="9"/>
  <c r="C151" i="9"/>
  <c r="C67" i="9"/>
  <c r="C43" i="9"/>
  <c r="C31" i="9"/>
  <c r="C7" i="9"/>
  <c r="B17" i="1"/>
  <c r="B19" i="1" s="1"/>
  <c r="E19" i="1" s="1"/>
  <c r="I2" i="5"/>
  <c r="J2" i="5" s="1"/>
  <c r="F12" i="6"/>
  <c r="G4" i="6" s="1"/>
  <c r="H14" i="6" s="1"/>
  <c r="C177" i="6"/>
  <c r="C129" i="6"/>
  <c r="C105" i="6"/>
  <c r="C93" i="6"/>
  <c r="C165" i="6"/>
  <c r="C69" i="6"/>
  <c r="C153" i="6"/>
  <c r="C117" i="6"/>
  <c r="C141" i="6"/>
  <c r="C81" i="6"/>
  <c r="C57" i="6"/>
  <c r="C166" i="6"/>
  <c r="C118" i="6"/>
  <c r="C154" i="6"/>
  <c r="C82" i="6"/>
  <c r="C58" i="6"/>
  <c r="C142" i="6"/>
  <c r="C106" i="6"/>
  <c r="C178" i="6"/>
  <c r="C130" i="6"/>
  <c r="C94" i="6"/>
  <c r="C70" i="6"/>
  <c r="C163" i="6"/>
  <c r="C67" i="6"/>
  <c r="C151" i="6"/>
  <c r="C115" i="6"/>
  <c r="C139" i="6"/>
  <c r="C79" i="6"/>
  <c r="C55" i="6"/>
  <c r="C175" i="6"/>
  <c r="C127" i="6"/>
  <c r="C103" i="6"/>
  <c r="C91" i="6"/>
  <c r="C152" i="6"/>
  <c r="C116" i="6"/>
  <c r="C140" i="6"/>
  <c r="C80" i="6"/>
  <c r="C56" i="6"/>
  <c r="C176" i="6"/>
  <c r="C128" i="6"/>
  <c r="C104" i="6"/>
  <c r="C92" i="6"/>
  <c r="C164" i="6"/>
  <c r="C68" i="6"/>
  <c r="C174" i="6"/>
  <c r="C126" i="6"/>
  <c r="C102" i="6"/>
  <c r="C90" i="6"/>
  <c r="C162" i="6"/>
  <c r="C66" i="6"/>
  <c r="C150" i="6"/>
  <c r="C114" i="6"/>
  <c r="C138" i="6"/>
  <c r="C78" i="6"/>
  <c r="C54" i="6"/>
  <c r="C143" i="6"/>
  <c r="C107" i="6"/>
  <c r="C47" i="6"/>
  <c r="C179" i="6"/>
  <c r="C131" i="6"/>
  <c r="C71" i="6"/>
  <c r="C167" i="6"/>
  <c r="C119" i="6"/>
  <c r="C95" i="6"/>
  <c r="C155" i="6"/>
  <c r="C83" i="6"/>
  <c r="C59" i="6"/>
  <c r="C35" i="6"/>
  <c r="C46" i="6"/>
  <c r="C34" i="6"/>
  <c r="C33" i="6"/>
  <c r="C45" i="6"/>
  <c r="C43" i="6"/>
  <c r="C31" i="6"/>
  <c r="I3" i="5"/>
  <c r="J3" i="5" s="1"/>
  <c r="C44" i="6"/>
  <c r="C32" i="6"/>
  <c r="C30" i="6"/>
  <c r="C42" i="6"/>
  <c r="I10" i="5"/>
  <c r="I22" i="5"/>
  <c r="I20" i="5"/>
  <c r="I21" i="5"/>
  <c r="I13" i="5"/>
  <c r="I12" i="5"/>
  <c r="I17" i="5"/>
  <c r="I11" i="5"/>
  <c r="I5" i="5"/>
  <c r="I8" i="5"/>
  <c r="I14" i="5"/>
  <c r="I9" i="5"/>
  <c r="I7" i="5"/>
  <c r="I16" i="5"/>
  <c r="I15" i="5"/>
  <c r="I6" i="5"/>
  <c r="I18" i="5"/>
  <c r="I19" i="5"/>
  <c r="I4" i="5"/>
  <c r="I23" i="5"/>
  <c r="J23" i="5" s="1"/>
  <c r="C20" i="6"/>
  <c r="C8" i="6"/>
  <c r="C11" i="6"/>
  <c r="C23" i="6"/>
  <c r="C21" i="6"/>
  <c r="C9" i="6"/>
  <c r="C7" i="6"/>
  <c r="C19" i="6"/>
  <c r="C10" i="6"/>
  <c r="C22" i="6"/>
  <c r="C6" i="6"/>
  <c r="C18" i="6"/>
  <c r="K2" i="5" l="1"/>
  <c r="L2" i="5" s="1"/>
  <c r="G2" i="1"/>
  <c r="I14" i="6"/>
  <c r="H23" i="1"/>
  <c r="H24" i="1" s="1"/>
  <c r="J10" i="5"/>
  <c r="J19" i="5"/>
  <c r="J4" i="5"/>
  <c r="J15" i="5"/>
  <c r="J7" i="5"/>
  <c r="J8" i="5"/>
  <c r="J13" i="5"/>
  <c r="J22" i="5"/>
  <c r="K22" i="5" s="1"/>
  <c r="J11" i="5"/>
  <c r="K3" i="5"/>
  <c r="L3" i="5" s="1"/>
  <c r="J18" i="5"/>
  <c r="J16" i="5"/>
  <c r="J9" i="5"/>
  <c r="J5" i="5"/>
  <c r="J17" i="5"/>
  <c r="J21" i="5"/>
  <c r="J6" i="5"/>
  <c r="J14" i="5"/>
  <c r="J12" i="5"/>
  <c r="J20" i="5"/>
  <c r="G1" i="9" l="1"/>
  <c r="E1" i="6"/>
  <c r="F19" i="1"/>
  <c r="M3" i="5"/>
  <c r="K20" i="5"/>
  <c r="K17" i="5"/>
  <c r="L17" i="5" s="1"/>
  <c r="K18" i="5"/>
  <c r="L18" i="5" s="1"/>
  <c r="K7" i="5"/>
  <c r="L7" i="5" s="1"/>
  <c r="K19" i="5"/>
  <c r="L19" i="5" s="1"/>
  <c r="L22" i="5"/>
  <c r="K14" i="5"/>
  <c r="K21" i="5"/>
  <c r="L21" i="5" s="1"/>
  <c r="K5" i="5"/>
  <c r="L5" i="5" s="1"/>
  <c r="K16" i="5"/>
  <c r="L16" i="5" s="1"/>
  <c r="K13" i="5"/>
  <c r="L13" i="5" s="1"/>
  <c r="K8" i="5"/>
  <c r="L8" i="5" s="1"/>
  <c r="K9" i="5"/>
  <c r="L9" i="5" s="1"/>
  <c r="M2" i="5"/>
  <c r="K23" i="5"/>
  <c r="L23" i="5" s="1"/>
  <c r="K11" i="5"/>
  <c r="L11" i="5" s="1"/>
  <c r="K12" i="5"/>
  <c r="L12" i="5" s="1"/>
  <c r="K6" i="5"/>
  <c r="L6" i="5" s="1"/>
  <c r="K15" i="5"/>
  <c r="L15" i="5" s="1"/>
  <c r="K4" i="5"/>
  <c r="L4" i="5" s="1"/>
  <c r="K10" i="5"/>
  <c r="M9" i="5" l="1"/>
  <c r="M15" i="5"/>
  <c r="M12" i="5"/>
  <c r="M11" i="5"/>
  <c r="M7" i="5"/>
  <c r="M21" i="5"/>
  <c r="M10" i="5"/>
  <c r="L10" i="5"/>
  <c r="M14" i="5"/>
  <c r="L14" i="5"/>
  <c r="M4" i="5"/>
  <c r="M23" i="5"/>
  <c r="M16" i="5"/>
  <c r="M6" i="5"/>
  <c r="M8" i="5"/>
  <c r="M5" i="5"/>
  <c r="M20" i="5"/>
  <c r="L20" i="5"/>
  <c r="P23" i="5" s="1"/>
  <c r="M13" i="5"/>
  <c r="M22" i="5"/>
  <c r="M19" i="5"/>
  <c r="M18" i="5"/>
  <c r="M17" i="5"/>
  <c r="L24" i="5" l="1"/>
  <c r="E22" i="6"/>
  <c r="F22" i="6" s="1"/>
  <c r="E24" i="9"/>
  <c r="P22" i="5" l="1"/>
  <c r="L25" i="5"/>
  <c r="L26" i="5" s="1"/>
  <c r="H22" i="9"/>
  <c r="G24" i="9"/>
  <c r="E21" i="6"/>
  <c r="H21" i="9"/>
  <c r="H24" i="9" s="1"/>
  <c r="I16" i="9" s="1"/>
  <c r="J26" i="9" s="1"/>
  <c r="N24" i="9" l="1"/>
  <c r="G184" i="9"/>
  <c r="E184" i="6"/>
  <c r="F21" i="6"/>
  <c r="F24" i="6" s="1"/>
  <c r="G16" i="6" s="1"/>
  <c r="H26" i="6" s="1"/>
  <c r="H27" i="6" s="1"/>
  <c r="K26" i="9"/>
  <c r="J27" i="9"/>
  <c r="H2" i="9"/>
  <c r="J2" i="9" s="1"/>
  <c r="F2" i="6" l="1"/>
  <c r="H2" i="6" s="1"/>
</calcChain>
</file>

<file path=xl/sharedStrings.xml><?xml version="1.0" encoding="utf-8"?>
<sst xmlns="http://schemas.openxmlformats.org/spreadsheetml/2006/main" count="1790" uniqueCount="244">
  <si>
    <t>Наименование муниципалитета</t>
  </si>
  <si>
    <t>Организация 3</t>
  </si>
  <si>
    <t>Организация 4</t>
  </si>
  <si>
    <t>Организация 5</t>
  </si>
  <si>
    <t>Организация 6</t>
  </si>
  <si>
    <t>Организация 7</t>
  </si>
  <si>
    <t>Организация 8</t>
  </si>
  <si>
    <t>Организация 9</t>
  </si>
  <si>
    <t>Организация 10</t>
  </si>
  <si>
    <t>Техническая</t>
  </si>
  <si>
    <t>Естественнонаучная</t>
  </si>
  <si>
    <t>Художественная</t>
  </si>
  <si>
    <t>Туристско-краеведческая</t>
  </si>
  <si>
    <t>Физкультурно-спортивная</t>
  </si>
  <si>
    <t>Количество часов программы, предположительно покрываемое сертификатом</t>
  </si>
  <si>
    <t>Число сертификатов общее</t>
  </si>
  <si>
    <t>Число сертификатов с определенным номиналом</t>
  </si>
  <si>
    <t>Объем финансового обеспечения</t>
  </si>
  <si>
    <t>Количество учебных недель в году</t>
  </si>
  <si>
    <t>Организация 11</t>
  </si>
  <si>
    <t>Организация 12</t>
  </si>
  <si>
    <t>Организация 13</t>
  </si>
  <si>
    <t>Организация 14</t>
  </si>
  <si>
    <t>Организация 15</t>
  </si>
  <si>
    <t>Установленный охват общий, %</t>
  </si>
  <si>
    <t>Установленный охват ПФ ДОД, %</t>
  </si>
  <si>
    <t>Направленность</t>
  </si>
  <si>
    <t>Коэффициент доли работников АУП</t>
  </si>
  <si>
    <t>Минимальное число детей в группе</t>
  </si>
  <si>
    <t>Сумма затрат на повышение квалификации, в день</t>
  </si>
  <si>
    <t>Максимальное число детей в группе</t>
  </si>
  <si>
    <t>Стоимость медосмотра</t>
  </si>
  <si>
    <t>Затраты на содержание имущества, на час реализации программы</t>
  </si>
  <si>
    <t>Затраты на оплату труда педагогических работников</t>
  </si>
  <si>
    <t>Стоимость комплекта средств обучения, по направленностям</t>
  </si>
  <si>
    <t>Затраты на оплату труда АУП</t>
  </si>
  <si>
    <t>Затраты на повышение квал-ии и медосмотры</t>
  </si>
  <si>
    <t>Затраты на приобретение средств обучения и учебной литературы</t>
  </si>
  <si>
    <t>Затраты на содержание имущества</t>
  </si>
  <si>
    <t>Норматив использования средств обучения в часах в год</t>
  </si>
  <si>
    <t>Стоимость учебного пособия</t>
  </si>
  <si>
    <t>Средняя зарплата по региону (целевой индикатор по Указу)</t>
  </si>
  <si>
    <t>Количество мест</t>
  </si>
  <si>
    <t>х</t>
  </si>
  <si>
    <t>Количество учебных часов в неделю</t>
  </si>
  <si>
    <t>Предполагаемая цена за чел/час</t>
  </si>
  <si>
    <t>Действующий норматив</t>
  </si>
  <si>
    <t>Итого по учреждению</t>
  </si>
  <si>
    <r>
      <rPr>
        <b/>
        <sz val="12"/>
        <color theme="1"/>
        <rFont val="Calibri"/>
        <family val="2"/>
        <charset val="204"/>
        <scheme val="minor"/>
      </rPr>
      <t xml:space="preserve">Организация </t>
    </r>
    <r>
      <rPr>
        <sz val="12"/>
        <color theme="1"/>
        <rFont val="Calibri"/>
        <family val="2"/>
        <scheme val="minor"/>
      </rPr>
      <t>- официальное краткое наименование</t>
    </r>
  </si>
  <si>
    <t>Норматив по ПФ</t>
  </si>
  <si>
    <t>Показатели финансирования дополнительных общеразвивающих программ, по направленностям</t>
  </si>
  <si>
    <r>
      <t>Среднее число учащихся на педагога Q</t>
    </r>
    <r>
      <rPr>
        <vertAlign val="subscript"/>
        <sz val="12"/>
        <color theme="1"/>
        <rFont val="Calibri"/>
        <family val="2"/>
        <charset val="204"/>
        <scheme val="minor"/>
      </rPr>
      <t>сред</t>
    </r>
  </si>
  <si>
    <r>
      <t>Средняя норма часов в год на одного ребенка V</t>
    </r>
    <r>
      <rPr>
        <vertAlign val="subscript"/>
        <sz val="12"/>
        <color theme="1"/>
        <rFont val="Calibri"/>
        <family val="2"/>
        <charset val="204"/>
        <scheme val="minor"/>
      </rPr>
      <t>час</t>
    </r>
  </si>
  <si>
    <t>ДОХОД учреждения по ПФ ДОД</t>
  </si>
  <si>
    <t>- ИНН</t>
  </si>
  <si>
    <t>Норматив (фактические затраты), рублей</t>
  </si>
  <si>
    <t>Чел-часов в задании (таблице перевода), всего</t>
  </si>
  <si>
    <t>Социально-гуманитарная</t>
  </si>
  <si>
    <t>Объем субсидии (расходов по смете) по ПРЕДПРОФ.программам, руб.</t>
  </si>
  <si>
    <t>Параметры финансирования ОБЩЕРАЗВИВАЮЩИМ программам</t>
  </si>
  <si>
    <t>Объем субсидии (расходов по смете) по ОБЩЕРАЗВИВ.прогр., руб.</t>
  </si>
  <si>
    <t>Объем субсидии (расходов по смете) по ВСЕМ программам, руб.</t>
  </si>
  <si>
    <r>
      <t xml:space="preserve">Рассчитанный номинал сертификата </t>
    </r>
    <r>
      <rPr>
        <b/>
        <i/>
        <sz val="12"/>
        <color theme="1"/>
        <rFont val="Calibri"/>
        <family val="2"/>
        <charset val="204"/>
        <scheme val="minor"/>
      </rPr>
      <t>на год</t>
    </r>
  </si>
  <si>
    <t xml:space="preserve">Затраты на содержание УДО на 2021 год </t>
  </si>
  <si>
    <t>Наименование учреждения</t>
  </si>
  <si>
    <t>ст 212</t>
  </si>
  <si>
    <t>ст 221</t>
  </si>
  <si>
    <t>ст 222</t>
  </si>
  <si>
    <t>ст 223</t>
  </si>
  <si>
    <t>ст 224</t>
  </si>
  <si>
    <t>ст 225</t>
  </si>
  <si>
    <t>ст 226 (без учета расходов на медосмотр и повышение квалификации)</t>
  </si>
  <si>
    <t>ст 340</t>
  </si>
  <si>
    <t>ст 290 (налоги)</t>
  </si>
  <si>
    <t>итого</t>
  </si>
  <si>
    <t>Количество чел/часов по всем программам, реализуемым в учреждении</t>
  </si>
  <si>
    <t>ВСЕГО</t>
  </si>
  <si>
    <t>ВСЕГО бюджетные учреждения</t>
  </si>
  <si>
    <t>ВСЕГО автономные учреждения</t>
  </si>
  <si>
    <t>ИТОГО</t>
  </si>
  <si>
    <t>Учреждение, участвующее в ПФ (официальное краткое наименование)</t>
  </si>
  <si>
    <t>Количество учебных недель в периоде</t>
  </si>
  <si>
    <r>
      <t xml:space="preserve">Рассчитанный номинал сертификата </t>
    </r>
    <r>
      <rPr>
        <b/>
        <i/>
        <sz val="12"/>
        <color theme="1"/>
        <rFont val="Calibri"/>
        <family val="2"/>
        <charset val="204"/>
        <scheme val="minor"/>
      </rPr>
      <t>на период</t>
    </r>
    <r>
      <rPr>
        <i/>
        <sz val="12"/>
        <color theme="1"/>
        <rFont val="Calibri"/>
        <family val="2"/>
        <scheme val="minor"/>
      </rPr>
      <t xml:space="preserve"> </t>
    </r>
  </si>
  <si>
    <t>рублей</t>
  </si>
  <si>
    <t>Общеразвивающая программа, полностью или частично НЕ переводимая на ПФ (наименование)</t>
  </si>
  <si>
    <t>Объем муниципального задания на период НЕ по ПФДОД, человеко-часов</t>
  </si>
  <si>
    <t>Стоимость 1 места в периоде</t>
  </si>
  <si>
    <t>Оплата 1 места в периоде  сертификатом</t>
  </si>
  <si>
    <t>Доплата со стороны родителей за 1 место в периоде</t>
  </si>
  <si>
    <t>Прогноз исполнения муниципального задания до начала периода, чел-часов</t>
  </si>
  <si>
    <t>Муниципальное задание НЕ по ПФ ДОД на период</t>
  </si>
  <si>
    <t>Субсидия НЕ по ПФДОД</t>
  </si>
  <si>
    <t>Для казенных учреждений</t>
  </si>
  <si>
    <t>Объем субсидии по ПРЕДПРОФ. программам на период, рублей</t>
  </si>
  <si>
    <t>Объем финансирования ПФ ДОД, рублей</t>
  </si>
  <si>
    <t>Прогноз исполнения сметы до начала периода, рублей</t>
  </si>
  <si>
    <t>Для бюджетных/автономных учреждений</t>
  </si>
  <si>
    <t>Объем субсидии по ПРЕДПРОФ. программам на год, рублей</t>
  </si>
  <si>
    <t>Уменьшаемая сумма в служебной, рублей</t>
  </si>
  <si>
    <t>Общеразвивающая программа, полностью или частично переводимая на ПФ (наименование)</t>
  </si>
  <si>
    <t>Справочно число педчасов на указную зарплату при установленных параметрах</t>
  </si>
  <si>
    <t>Максимальный норматив ПФ</t>
  </si>
  <si>
    <t>Уменьшение финансирования по учреждению</t>
  </si>
  <si>
    <t>Муниципальное задание на период</t>
  </si>
  <si>
    <t>Субсидия на муниципальное задание</t>
  </si>
  <si>
    <t>Нормативная стоимость на человеко-час, всего</t>
  </si>
  <si>
    <t>Допустимые занчения 0-10%</t>
  </si>
  <si>
    <t>Прогноз неиспользуемого остатка ПФ ДОД</t>
  </si>
  <si>
    <t>Первоначальный объем финансирования по всем программам муниципального задания, рублей</t>
  </si>
  <si>
    <t>Итоговый объем финансирования по всем программам муниципального задания, рублей</t>
  </si>
  <si>
    <t>Потребность в дополнительных средствах, рублей</t>
  </si>
  <si>
    <t>Нормативная стоимость на чел-час по ПФ</t>
  </si>
  <si>
    <t>Численность детей от  5 до 18 лет, всего</t>
  </si>
  <si>
    <t>муниципальное бюджетное учреждение дополнительного образования "Центр развития творчества детей и юношества"</t>
  </si>
  <si>
    <t>муниципальное бюджетное учреждение дополнительного образования "Дом детского творчества"</t>
  </si>
  <si>
    <t>ГО ВИЛЮЧИНСК</t>
  </si>
  <si>
    <t>Детская Академия. Дом. 2 год</t>
  </si>
  <si>
    <t>Детская Академия. Сад. 1 год</t>
  </si>
  <si>
    <t>Детская Академия. Сад. 2 год</t>
  </si>
  <si>
    <t>Умка</t>
  </si>
  <si>
    <t>Клуб благородных девиц 1 год</t>
  </si>
  <si>
    <t>Клуб благородных девиц 2 год</t>
  </si>
  <si>
    <t>Клуб благородных девиц 3 год</t>
  </si>
  <si>
    <t>Клуб благородных девиц 4 год</t>
  </si>
  <si>
    <t>Ровесник 1 год</t>
  </si>
  <si>
    <t>Ровесник 2 год</t>
  </si>
  <si>
    <t>Индиго</t>
  </si>
  <si>
    <t>в мес</t>
  </si>
  <si>
    <t>1 занятие</t>
  </si>
  <si>
    <t>Установленный охват от нашей числености, %</t>
  </si>
  <si>
    <t>Веселый английский 1 год</t>
  </si>
  <si>
    <t>Веселый английский 2 год</t>
  </si>
  <si>
    <t>Веселый английский 3 год</t>
  </si>
  <si>
    <t>Веселый английский 4 год</t>
  </si>
  <si>
    <t>Английский малышам 2 год</t>
  </si>
  <si>
    <t>Английский малышам 1 год</t>
  </si>
  <si>
    <t>Радуга 1 год</t>
  </si>
  <si>
    <t>Радуга 2 год</t>
  </si>
  <si>
    <t>Радуга 3 год</t>
  </si>
  <si>
    <t>Радуга 4 год</t>
  </si>
  <si>
    <t>Радуга 5 год</t>
  </si>
  <si>
    <t>Волшебная шкатулка 1 год</t>
  </si>
  <si>
    <t>Волшебная шкатулка 2 год</t>
  </si>
  <si>
    <t>Волшебная шкатулка 3 год</t>
  </si>
  <si>
    <t>Волшебная шкатулка 4 год</t>
  </si>
  <si>
    <t>Волшебная шкатулка 5 год</t>
  </si>
  <si>
    <t>Волшебная шкатулка 6 год</t>
  </si>
  <si>
    <t>Лоскуток 1 год</t>
  </si>
  <si>
    <t>Лоскуток 2 год</t>
  </si>
  <si>
    <t>Лоскуток 3 год</t>
  </si>
  <si>
    <t>Лоскуток 4 год</t>
  </si>
  <si>
    <t>Лоскуток (индивидуальные)</t>
  </si>
  <si>
    <t>Кудесники 2 год</t>
  </si>
  <si>
    <t>Кудесники 3 год</t>
  </si>
  <si>
    <t>Очумелые ручки. Чудеса для детей из ненужных вещей 1 год</t>
  </si>
  <si>
    <t>Калейдоскоп. Путь к театру путь к себе 2 год</t>
  </si>
  <si>
    <t>Калейдоскоп. Путь к театру путь к себе 3 год</t>
  </si>
  <si>
    <t>Вдохновение. И мечта и танец и душа 1 год</t>
  </si>
  <si>
    <t>Вдохновение. И мечта и танец и душа 2 год</t>
  </si>
  <si>
    <t>Вдохновение.И мечта и танец и душа 1 год</t>
  </si>
  <si>
    <t>Вдохновение.И мечта и танец и душа 2 год</t>
  </si>
  <si>
    <t>Вдохновение.И мечта и танец и душа 3 год</t>
  </si>
  <si>
    <t>Вдохновение.И мечта и танец и душа 4 год</t>
  </si>
  <si>
    <t>Вдохновение.И мечта и танец и душа 5 год</t>
  </si>
  <si>
    <t>Вдохновение.И мечта и танец и душа 6 год</t>
  </si>
  <si>
    <t>Компьютер - мой друг 1 год</t>
  </si>
  <si>
    <t>Компьютер - мой друг 2 год</t>
  </si>
  <si>
    <t>Компьютер - мой друг 3 год</t>
  </si>
  <si>
    <t>Перворобот 1 год</t>
  </si>
  <si>
    <t>Перворобот 2 год</t>
  </si>
  <si>
    <t>Офисные технологии 1 год</t>
  </si>
  <si>
    <t>Офисные технологии 2 год</t>
  </si>
  <si>
    <t>Офисные технологии 3 год</t>
  </si>
  <si>
    <t>Делопроизводство на ПК 1 год</t>
  </si>
  <si>
    <t>3D Мастер 1 год</t>
  </si>
  <si>
    <t>Робототехника 1 год</t>
  </si>
  <si>
    <t>Робототехника 2 год</t>
  </si>
  <si>
    <t>Лаборатория Arduino 1 год</t>
  </si>
  <si>
    <t>Лаборатория Arduino 2 год</t>
  </si>
  <si>
    <t>Лаборатория Arduino 3 год</t>
  </si>
  <si>
    <t>Мультилэнд</t>
  </si>
  <si>
    <t>3Д-Арт 1 год</t>
  </si>
  <si>
    <t>графический дизайн 1 год</t>
  </si>
  <si>
    <t>Умники и умницы 1 год</t>
  </si>
  <si>
    <t>Умники и умницы 2 год</t>
  </si>
  <si>
    <t>Юннаты</t>
  </si>
  <si>
    <t>Комнатное цветоводство</t>
  </si>
  <si>
    <t>Биология</t>
  </si>
  <si>
    <t>Мир, в котором я живу</t>
  </si>
  <si>
    <t>Юный исследователь</t>
  </si>
  <si>
    <t>Начальное техническое моделирование</t>
  </si>
  <si>
    <t>Основы информационных технологий</t>
  </si>
  <si>
    <t>Основы программирования</t>
  </si>
  <si>
    <t>Основы робототехники</t>
  </si>
  <si>
    <t>Научное общество учащихся</t>
  </si>
  <si>
    <t>Ниточка-иголочка</t>
  </si>
  <si>
    <t>Театр моды</t>
  </si>
  <si>
    <t>Изобразительное искусство</t>
  </si>
  <si>
    <t>Музыкальное воспитание</t>
  </si>
  <si>
    <t>Вокал 1-2 год</t>
  </si>
  <si>
    <t>Вокал 3-4 год</t>
  </si>
  <si>
    <t>Вокал 5 и более</t>
  </si>
  <si>
    <t xml:space="preserve">Хореография 1 год </t>
  </si>
  <si>
    <t xml:space="preserve">Хореография 2 год </t>
  </si>
  <si>
    <t xml:space="preserve">Хореография 3 и более </t>
  </si>
  <si>
    <t>Основы сценического движения</t>
  </si>
  <si>
    <t>Танцевальная ритмика</t>
  </si>
  <si>
    <t>Школа раннего развития</t>
  </si>
  <si>
    <t>Довузовская подготовка: математика</t>
  </si>
  <si>
    <t>Довузовская подготовка: химия</t>
  </si>
  <si>
    <t>Довузовская подготовка: география</t>
  </si>
  <si>
    <t>Довузовская подготовка: физика</t>
  </si>
  <si>
    <t>Довузовская подготовка: обществознание</t>
  </si>
  <si>
    <t>Английский язык младшие</t>
  </si>
  <si>
    <t>Английский язык старшие</t>
  </si>
  <si>
    <t>Журналистика</t>
  </si>
  <si>
    <t>Занимательный русский язык</t>
  </si>
  <si>
    <t>72/36*16*90 чел</t>
  </si>
  <si>
    <t xml:space="preserve">в час 1 </t>
  </si>
  <si>
    <t>Хореография 1 год</t>
  </si>
  <si>
    <t>Веселый английский 1 год 1 гр</t>
  </si>
  <si>
    <t>Умники и умницы 1 год 1 гр</t>
  </si>
  <si>
    <t>Английский малышам 1 год 1 гр</t>
  </si>
  <si>
    <t>Английский малышам 2 год 2 гр</t>
  </si>
  <si>
    <t>Радуга 2 год 1 гр</t>
  </si>
  <si>
    <t>Волшебная шкатулка 1 год 1 гр</t>
  </si>
  <si>
    <t>Волшебная шкатулка 2 год 2 гр</t>
  </si>
  <si>
    <t>Вдохновение. И мечта и танец и душа 1 год 1 гр</t>
  </si>
  <si>
    <t>Вдохновение. И мечта и танец и душа 2 год 1 гр</t>
  </si>
  <si>
    <t>Компьютер - мой друг 1 год 1 гр</t>
  </si>
  <si>
    <t>Перворобот 1 год 1 гр</t>
  </si>
  <si>
    <t>Робототехника 1 год 1 гр</t>
  </si>
  <si>
    <t>Офисные технологии 1 год 1 гр</t>
  </si>
  <si>
    <t>3D Мастер 1 год 1 гр</t>
  </si>
  <si>
    <t>Графический дизайн 1 год 1 гр</t>
  </si>
  <si>
    <t>Затраты на оплату труда+начисления</t>
  </si>
  <si>
    <t>итого мун.задание</t>
  </si>
  <si>
    <t>8 мес</t>
  </si>
  <si>
    <t>передано на ПФ</t>
  </si>
  <si>
    <t>72/36*16*------ чел</t>
  </si>
  <si>
    <t>ЦРТДЮ</t>
  </si>
  <si>
    <t>ДДТ</t>
  </si>
  <si>
    <t>Программы переданные на ПФ</t>
  </si>
  <si>
    <t>часы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</si>
</sst>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\ &quot;₽&quot;"/>
    <numFmt numFmtId="165" formatCode="#,##0\ &quot;₽&quot;"/>
    <numFmt numFmtId="166" formatCode="0.00_ ;[Red]\-0.00\ "/>
    <numFmt numFmtId="167" formatCode="#,##0.00_ ;[Red]\-#,##0.00\ "/>
    <numFmt numFmtId="168" formatCode="0.00_)"/>
  </numFmts>
  <fonts count="38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i/>
      <sz val="12"/>
      <color rgb="FF00000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rgb="FF000000"/>
      <name val="Calibri"/>
      <family val="2"/>
      <charset val="204"/>
      <scheme val="minor"/>
    </font>
    <font>
      <vertAlign val="subscript"/>
      <sz val="12"/>
      <color theme="1"/>
      <name val="Calibri"/>
      <family val="2"/>
      <charset val="204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charset val="204"/>
      <scheme val="minor"/>
    </font>
    <font>
      <sz val="12"/>
      <name val="Calibri"/>
      <family val="2"/>
      <scheme val="minor"/>
    </font>
    <font>
      <i/>
      <sz val="12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0"/>
      <color theme="0" tint="-0.34998626667073579"/>
      <name val="Calibri"/>
      <family val="2"/>
      <charset val="204"/>
      <scheme val="minor"/>
    </font>
    <font>
      <sz val="12"/>
      <color rgb="FF7030A0"/>
      <name val="Calibri"/>
      <family val="2"/>
      <charset val="204"/>
      <scheme val="minor"/>
    </font>
    <font>
      <sz val="12"/>
      <color theme="0" tint="-0.34998626667073579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4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2" fontId="0" fillId="0" borderId="0" xfId="1" applyNumberFormat="1" applyFon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4" fillId="0" borderId="0" xfId="0" applyFont="1" applyAlignment="1">
      <alignment wrapText="1"/>
    </xf>
    <xf numFmtId="164" fontId="4" fillId="0" borderId="0" xfId="1" applyNumberFormat="1" applyFont="1" applyAlignment="1">
      <alignment horizontal="center" wrapText="1"/>
    </xf>
    <xf numFmtId="0" fontId="0" fillId="0" borderId="0" xfId="0" applyFill="1" applyAlignment="1">
      <alignment wrapText="1"/>
    </xf>
    <xf numFmtId="1" fontId="0" fillId="2" borderId="0" xfId="1" applyNumberFormat="1" applyFont="1" applyFill="1" applyAlignment="1" applyProtection="1">
      <alignment horizontal="center" wrapText="1"/>
      <protection locked="0"/>
    </xf>
    <xf numFmtId="166" fontId="3" fillId="0" borderId="0" xfId="0" applyNumberFormat="1" applyFont="1" applyAlignment="1">
      <alignment horizontal="center" wrapText="1"/>
    </xf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3" fontId="0" fillId="2" borderId="0" xfId="0" applyNumberFormat="1" applyFill="1" applyAlignment="1" applyProtection="1">
      <alignment horizontal="center" wrapText="1"/>
      <protection locked="0"/>
    </xf>
    <xf numFmtId="0" fontId="5" fillId="0" borderId="0" xfId="0" applyFont="1" applyFill="1" applyAlignment="1">
      <alignment wrapText="1"/>
    </xf>
    <xf numFmtId="1" fontId="5" fillId="2" borderId="0" xfId="1" applyNumberFormat="1" applyFont="1" applyFill="1" applyAlignment="1" applyProtection="1">
      <alignment horizontal="center" wrapText="1"/>
      <protection locked="0"/>
    </xf>
    <xf numFmtId="164" fontId="0" fillId="2" borderId="0" xfId="1" applyNumberFormat="1" applyFont="1" applyFill="1" applyProtection="1">
      <protection locked="0"/>
    </xf>
    <xf numFmtId="3" fontId="0" fillId="2" borderId="0" xfId="1" applyNumberFormat="1" applyFont="1" applyFill="1" applyProtection="1">
      <protection locked="0"/>
    </xf>
    <xf numFmtId="3" fontId="4" fillId="0" borderId="0" xfId="1" applyNumberFormat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4" fontId="0" fillId="2" borderId="0" xfId="0" applyNumberFormat="1" applyFill="1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</xf>
    <xf numFmtId="164" fontId="0" fillId="0" borderId="0" xfId="0" applyNumberFormat="1" applyFill="1" applyAlignment="1" applyProtection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7" fillId="2" borderId="0" xfId="0" applyNumberFormat="1" applyFont="1" applyFill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3" fontId="0" fillId="0" borderId="0" xfId="0" applyNumberFormat="1" applyAlignment="1" applyProtection="1">
      <alignment horizontal="center" wrapText="1"/>
      <protection locked="0"/>
    </xf>
    <xf numFmtId="165" fontId="0" fillId="0" borderId="0" xfId="0" applyNumberFormat="1" applyAlignment="1">
      <alignment horizontal="left" wrapText="1"/>
    </xf>
    <xf numFmtId="2" fontId="0" fillId="0" borderId="0" xfId="0" applyNumberFormat="1" applyAlignment="1">
      <alignment horizontal="left" wrapText="1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4" borderId="1" xfId="0" applyFill="1" applyBorder="1" applyProtection="1"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43" fontId="0" fillId="0" borderId="0" xfId="1" applyFont="1" applyAlignment="1">
      <alignment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3" fontId="3" fillId="0" borderId="1" xfId="1" applyFont="1" applyBorder="1" applyAlignment="1">
      <alignment horizontal="center" vertical="center" wrapText="1"/>
    </xf>
    <xf numFmtId="1" fontId="10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3" fillId="0" borderId="0" xfId="0" applyFont="1"/>
    <xf numFmtId="0" fontId="3" fillId="0" borderId="1" xfId="0" applyFont="1" applyBorder="1" applyAlignment="1">
      <alignment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 wrapText="1"/>
    </xf>
    <xf numFmtId="3" fontId="0" fillId="3" borderId="0" xfId="0" applyNumberFormat="1" applyFill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164" fontId="7" fillId="3" borderId="1" xfId="1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164" fontId="0" fillId="3" borderId="1" xfId="1" applyNumberFormat="1" applyFont="1" applyFill="1" applyBorder="1" applyAlignment="1" applyProtection="1">
      <alignment horizontal="center"/>
      <protection locked="0"/>
    </xf>
    <xf numFmtId="3" fontId="0" fillId="4" borderId="1" xfId="1" applyNumberFormat="1" applyFon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 wrapText="1"/>
    </xf>
    <xf numFmtId="3" fontId="7" fillId="3" borderId="1" xfId="1" applyNumberFormat="1" applyFont="1" applyFill="1" applyBorder="1" applyAlignment="1" applyProtection="1">
      <alignment horizontal="center"/>
      <protection locked="0"/>
    </xf>
    <xf numFmtId="164" fontId="7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5" fillId="3" borderId="0" xfId="0" applyNumberFormat="1" applyFont="1" applyFill="1" applyAlignment="1">
      <alignment horizontal="right" wrapText="1"/>
    </xf>
    <xf numFmtId="0" fontId="0" fillId="3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3" fontId="0" fillId="2" borderId="0" xfId="0" applyNumberFormat="1" applyFill="1" applyAlignment="1" applyProtection="1">
      <alignment horizontal="center" vertical="center" wrapText="1"/>
      <protection locked="0"/>
    </xf>
    <xf numFmtId="1" fontId="0" fillId="2" borderId="0" xfId="0" applyNumberFormat="1" applyFill="1" applyAlignment="1" applyProtection="1">
      <alignment horizontal="center" vertical="center" wrapText="1"/>
      <protection locked="0"/>
    </xf>
    <xf numFmtId="164" fontId="0" fillId="3" borderId="0" xfId="0" applyNumberFormat="1" applyFill="1" applyAlignment="1">
      <alignment wrapText="1"/>
    </xf>
    <xf numFmtId="4" fontId="0" fillId="2" borderId="0" xfId="0" applyNumberFormat="1" applyFill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4" fillId="0" borderId="0" xfId="3" applyFont="1"/>
    <xf numFmtId="3" fontId="24" fillId="0" borderId="1" xfId="4" applyNumberFormat="1" applyFont="1" applyBorder="1" applyAlignment="1">
      <alignment horizontal="center" vertical="center" wrapText="1"/>
    </xf>
    <xf numFmtId="0" fontId="24" fillId="0" borderId="0" xfId="3" applyFont="1" applyAlignment="1">
      <alignment horizontal="center"/>
    </xf>
    <xf numFmtId="0" fontId="24" fillId="0" borderId="1" xfId="4" applyFont="1" applyBorder="1" applyAlignment="1">
      <alignment horizontal="center"/>
    </xf>
    <xf numFmtId="4" fontId="24" fillId="4" borderId="1" xfId="3" applyNumberFormat="1" applyFont="1" applyFill="1" applyBorder="1" applyAlignment="1">
      <alignment horizontal="center" vertical="center"/>
    </xf>
    <xf numFmtId="4" fontId="24" fillId="0" borderId="1" xfId="3" applyNumberFormat="1" applyFont="1" applyBorder="1" applyAlignment="1">
      <alignment horizontal="center" vertical="center"/>
    </xf>
    <xf numFmtId="3" fontId="24" fillId="4" borderId="1" xfId="3" applyNumberFormat="1" applyFont="1" applyFill="1" applyBorder="1" applyAlignment="1">
      <alignment horizontal="center" vertical="center"/>
    </xf>
    <xf numFmtId="0" fontId="24" fillId="6" borderId="0" xfId="3" applyFont="1" applyFill="1" applyAlignment="1">
      <alignment vertical="center"/>
    </xf>
    <xf numFmtId="4" fontId="24" fillId="0" borderId="3" xfId="3" applyNumberFormat="1" applyFont="1" applyBorder="1" applyAlignment="1">
      <alignment horizontal="center" vertical="center"/>
    </xf>
    <xf numFmtId="0" fontId="24" fillId="0" borderId="0" xfId="3" applyFont="1" applyAlignment="1">
      <alignment vertical="center"/>
    </xf>
    <xf numFmtId="4" fontId="25" fillId="0" borderId="1" xfId="3" applyNumberFormat="1" applyFont="1" applyBorder="1" applyAlignment="1">
      <alignment horizontal="center" vertical="center" wrapText="1" shrinkToFit="1"/>
    </xf>
    <xf numFmtId="4" fontId="25" fillId="0" borderId="5" xfId="3" applyNumberFormat="1" applyFont="1" applyBorder="1" applyAlignment="1">
      <alignment horizontal="center" vertical="center" wrapText="1" shrinkToFit="1"/>
    </xf>
    <xf numFmtId="2" fontId="27" fillId="0" borderId="4" xfId="3" applyNumberFormat="1" applyFont="1" applyBorder="1" applyAlignment="1">
      <alignment vertical="center"/>
    </xf>
    <xf numFmtId="0" fontId="24" fillId="7" borderId="0" xfId="3" applyFont="1" applyFill="1" applyAlignment="1">
      <alignment vertical="center"/>
    </xf>
    <xf numFmtId="4" fontId="24" fillId="0" borderId="0" xfId="3" applyNumberFormat="1" applyFont="1" applyAlignment="1">
      <alignment horizontal="center"/>
    </xf>
    <xf numFmtId="0" fontId="24" fillId="0" borderId="6" xfId="4" applyFont="1" applyBorder="1" applyAlignment="1">
      <alignment horizontal="center"/>
    </xf>
    <xf numFmtId="168" fontId="28" fillId="0" borderId="7" xfId="5" applyNumberFormat="1" applyFont="1" applyBorder="1" applyAlignment="1" applyProtection="1">
      <alignment horizontal="left" wrapText="1"/>
      <protection locked="0"/>
    </xf>
    <xf numFmtId="4" fontId="24" fillId="0" borderId="8" xfId="3" applyNumberFormat="1" applyFont="1" applyBorder="1" applyAlignment="1">
      <alignment horizontal="center" vertical="center"/>
    </xf>
    <xf numFmtId="4" fontId="24" fillId="0" borderId="9" xfId="3" applyNumberFormat="1" applyFont="1" applyBorder="1" applyAlignment="1">
      <alignment horizontal="center" vertical="center"/>
    </xf>
    <xf numFmtId="4" fontId="27" fillId="8" borderId="4" xfId="3" applyNumberFormat="1" applyFont="1" applyFill="1" applyBorder="1" applyAlignment="1">
      <alignment horizontal="center" vertical="center"/>
    </xf>
    <xf numFmtId="4" fontId="27" fillId="0" borderId="1" xfId="3" applyNumberFormat="1" applyFont="1" applyBorder="1" applyAlignment="1">
      <alignment horizontal="center" vertical="center"/>
    </xf>
    <xf numFmtId="0" fontId="27" fillId="6" borderId="1" xfId="3" applyFont="1" applyFill="1" applyBorder="1" applyAlignment="1">
      <alignment vertical="center"/>
    </xf>
    <xf numFmtId="2" fontId="24" fillId="6" borderId="1" xfId="3" applyNumberFormat="1" applyFont="1" applyFill="1" applyBorder="1" applyAlignment="1">
      <alignment vertical="center"/>
    </xf>
    <xf numFmtId="0" fontId="22" fillId="0" borderId="0" xfId="5" applyAlignment="1">
      <alignment horizontal="center"/>
    </xf>
    <xf numFmtId="0" fontId="22" fillId="0" borderId="0" xfId="5"/>
    <xf numFmtId="4" fontId="22" fillId="0" borderId="0" xfId="5" applyNumberFormat="1"/>
    <xf numFmtId="0" fontId="22" fillId="3" borderId="0" xfId="5" applyFill="1"/>
    <xf numFmtId="4" fontId="22" fillId="0" borderId="1" xfId="5" applyNumberFormat="1" applyBorder="1" applyAlignment="1">
      <alignment horizontal="center"/>
    </xf>
    <xf numFmtId="4" fontId="29" fillId="0" borderId="1" xfId="5" applyNumberFormat="1" applyFont="1" applyBorder="1" applyAlignment="1">
      <alignment horizontal="center"/>
    </xf>
    <xf numFmtId="0" fontId="22" fillId="0" borderId="1" xfId="5" applyBorder="1"/>
    <xf numFmtId="2" fontId="22" fillId="9" borderId="1" xfId="5" applyNumberFormat="1" applyFill="1" applyBorder="1"/>
    <xf numFmtId="0" fontId="22" fillId="3" borderId="0" xfId="6" applyFill="1"/>
    <xf numFmtId="4" fontId="0" fillId="0" borderId="0" xfId="0" applyNumberFormat="1" applyFill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4" fillId="0" borderId="0" xfId="3" applyFont="1" applyAlignment="1">
      <alignment horizontal="right"/>
    </xf>
    <xf numFmtId="0" fontId="0" fillId="0" borderId="0" xfId="0" applyFill="1" applyAlignment="1" applyProtection="1">
      <alignment horizontal="center" wrapText="1"/>
      <protection locked="0"/>
    </xf>
    <xf numFmtId="0" fontId="2" fillId="0" borderId="0" xfId="0" applyFont="1" applyFill="1" applyAlignment="1">
      <alignment horizontal="center" wrapText="1"/>
    </xf>
    <xf numFmtId="0" fontId="7" fillId="0" borderId="0" xfId="0" applyFont="1" applyBorder="1" applyAlignment="1" applyProtection="1">
      <alignment horizontal="center"/>
      <protection locked="0"/>
    </xf>
    <xf numFmtId="0" fontId="19" fillId="0" borderId="1" xfId="0" applyFont="1" applyBorder="1"/>
    <xf numFmtId="3" fontId="0" fillId="3" borderId="0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3" fontId="7" fillId="0" borderId="1" xfId="1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44" fontId="0" fillId="4" borderId="1" xfId="7" applyFont="1" applyFill="1" applyBorder="1" applyAlignment="1">
      <alignment horizontal="center" wrapText="1"/>
    </xf>
    <xf numFmtId="44" fontId="7" fillId="4" borderId="5" xfId="7" applyFont="1" applyFill="1" applyBorder="1" applyAlignment="1" applyProtection="1">
      <alignment horizontal="center"/>
      <protection locked="0"/>
    </xf>
    <xf numFmtId="0" fontId="32" fillId="0" borderId="0" xfId="0" applyFont="1" applyAlignment="1">
      <alignment wrapText="1"/>
    </xf>
    <xf numFmtId="3" fontId="32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1" fontId="5" fillId="5" borderId="0" xfId="1" applyNumberFormat="1" applyFont="1" applyFill="1" applyAlignment="1" applyProtection="1">
      <alignment horizontal="center" wrapText="1"/>
      <protection locked="0"/>
    </xf>
    <xf numFmtId="0" fontId="0" fillId="0" borderId="1" xfId="0" applyFill="1" applyBorder="1" applyProtection="1"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164" fontId="4" fillId="9" borderId="0" xfId="1" applyNumberFormat="1" applyFont="1" applyFill="1" applyAlignment="1">
      <alignment horizontal="center" wrapText="1"/>
    </xf>
    <xf numFmtId="164" fontId="7" fillId="9" borderId="0" xfId="0" applyNumberFormat="1" applyFont="1" applyFill="1" applyAlignment="1">
      <alignment horizontal="center" wrapText="1"/>
    </xf>
    <xf numFmtId="3" fontId="0" fillId="9" borderId="0" xfId="0" applyNumberFormat="1" applyFill="1" applyAlignment="1" applyProtection="1">
      <alignment horizontal="center" wrapText="1"/>
      <protection locked="0"/>
    </xf>
    <xf numFmtId="43" fontId="7" fillId="0" borderId="0" xfId="1" applyFont="1" applyAlignment="1">
      <alignment wrapText="1"/>
    </xf>
    <xf numFmtId="0" fontId="0" fillId="3" borderId="0" xfId="0" applyFill="1" applyAlignment="1">
      <alignment wrapText="1"/>
    </xf>
    <xf numFmtId="0" fontId="4" fillId="10" borderId="0" xfId="0" applyFont="1" applyFill="1" applyAlignment="1">
      <alignment wrapText="1"/>
    </xf>
    <xf numFmtId="164" fontId="4" fillId="10" borderId="0" xfId="1" applyNumberFormat="1" applyFont="1" applyFill="1" applyAlignment="1">
      <alignment horizontal="center" wrapText="1"/>
    </xf>
    <xf numFmtId="2" fontId="8" fillId="0" borderId="0" xfId="1" applyNumberFormat="1" applyFont="1" applyAlignment="1">
      <alignment wrapText="1"/>
    </xf>
    <xf numFmtId="0" fontId="0" fillId="4" borderId="2" xfId="0" applyFill="1" applyBorder="1" applyProtection="1">
      <protection locked="0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1" fontId="0" fillId="9" borderId="1" xfId="0" applyNumberFormat="1" applyFill="1" applyBorder="1" applyAlignment="1" applyProtection="1">
      <alignment horizontal="center"/>
      <protection locked="0"/>
    </xf>
    <xf numFmtId="0" fontId="13" fillId="12" borderId="0" xfId="0" applyFont="1" applyFill="1"/>
    <xf numFmtId="0" fontId="0" fillId="12" borderId="0" xfId="0" applyFill="1"/>
    <xf numFmtId="0" fontId="13" fillId="11" borderId="0" xfId="0" applyFont="1" applyFill="1"/>
    <xf numFmtId="0" fontId="0" fillId="11" borderId="0" xfId="0" applyFill="1"/>
    <xf numFmtId="0" fontId="7" fillId="13" borderId="0" xfId="0" applyFont="1" applyFill="1" applyAlignment="1">
      <alignment horizontal="left" wrapText="1"/>
    </xf>
    <xf numFmtId="164" fontId="7" fillId="13" borderId="0" xfId="0" applyNumberFormat="1" applyFont="1" applyFill="1" applyAlignment="1">
      <alignment wrapText="1"/>
    </xf>
    <xf numFmtId="0" fontId="24" fillId="0" borderId="0" xfId="3" applyFont="1" applyAlignment="1">
      <alignment wrapText="1"/>
    </xf>
    <xf numFmtId="0" fontId="24" fillId="0" borderId="0" xfId="3" applyFont="1" applyAlignment="1">
      <alignment horizontal="center" wrapText="1"/>
    </xf>
    <xf numFmtId="0" fontId="24" fillId="6" borderId="0" xfId="3" applyFont="1" applyFill="1" applyAlignment="1">
      <alignment vertical="center" wrapText="1"/>
    </xf>
    <xf numFmtId="0" fontId="24" fillId="0" borderId="0" xfId="3" applyFont="1" applyAlignment="1">
      <alignment vertical="center" wrapText="1"/>
    </xf>
    <xf numFmtId="0" fontId="24" fillId="7" borderId="0" xfId="3" applyFont="1" applyFill="1" applyAlignment="1">
      <alignment vertical="center" wrapText="1"/>
    </xf>
    <xf numFmtId="0" fontId="22" fillId="0" borderId="0" xfId="5" applyAlignment="1">
      <alignment wrapText="1"/>
    </xf>
    <xf numFmtId="43" fontId="24" fillId="6" borderId="0" xfId="1" applyFont="1" applyFill="1" applyAlignment="1">
      <alignment vertical="center" wrapText="1"/>
    </xf>
    <xf numFmtId="43" fontId="24" fillId="6" borderId="0" xfId="3" applyNumberFormat="1" applyFont="1" applyFill="1" applyAlignment="1">
      <alignment vertical="center"/>
    </xf>
    <xf numFmtId="0" fontId="24" fillId="0" borderId="0" xfId="3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2" fontId="0" fillId="0" borderId="2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wrapText="1"/>
    </xf>
    <xf numFmtId="44" fontId="0" fillId="4" borderId="5" xfId="7" applyFont="1" applyFill="1" applyBorder="1" applyAlignment="1">
      <alignment horizontal="center" wrapText="1"/>
    </xf>
    <xf numFmtId="0" fontId="37" fillId="4" borderId="1" xfId="0" applyFont="1" applyFill="1" applyBorder="1" applyAlignment="1" applyProtection="1">
      <alignment wrapText="1"/>
      <protection locked="0"/>
    </xf>
    <xf numFmtId="0" fontId="37" fillId="11" borderId="1" xfId="0" applyFont="1" applyFill="1" applyBorder="1" applyAlignment="1" applyProtection="1">
      <alignment wrapText="1"/>
      <protection locked="0"/>
    </xf>
    <xf numFmtId="0" fontId="19" fillId="0" borderId="0" xfId="0" applyFont="1"/>
    <xf numFmtId="1" fontId="0" fillId="0" borderId="0" xfId="0" applyNumberFormat="1"/>
    <xf numFmtId="0" fontId="7" fillId="9" borderId="0" xfId="0" applyFont="1" applyFill="1"/>
    <xf numFmtId="0" fontId="33" fillId="14" borderId="1" xfId="0" applyFont="1" applyFill="1" applyBorder="1" applyAlignment="1" applyProtection="1">
      <alignment horizontal="center" vertical="center" wrapText="1"/>
      <protection locked="0"/>
    </xf>
    <xf numFmtId="0" fontId="35" fillId="14" borderId="1" xfId="0" applyFont="1" applyFill="1" applyBorder="1" applyAlignment="1" applyProtection="1">
      <alignment horizontal="left" vertical="center" wrapText="1"/>
      <protection locked="0"/>
    </xf>
    <xf numFmtId="1" fontId="3" fillId="14" borderId="1" xfId="0" applyNumberFormat="1" applyFont="1" applyFill="1" applyBorder="1" applyAlignment="1" applyProtection="1">
      <alignment horizontal="center" vertical="center" wrapText="1"/>
      <protection locked="0"/>
    </xf>
    <xf numFmtId="43" fontId="3" fillId="14" borderId="1" xfId="1" applyFont="1" applyFill="1" applyBorder="1" applyAlignment="1" applyProtection="1">
      <alignment horizontal="center" vertical="center" wrapText="1"/>
      <protection locked="0"/>
    </xf>
    <xf numFmtId="0" fontId="34" fillId="14" borderId="1" xfId="0" applyFont="1" applyFill="1" applyBorder="1" applyAlignment="1" applyProtection="1">
      <alignment wrapText="1"/>
      <protection locked="0"/>
    </xf>
    <xf numFmtId="0" fontId="36" fillId="14" borderId="1" xfId="0" applyFont="1" applyFill="1" applyBorder="1" applyAlignment="1" applyProtection="1">
      <alignment horizontal="left" wrapText="1"/>
      <protection locked="0"/>
    </xf>
    <xf numFmtId="0" fontId="0" fillId="14" borderId="1" xfId="0" applyFill="1" applyBorder="1" applyAlignment="1" applyProtection="1">
      <alignment horizontal="center"/>
      <protection locked="0"/>
    </xf>
    <xf numFmtId="1" fontId="0" fillId="14" borderId="1" xfId="0" applyNumberFormat="1" applyFill="1" applyBorder="1" applyAlignment="1" applyProtection="1">
      <alignment horizontal="center"/>
      <protection locked="0"/>
    </xf>
    <xf numFmtId="43" fontId="0" fillId="14" borderId="1" xfId="1" applyFont="1" applyFill="1" applyBorder="1" applyAlignment="1" applyProtection="1">
      <alignment horizontal="center"/>
      <protection locked="0"/>
    </xf>
    <xf numFmtId="1" fontId="7" fillId="14" borderId="1" xfId="0" applyNumberFormat="1" applyFont="1" applyFill="1" applyBorder="1" applyAlignment="1" applyProtection="1">
      <alignment horizontal="center"/>
      <protection locked="0"/>
    </xf>
    <xf numFmtId="43" fontId="7" fillId="14" borderId="1" xfId="0" applyNumberFormat="1" applyFont="1" applyFill="1" applyBorder="1" applyAlignment="1" applyProtection="1">
      <alignment horizontal="center"/>
      <protection locked="0"/>
    </xf>
    <xf numFmtId="0" fontId="34" fillId="14" borderId="0" xfId="0" applyFont="1" applyFill="1" applyAlignment="1" applyProtection="1">
      <alignment wrapText="1"/>
      <protection locked="0"/>
    </xf>
    <xf numFmtId="0" fontId="36" fillId="14" borderId="0" xfId="0" applyFont="1" applyFill="1" applyAlignment="1" applyProtection="1">
      <alignment horizontal="left" wrapText="1"/>
      <protection locked="0"/>
    </xf>
    <xf numFmtId="0" fontId="0" fillId="14" borderId="0" xfId="0" applyFill="1" applyProtection="1">
      <protection locked="0"/>
    </xf>
    <xf numFmtId="1" fontId="0" fillId="14" borderId="0" xfId="0" applyNumberFormat="1" applyFill="1" applyProtection="1">
      <protection locked="0"/>
    </xf>
    <xf numFmtId="1" fontId="10" fillId="14" borderId="0" xfId="0" applyNumberFormat="1" applyFont="1" applyFill="1" applyAlignment="1" applyProtection="1">
      <alignment horizontal="center" vertical="center"/>
      <protection locked="0"/>
    </xf>
    <xf numFmtId="43" fontId="0" fillId="14" borderId="0" xfId="1" applyFont="1" applyFill="1" applyProtection="1">
      <protection locked="0"/>
    </xf>
    <xf numFmtId="43" fontId="3" fillId="3" borderId="1" xfId="1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43" fontId="17" fillId="3" borderId="1" xfId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wrapText="1"/>
    </xf>
    <xf numFmtId="43" fontId="0" fillId="3" borderId="1" xfId="0" applyNumberFormat="1" applyFill="1" applyBorder="1"/>
    <xf numFmtId="43" fontId="18" fillId="3" borderId="1" xfId="0" applyNumberFormat="1" applyFont="1" applyFill="1" applyBorder="1"/>
    <xf numFmtId="0" fontId="7" fillId="3" borderId="1" xfId="0" applyFont="1" applyFill="1" applyBorder="1" applyAlignment="1" applyProtection="1">
      <alignment horizontal="center"/>
      <protection locked="0"/>
    </xf>
    <xf numFmtId="43" fontId="7" fillId="3" borderId="1" xfId="0" applyNumberFormat="1" applyFont="1" applyFill="1" applyBorder="1" applyAlignment="1" applyProtection="1">
      <alignment horizontal="center"/>
      <protection locked="0"/>
    </xf>
    <xf numFmtId="43" fontId="19" fillId="3" borderId="0" xfId="0" applyNumberFormat="1" applyFont="1" applyFill="1"/>
    <xf numFmtId="0" fontId="0" fillId="3" borderId="0" xfId="0" applyFill="1"/>
    <xf numFmtId="43" fontId="0" fillId="3" borderId="0" xfId="1" applyFont="1" applyFill="1" applyAlignment="1">
      <alignment wrapText="1"/>
    </xf>
    <xf numFmtId="9" fontId="19" fillId="3" borderId="0" xfId="2" applyFont="1" applyFill="1"/>
    <xf numFmtId="0" fontId="13" fillId="3" borderId="0" xfId="0" applyFont="1" applyFill="1"/>
    <xf numFmtId="0" fontId="0" fillId="3" borderId="0" xfId="0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left" wrapText="1"/>
    </xf>
    <xf numFmtId="0" fontId="0" fillId="4" borderId="10" xfId="0" applyFill="1" applyBorder="1" applyProtection="1">
      <protection locked="0"/>
    </xf>
    <xf numFmtId="43" fontId="0" fillId="12" borderId="0" xfId="0" applyNumberFormat="1" applyFill="1"/>
    <xf numFmtId="0" fontId="19" fillId="3" borderId="1" xfId="0" applyFont="1" applyFill="1" applyBorder="1"/>
    <xf numFmtId="0" fontId="0" fillId="0" borderId="0" xfId="0" applyAlignment="1">
      <alignment wrapText="1"/>
    </xf>
    <xf numFmtId="0" fontId="0" fillId="2" borderId="0" xfId="0" applyFill="1" applyAlignment="1" applyProtection="1">
      <alignment horizontal="center" wrapText="1"/>
      <protection locked="0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9" borderId="0" xfId="0" applyFont="1" applyFill="1" applyAlignment="1">
      <alignment horizontal="center" wrapText="1"/>
    </xf>
    <xf numFmtId="0" fontId="29" fillId="9" borderId="1" xfId="5" applyFont="1" applyFill="1" applyBorder="1" applyAlignment="1">
      <alignment horizontal="center"/>
    </xf>
    <xf numFmtId="49" fontId="23" fillId="0" borderId="0" xfId="3" applyNumberFormat="1" applyFont="1" applyAlignment="1">
      <alignment horizontal="left" vertical="center" wrapText="1"/>
    </xf>
    <xf numFmtId="49" fontId="25" fillId="0" borderId="1" xfId="3" applyNumberFormat="1" applyFont="1" applyBorder="1" applyAlignment="1">
      <alignment horizontal="center" vertical="center" wrapText="1" shrinkToFit="1"/>
    </xf>
    <xf numFmtId="49" fontId="26" fillId="0" borderId="1" xfId="3" applyNumberFormat="1" applyFont="1" applyBorder="1" applyAlignment="1">
      <alignment horizontal="center" vertical="center" wrapText="1" shrinkToFit="1"/>
    </xf>
    <xf numFmtId="168" fontId="24" fillId="0" borderId="1" xfId="5" applyNumberFormat="1" applyFont="1" applyBorder="1" applyAlignment="1" applyProtection="1">
      <alignment horizontal="center"/>
      <protection locked="0"/>
    </xf>
    <xf numFmtId="166" fontId="5" fillId="0" borderId="0" xfId="0" applyNumberFormat="1" applyFont="1" applyAlignment="1">
      <alignment horizontal="center" wrapText="1"/>
    </xf>
    <xf numFmtId="0" fontId="7" fillId="3" borderId="0" xfId="0" applyFont="1" applyFill="1" applyAlignment="1" applyProtection="1">
      <alignment horizontal="center" wrapText="1"/>
      <protection locked="0"/>
    </xf>
    <xf numFmtId="0" fontId="7" fillId="14" borderId="2" xfId="0" applyFont="1" applyFill="1" applyBorder="1" applyAlignment="1" applyProtection="1">
      <alignment horizontal="center"/>
      <protection locked="0"/>
    </xf>
    <xf numFmtId="43" fontId="30" fillId="3" borderId="0" xfId="1" applyFont="1" applyFill="1" applyAlignment="1">
      <alignment horizontal="center" wrapText="1"/>
    </xf>
    <xf numFmtId="49" fontId="11" fillId="3" borderId="0" xfId="1" applyNumberFormat="1" applyFont="1" applyFill="1" applyAlignment="1">
      <alignment horizontal="center" wrapText="1"/>
    </xf>
    <xf numFmtId="0" fontId="7" fillId="0" borderId="2" xfId="0" applyFont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 wrapText="1"/>
      <protection locked="0"/>
    </xf>
    <xf numFmtId="0" fontId="0" fillId="3" borderId="10" xfId="0" applyFill="1" applyBorder="1" applyAlignment="1" applyProtection="1">
      <alignment horizontal="center" wrapText="1"/>
      <protection locked="0"/>
    </xf>
    <xf numFmtId="2" fontId="0" fillId="0" borderId="5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7" fontId="7" fillId="9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34" fillId="9" borderId="1" xfId="0" applyFont="1" applyFill="1" applyBorder="1" applyAlignment="1" applyProtection="1">
      <alignment wrapText="1"/>
      <protection locked="0"/>
    </xf>
  </cellXfs>
  <cellStyles count="8">
    <cellStyle name="Денежный" xfId="7" builtinId="4"/>
    <cellStyle name="Обычный" xfId="0" builtinId="0"/>
    <cellStyle name="Обычный_226 сады" xfId="3"/>
    <cellStyle name="Обычный_226 школы" xfId="4"/>
    <cellStyle name="Обычный_Дет.дом 226" xfId="6"/>
    <cellStyle name="Обычный_УДО 226" xfId="5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13</xdr:row>
      <xdr:rowOff>581025</xdr:rowOff>
    </xdr:from>
    <xdr:to>
      <xdr:col>2</xdr:col>
      <xdr:colOff>0</xdr:colOff>
      <xdr:row>15</xdr:row>
      <xdr:rowOff>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7360AF09-A7BA-4D48-8EFD-FA74DFB0F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075" y="5838825"/>
          <a:ext cx="6445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215900</xdr:colOff>
      <xdr:row>13</xdr:row>
      <xdr:rowOff>203200</xdr:rowOff>
    </xdr:from>
    <xdr:to>
      <xdr:col>1</xdr:col>
      <xdr:colOff>571500</xdr:colOff>
      <xdr:row>13</xdr:row>
      <xdr:rowOff>431800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E1607BD8-4E6C-4B3A-8189-9BFAF56C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8737600"/>
          <a:ext cx="355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139700</xdr:colOff>
      <xdr:row>6</xdr:row>
      <xdr:rowOff>187325</xdr:rowOff>
    </xdr:from>
    <xdr:to>
      <xdr:col>1</xdr:col>
      <xdr:colOff>342900</xdr:colOff>
      <xdr:row>6</xdr:row>
      <xdr:rowOff>390525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4E4F8645-1AB1-49C4-88A6-EEF9078AB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6650" y="1825625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2</xdr:row>
      <xdr:rowOff>114300</xdr:rowOff>
    </xdr:from>
    <xdr:to>
      <xdr:col>1</xdr:col>
      <xdr:colOff>609600</xdr:colOff>
      <xdr:row>2</xdr:row>
      <xdr:rowOff>317500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57CB0977-B282-4B6F-9A37-F83FCC32F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2152650"/>
          <a:ext cx="3810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215900</xdr:colOff>
      <xdr:row>5</xdr:row>
      <xdr:rowOff>241300</xdr:rowOff>
    </xdr:from>
    <xdr:to>
      <xdr:col>1</xdr:col>
      <xdr:colOff>571500</xdr:colOff>
      <xdr:row>5</xdr:row>
      <xdr:rowOff>469900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23D32031-8A3D-4339-ABE5-51234B3A5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3908425"/>
          <a:ext cx="355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203200</xdr:colOff>
      <xdr:row>3</xdr:row>
      <xdr:rowOff>215900</xdr:rowOff>
    </xdr:from>
    <xdr:to>
      <xdr:col>1</xdr:col>
      <xdr:colOff>596900</xdr:colOff>
      <xdr:row>3</xdr:row>
      <xdr:rowOff>431800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E7435EC1-754C-4D2D-BFC3-4EDA7806B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2925" y="2654300"/>
          <a:ext cx="3937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203200</xdr:colOff>
      <xdr:row>4</xdr:row>
      <xdr:rowOff>139700</xdr:rowOff>
    </xdr:from>
    <xdr:to>
      <xdr:col>1</xdr:col>
      <xdr:colOff>584200</xdr:colOff>
      <xdr:row>4</xdr:row>
      <xdr:rowOff>393700</xdr:rowOff>
    </xdr:to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DF99CA07-BEC8-4ADE-ADDC-BC9399DF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2925" y="3273425"/>
          <a:ext cx="381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kostin/Library/Containers/com.microsoft.Excel/Data/Documents/F:/&#1053;&#1072;&#1074;&#1080;&#1075;&#1072;&#1090;&#1086;&#1088;&#1099;/&#1056;&#1045;&#1043;&#1048;&#1054;&#1053;&#1067;/&#1052;&#1086;&#1089;&#1082;&#1074;&#1072;/19.%20&#1057;&#1093;&#1086;&#1076;&#1080;&#1084;&#1086;&#1089;&#1090;&#1100;%20&#1084;&#1086;&#1076;&#1077;&#1083;&#1080;%20&#1055;&#1060;%20&#1044;&#1054;&#1044;%20&#1052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50;&#1054;&#1053;&#1054;&#1052;&#1048;&#1063;&#1045;&#1057;&#1050;&#1048;&#1049;%20&#1054;&#1058;&#1044;&#1045;&#1051;/&#1055;&#1045;&#1056;&#1057;&#1054;&#1053;&#1048;&#1060;&#1048;&#1062;&#1048;&#1056;&#1054;&#1042;&#1040;&#1053;&#1053;&#1054;&#1045;%20&#1060;&#1048;&#1053;&#1040;&#1053;&#1057;&#1048;&#1056;&#1054;&#1042;&#1040;&#1053;&#1048;&#1045;/&#1089;&#1086;&#1075;&#1083;&#1072;&#1089;&#1086;&#1074;&#1072;&#1085;&#1080;&#1077;%20&#1085;&#1072;%20&#1089;&#1072;&#1081;&#1090;&#1077;%20&#1088;&#1072;&#1089;&#1095;&#1077;&#1090;&#1086;&#1074;/24.03.2021/&#1086;&#1090;%20&#1091;&#1095;&#1088;/22_03_&#1044;&#1044;&#1058;_&#1042;&#1043;&#1054;_&#1045;&#1076;&#1080;&#1085;&#1099;&#1080;&#774;%20&#1088;&#1072;&#1089;&#1095;&#1077;&#1090;%20&#1087;&#1072;&#1088;&#1072;&#1084;&#1077;&#1090;&#1088;&#1086;&#1074;%20&#1055;&#1060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Расчет номинала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номинала"/>
      <sheetName val="Затраты на содержание УДО"/>
      <sheetName val="Расчет нормативной стоимости"/>
      <sheetName val="Сходимость модели ПФ"/>
      <sheetName val="Общеразв. программы НЕ ПФ "/>
      <sheetName val="Уточнение мунзадания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view="pageBreakPreview" topLeftCell="A7" zoomScaleNormal="85" zoomScaleSheetLayoutView="100" workbookViewId="0">
      <selection activeCell="F3" sqref="F3"/>
    </sheetView>
  </sheetViews>
  <sheetFormatPr defaultColWidth="10.875" defaultRowHeight="15.75" x14ac:dyDescent="0.25"/>
  <cols>
    <col min="1" max="1" width="36.5" style="2" customWidth="1"/>
    <col min="2" max="2" width="15.375" style="2" customWidth="1"/>
    <col min="3" max="3" width="15.875" style="2" customWidth="1"/>
    <col min="4" max="4" width="15.875" style="2" bestFit="1" customWidth="1"/>
    <col min="5" max="5" width="14.625" style="2" bestFit="1" customWidth="1"/>
    <col min="6" max="6" width="17.125" style="2" customWidth="1"/>
    <col min="7" max="7" width="15.5" style="2" customWidth="1"/>
    <col min="8" max="8" width="13.375" style="2" customWidth="1"/>
    <col min="9" max="9" width="15" style="2" customWidth="1"/>
    <col min="10" max="11" width="13.375" style="2" customWidth="1"/>
    <col min="12" max="31" width="13.375" style="2" hidden="1" customWidth="1"/>
    <col min="32" max="32" width="11.375" style="2" bestFit="1" customWidth="1"/>
    <col min="33" max="16384" width="10.875" style="2"/>
  </cols>
  <sheetData>
    <row r="1" spans="1:32" ht="63" x14ac:dyDescent="0.25">
      <c r="A1" s="69" t="s">
        <v>0</v>
      </c>
      <c r="B1" s="9" t="s">
        <v>112</v>
      </c>
      <c r="C1" s="9" t="s">
        <v>24</v>
      </c>
      <c r="D1" s="11" t="s">
        <v>15</v>
      </c>
      <c r="E1" s="9" t="s">
        <v>25</v>
      </c>
      <c r="F1" s="9" t="s">
        <v>16</v>
      </c>
      <c r="G1" s="9" t="s">
        <v>17</v>
      </c>
      <c r="I1" s="9" t="s">
        <v>129</v>
      </c>
    </row>
    <row r="2" spans="1:32" x14ac:dyDescent="0.25">
      <c r="A2" s="129" t="s">
        <v>115</v>
      </c>
      <c r="B2" s="12">
        <v>4186</v>
      </c>
      <c r="C2" s="10">
        <v>0.75</v>
      </c>
      <c r="D2" s="27">
        <f>1438-47-8</f>
        <v>1383</v>
      </c>
      <c r="E2" s="10">
        <v>0.25</v>
      </c>
      <c r="F2" s="27">
        <v>400</v>
      </c>
      <c r="G2" s="134">
        <f>F2*E19</f>
        <v>3400000</v>
      </c>
      <c r="I2" s="39">
        <f>D2/B2*100</f>
        <v>33.04</v>
      </c>
    </row>
    <row r="3" spans="1:32" ht="48.75" customHeight="1" x14ac:dyDescent="0.25">
      <c r="A3" s="7"/>
      <c r="D3" s="25" t="str">
        <f>IF(D2&lt;B2*C2,"Охват недостаточен"," ")</f>
        <v>Охват недостаточен</v>
      </c>
      <c r="F3" s="26" t="str">
        <f>IF(F2&lt;B2*E2,"Охват недостаточен"," ")</f>
        <v>Охват недостаточен</v>
      </c>
    </row>
    <row r="4" spans="1:32" ht="69" customHeight="1" x14ac:dyDescent="0.25">
      <c r="A4" s="68" t="s">
        <v>48</v>
      </c>
      <c r="B4" s="212" t="s">
        <v>113</v>
      </c>
      <c r="C4" s="212"/>
      <c r="D4" s="212" t="s">
        <v>114</v>
      </c>
      <c r="E4" s="212"/>
      <c r="F4" s="212" t="s">
        <v>1</v>
      </c>
      <c r="G4" s="212"/>
      <c r="H4" s="212" t="s">
        <v>2</v>
      </c>
      <c r="I4" s="212"/>
      <c r="J4" s="212" t="s">
        <v>3</v>
      </c>
      <c r="K4" s="212"/>
      <c r="L4" s="212" t="s">
        <v>4</v>
      </c>
      <c r="M4" s="212"/>
      <c r="N4" s="212" t="s">
        <v>5</v>
      </c>
      <c r="O4" s="212"/>
      <c r="P4" s="212" t="s">
        <v>6</v>
      </c>
      <c r="Q4" s="212"/>
      <c r="R4" s="212" t="s">
        <v>7</v>
      </c>
      <c r="S4" s="212"/>
      <c r="T4" s="212" t="s">
        <v>8</v>
      </c>
      <c r="U4" s="212"/>
      <c r="V4" s="212" t="s">
        <v>19</v>
      </c>
      <c r="W4" s="212"/>
      <c r="X4" s="212" t="s">
        <v>20</v>
      </c>
      <c r="Y4" s="212"/>
      <c r="Z4" s="212" t="s">
        <v>21</v>
      </c>
      <c r="AA4" s="212"/>
      <c r="AB4" s="212" t="s">
        <v>22</v>
      </c>
      <c r="AC4" s="212"/>
      <c r="AD4" s="212" t="s">
        <v>23</v>
      </c>
      <c r="AE4" s="212"/>
    </row>
    <row r="5" spans="1:32" s="60" customFormat="1" x14ac:dyDescent="0.25">
      <c r="A5" s="67" t="s">
        <v>54</v>
      </c>
      <c r="B5" s="212">
        <v>4102006697</v>
      </c>
      <c r="C5" s="212"/>
      <c r="D5" s="212">
        <v>4102004019</v>
      </c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</row>
    <row r="6" spans="1:32" ht="31.5" x14ac:dyDescent="0.25">
      <c r="A6" s="13" t="s">
        <v>58</v>
      </c>
      <c r="B6" s="19">
        <v>0</v>
      </c>
      <c r="C6" s="21"/>
      <c r="D6" s="19">
        <v>0</v>
      </c>
      <c r="E6" s="21"/>
      <c r="F6" s="19"/>
      <c r="G6" s="21"/>
      <c r="H6" s="19"/>
      <c r="I6" s="21"/>
      <c r="J6" s="19"/>
      <c r="K6" s="21"/>
      <c r="L6" s="19"/>
      <c r="M6" s="20"/>
      <c r="N6" s="19"/>
      <c r="O6" s="20"/>
      <c r="P6" s="19"/>
      <c r="Q6" s="20"/>
      <c r="R6" s="19"/>
      <c r="S6" s="20"/>
      <c r="T6" s="19"/>
      <c r="U6" s="20"/>
      <c r="V6" s="19"/>
      <c r="W6" s="20"/>
      <c r="X6" s="19"/>
      <c r="Y6" s="20"/>
      <c r="Z6" s="19"/>
      <c r="AA6" s="20"/>
      <c r="AB6" s="19"/>
      <c r="AC6" s="20"/>
      <c r="AD6" s="19"/>
      <c r="AE6" s="20"/>
    </row>
    <row r="7" spans="1:32" ht="15.95" customHeight="1" x14ac:dyDescent="0.25">
      <c r="A7" s="211" t="s">
        <v>59</v>
      </c>
      <c r="B7" s="213" t="s">
        <v>50</v>
      </c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</row>
    <row r="8" spans="1:32" s="18" customFormat="1" ht="78.75" x14ac:dyDescent="0.25">
      <c r="A8" s="211"/>
      <c r="B8" s="18" t="s">
        <v>55</v>
      </c>
      <c r="C8" s="18" t="s">
        <v>56</v>
      </c>
      <c r="D8" s="18" t="s">
        <v>55</v>
      </c>
      <c r="E8" s="18" t="s">
        <v>56</v>
      </c>
      <c r="F8" s="18" t="s">
        <v>55</v>
      </c>
      <c r="G8" s="18" t="s">
        <v>56</v>
      </c>
      <c r="H8" s="18" t="s">
        <v>55</v>
      </c>
      <c r="I8" s="18" t="s">
        <v>56</v>
      </c>
      <c r="J8" s="18" t="s">
        <v>55</v>
      </c>
      <c r="K8" s="18" t="s">
        <v>56</v>
      </c>
      <c r="L8" s="18" t="s">
        <v>55</v>
      </c>
      <c r="M8" s="18" t="s">
        <v>56</v>
      </c>
      <c r="N8" s="18" t="s">
        <v>55</v>
      </c>
      <c r="O8" s="18" t="s">
        <v>56</v>
      </c>
      <c r="P8" s="18" t="s">
        <v>55</v>
      </c>
      <c r="Q8" s="18" t="s">
        <v>56</v>
      </c>
      <c r="R8" s="18" t="s">
        <v>55</v>
      </c>
      <c r="S8" s="18" t="s">
        <v>56</v>
      </c>
      <c r="T8" s="18" t="s">
        <v>55</v>
      </c>
      <c r="U8" s="18" t="s">
        <v>56</v>
      </c>
      <c r="V8" s="18" t="s">
        <v>55</v>
      </c>
      <c r="W8" s="18" t="s">
        <v>56</v>
      </c>
      <c r="X8" s="18" t="s">
        <v>55</v>
      </c>
      <c r="Y8" s="18" t="s">
        <v>56</v>
      </c>
      <c r="Z8" s="18" t="s">
        <v>55</v>
      </c>
      <c r="AA8" s="18" t="s">
        <v>56</v>
      </c>
      <c r="AB8" s="18" t="s">
        <v>55</v>
      </c>
      <c r="AC8" s="18" t="s">
        <v>56</v>
      </c>
      <c r="AD8" s="18" t="s">
        <v>55</v>
      </c>
      <c r="AE8" s="18" t="s">
        <v>56</v>
      </c>
    </row>
    <row r="9" spans="1:32" x14ac:dyDescent="0.25">
      <c r="A9" s="1" t="s">
        <v>9</v>
      </c>
      <c r="B9" s="15">
        <v>351.5</v>
      </c>
      <c r="C9" s="16">
        <v>25868</v>
      </c>
      <c r="D9" s="15">
        <f>348.14*1.00055</f>
        <v>348.33</v>
      </c>
      <c r="E9" s="16">
        <v>9792</v>
      </c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34">
        <f>AVERAGE(D9,B9)</f>
        <v>349.92</v>
      </c>
    </row>
    <row r="10" spans="1:32" x14ac:dyDescent="0.25">
      <c r="A10" s="1" t="s">
        <v>10</v>
      </c>
      <c r="B10" s="15">
        <v>220.52</v>
      </c>
      <c r="C10" s="16">
        <v>3046</v>
      </c>
      <c r="D10" s="15">
        <f>316.68*1.00055</f>
        <v>316.85000000000002</v>
      </c>
      <c r="E10" s="16">
        <v>24624</v>
      </c>
      <c r="F10" s="15"/>
      <c r="G10" s="16"/>
      <c r="H10" s="15"/>
      <c r="I10" s="16"/>
      <c r="J10" s="15"/>
      <c r="K10" s="16"/>
      <c r="L10" s="15"/>
      <c r="M10" s="16"/>
      <c r="N10" s="15"/>
      <c r="O10" s="16"/>
      <c r="P10" s="15"/>
      <c r="Q10" s="16"/>
      <c r="R10" s="15"/>
      <c r="S10" s="16"/>
      <c r="T10" s="15"/>
      <c r="U10" s="16"/>
      <c r="V10" s="15"/>
      <c r="W10" s="16"/>
      <c r="X10" s="15"/>
      <c r="Y10" s="16"/>
      <c r="Z10" s="15"/>
      <c r="AA10" s="16"/>
      <c r="AB10" s="15"/>
      <c r="AC10" s="16"/>
      <c r="AD10" s="15"/>
      <c r="AE10" s="16"/>
      <c r="AF10" s="34">
        <f t="shared" ref="AF10:AF14" si="0">AVERAGE(D10,B10)</f>
        <v>268.69</v>
      </c>
    </row>
    <row r="11" spans="1:32" x14ac:dyDescent="0.25">
      <c r="A11" s="1" t="s">
        <v>11</v>
      </c>
      <c r="B11" s="15">
        <v>307.13</v>
      </c>
      <c r="C11" s="16">
        <v>66118</v>
      </c>
      <c r="D11" s="15">
        <f>359.32*1.00055</f>
        <v>359.52</v>
      </c>
      <c r="E11" s="16">
        <v>43524</v>
      </c>
      <c r="F11" s="15"/>
      <c r="G11" s="16"/>
      <c r="H11" s="15"/>
      <c r="I11" s="16"/>
      <c r="J11" s="15"/>
      <c r="K11" s="16"/>
      <c r="L11" s="15"/>
      <c r="M11" s="16"/>
      <c r="N11" s="15"/>
      <c r="O11" s="16"/>
      <c r="P11" s="15"/>
      <c r="Q11" s="16"/>
      <c r="R11" s="15"/>
      <c r="S11" s="16"/>
      <c r="T11" s="15"/>
      <c r="U11" s="16"/>
      <c r="V11" s="15"/>
      <c r="W11" s="16"/>
      <c r="X11" s="15"/>
      <c r="Y11" s="16"/>
      <c r="Z11" s="15"/>
      <c r="AA11" s="16"/>
      <c r="AB11" s="15"/>
      <c r="AC11" s="16"/>
      <c r="AD11" s="15"/>
      <c r="AE11" s="16"/>
      <c r="AF11" s="34">
        <f t="shared" si="0"/>
        <v>333.33</v>
      </c>
    </row>
    <row r="12" spans="1:32" x14ac:dyDescent="0.25">
      <c r="A12" s="1" t="s">
        <v>12</v>
      </c>
      <c r="B12" s="15"/>
      <c r="C12" s="16"/>
      <c r="D12" s="15"/>
      <c r="E12" s="16">
        <v>0</v>
      </c>
      <c r="F12" s="15"/>
      <c r="G12" s="16"/>
      <c r="H12" s="15"/>
      <c r="I12" s="16"/>
      <c r="J12" s="15"/>
      <c r="K12" s="16"/>
      <c r="L12" s="15"/>
      <c r="M12" s="16"/>
      <c r="N12" s="15"/>
      <c r="O12" s="16"/>
      <c r="P12" s="15"/>
      <c r="Q12" s="16"/>
      <c r="R12" s="15"/>
      <c r="S12" s="16"/>
      <c r="T12" s="15"/>
      <c r="U12" s="16"/>
      <c r="V12" s="15"/>
      <c r="W12" s="16"/>
      <c r="X12" s="15"/>
      <c r="Y12" s="16"/>
      <c r="Z12" s="15"/>
      <c r="AA12" s="16"/>
      <c r="AB12" s="15"/>
      <c r="AC12" s="16"/>
      <c r="AD12" s="15"/>
      <c r="AE12" s="16"/>
      <c r="AF12" s="34"/>
    </row>
    <row r="13" spans="1:32" x14ac:dyDescent="0.25">
      <c r="A13" s="1" t="s">
        <v>13</v>
      </c>
      <c r="B13" s="15"/>
      <c r="C13" s="16"/>
      <c r="D13" s="15"/>
      <c r="E13" s="16">
        <v>0</v>
      </c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  <c r="AF13" s="34"/>
    </row>
    <row r="14" spans="1:32" x14ac:dyDescent="0.25">
      <c r="A14" s="1" t="s">
        <v>57</v>
      </c>
      <c r="B14" s="15">
        <v>313.77999999999997</v>
      </c>
      <c r="C14" s="16">
        <v>51652</v>
      </c>
      <c r="D14" s="15">
        <f>416.1*1.00054</f>
        <v>416.32</v>
      </c>
      <c r="E14" s="16">
        <v>52848</v>
      </c>
      <c r="F14" s="15"/>
      <c r="G14" s="16"/>
      <c r="H14" s="15"/>
      <c r="I14" s="16"/>
      <c r="J14" s="15"/>
      <c r="K14" s="16"/>
      <c r="L14" s="15"/>
      <c r="M14" s="16"/>
      <c r="N14" s="15"/>
      <c r="O14" s="16"/>
      <c r="P14" s="15"/>
      <c r="Q14" s="16"/>
      <c r="R14" s="15"/>
      <c r="S14" s="16"/>
      <c r="T14" s="15"/>
      <c r="U14" s="16"/>
      <c r="V14" s="15"/>
      <c r="W14" s="16"/>
      <c r="X14" s="15"/>
      <c r="Y14" s="16"/>
      <c r="Z14" s="15"/>
      <c r="AA14" s="16"/>
      <c r="AB14" s="15"/>
      <c r="AC14" s="16"/>
      <c r="AD14" s="15"/>
      <c r="AE14" s="16"/>
      <c r="AF14" s="34">
        <f t="shared" si="0"/>
        <v>365.05</v>
      </c>
    </row>
    <row r="15" spans="1:32" ht="31.5" x14ac:dyDescent="0.25">
      <c r="A15" s="5" t="s">
        <v>60</v>
      </c>
      <c r="B15" s="6"/>
      <c r="C15" s="17">
        <f>B9*C9+B10*C10+B11*C11+B12*C12+B13*C13+B14*C14</f>
        <v>46278492</v>
      </c>
      <c r="D15" s="6"/>
      <c r="E15" s="17">
        <f>D9*E9+D10*E10+D11*E11+D12*E12+D13*E13+D14*E14</f>
        <v>48862390</v>
      </c>
      <c r="F15" s="6"/>
      <c r="G15" s="17">
        <f>F9*G9+F10*G10+F11*G11+F12*G12+F13*G13+F14*G14</f>
        <v>0</v>
      </c>
      <c r="H15" s="6"/>
      <c r="I15" s="17">
        <f>H9*I9+H10*I10+H11*I11+H12*I12+H13*I13+H14*I14</f>
        <v>0</v>
      </c>
      <c r="J15" s="6"/>
      <c r="K15" s="17">
        <f>J9*K9+J10*K10+J11*K11+J12*K12+J13*K13+J14*K14</f>
        <v>0</v>
      </c>
      <c r="L15" s="6"/>
      <c r="M15" s="17">
        <f>L9*M9+L10*M10+L11*M11+L12*M12+L13*M13+L14*M14</f>
        <v>0</v>
      </c>
      <c r="N15" s="6"/>
      <c r="O15" s="17">
        <f>N9*O9+N10*O10+N11*O11+N12*O12+N13*O13+N14*O14</f>
        <v>0</v>
      </c>
      <c r="P15" s="6"/>
      <c r="Q15" s="17">
        <f>P9*Q9+P10*Q10+P11*Q11+P12*Q12+P13*Q13+P14*Q14</f>
        <v>0</v>
      </c>
      <c r="R15" s="6"/>
      <c r="S15" s="17">
        <f>R9*S9+R10*S10+R11*S11+R12*S12+R13*S13+R14*S14</f>
        <v>0</v>
      </c>
      <c r="T15" s="6"/>
      <c r="U15" s="17">
        <f>T9*U9+T10*U10+T11*U11+T12*U12+T13*U13+T14*U14</f>
        <v>0</v>
      </c>
      <c r="V15" s="6"/>
      <c r="W15" s="17">
        <f t="shared" ref="W15" si="1">V9*W9+V10*W10+V11*W11+V12*W12+V13*W13+V14*W14</f>
        <v>0</v>
      </c>
      <c r="X15" s="6"/>
      <c r="Y15" s="17">
        <f t="shared" ref="Y15" si="2">X9*Y9+X10*Y10+X11*Y11+X12*Y12+X13*Y13+X14*Y14</f>
        <v>0</v>
      </c>
      <c r="Z15" s="6"/>
      <c r="AA15" s="17">
        <f t="shared" ref="AA15" si="3">Z9*AA9+Z10*AA10+Z11*AA11+Z12*AA12+Z13*AA13+Z14*AA14</f>
        <v>0</v>
      </c>
      <c r="AB15" s="6"/>
      <c r="AC15" s="17">
        <f t="shared" ref="AC15" si="4">AB9*AC9+AB10*AC10+AB11*AC11+AB12*AC12+AB13*AC13+AB14*AC14</f>
        <v>0</v>
      </c>
      <c r="AD15" s="6"/>
      <c r="AE15" s="17">
        <f t="shared" ref="AE15" si="5">AD9*AE9+AD10*AE10+AD11*AE11+AD12*AE12+AD13*AE13+AD14*AE14</f>
        <v>0</v>
      </c>
      <c r="AF15" s="34">
        <f>AVERAGE(AF9:AF14)</f>
        <v>329.25</v>
      </c>
    </row>
    <row r="16" spans="1:32" s="35" customFormat="1" ht="31.5" x14ac:dyDescent="0.25">
      <c r="A16" s="5" t="s">
        <v>61</v>
      </c>
      <c r="B16" s="6">
        <f>C15+B6</f>
        <v>46278492</v>
      </c>
      <c r="C16" s="17"/>
      <c r="D16" s="6">
        <f>E15+D6</f>
        <v>48862390</v>
      </c>
      <c r="E16" s="17"/>
      <c r="F16" s="6">
        <f>G15+F6</f>
        <v>0</v>
      </c>
      <c r="G16" s="17"/>
      <c r="H16" s="6">
        <f>I15+H6</f>
        <v>0</v>
      </c>
      <c r="I16" s="17"/>
      <c r="J16" s="6">
        <f>K15+J6</f>
        <v>0</v>
      </c>
      <c r="K16" s="17"/>
      <c r="L16" s="6">
        <f>M15+L6</f>
        <v>0</v>
      </c>
      <c r="M16" s="17"/>
      <c r="N16" s="6">
        <f>O15+N6</f>
        <v>0</v>
      </c>
      <c r="O16" s="17"/>
      <c r="P16" s="6">
        <f>Q15+P6</f>
        <v>0</v>
      </c>
      <c r="Q16" s="17"/>
      <c r="R16" s="6">
        <f>S15+R6</f>
        <v>0</v>
      </c>
      <c r="S16" s="17"/>
      <c r="T16" s="6">
        <f>U15+T6</f>
        <v>0</v>
      </c>
      <c r="U16" s="17"/>
      <c r="V16" s="6">
        <f>W15+V6</f>
        <v>0</v>
      </c>
      <c r="W16" s="17"/>
      <c r="X16" s="6">
        <f>Y15+X6</f>
        <v>0</v>
      </c>
      <c r="Y16" s="17"/>
      <c r="Z16" s="6">
        <f>AA15+Z6</f>
        <v>0</v>
      </c>
      <c r="AA16" s="17"/>
      <c r="AB16" s="6">
        <f>AC15+AB6</f>
        <v>0</v>
      </c>
      <c r="AC16" s="17"/>
      <c r="AD16" s="6">
        <f>AE15+AD6</f>
        <v>0</v>
      </c>
      <c r="AE16" s="17"/>
    </row>
    <row r="17" spans="1:32" ht="37.5" customHeight="1" x14ac:dyDescent="0.25">
      <c r="A17" s="136" t="s">
        <v>101</v>
      </c>
      <c r="B17" s="137">
        <f>MAX('Расчет нормативной стоимости'!F7:K7)</f>
        <v>265.49</v>
      </c>
      <c r="C17" s="214" t="s">
        <v>18</v>
      </c>
      <c r="D17" s="214"/>
      <c r="E17" s="14">
        <v>36</v>
      </c>
      <c r="F17" s="3"/>
      <c r="G17" s="3"/>
      <c r="H17" s="3"/>
      <c r="I17" s="3"/>
      <c r="J17" s="3"/>
      <c r="K17" s="3"/>
      <c r="AF17" s="2">
        <f>C15/(C9+C10+C11+C14)</f>
        <v>315.4978866134</v>
      </c>
    </row>
    <row r="18" spans="1:32" ht="47.25" x14ac:dyDescent="0.25">
      <c r="A18" s="135" t="s">
        <v>14</v>
      </c>
      <c r="B18" s="8">
        <v>72</v>
      </c>
      <c r="C18" s="214" t="s">
        <v>81</v>
      </c>
      <c r="D18" s="214"/>
      <c r="E18" s="127">
        <v>16</v>
      </c>
      <c r="F18" s="3"/>
      <c r="I18" s="3"/>
      <c r="J18" s="3"/>
      <c r="K18" s="3"/>
    </row>
    <row r="19" spans="1:32" ht="45" customHeight="1" x14ac:dyDescent="0.25">
      <c r="A19" s="5" t="s">
        <v>62</v>
      </c>
      <c r="B19" s="131">
        <f>ROUNDUP(B18*B17,-1)</f>
        <v>19120</v>
      </c>
      <c r="C19" s="215" t="s">
        <v>82</v>
      </c>
      <c r="D19" s="215"/>
      <c r="E19" s="132">
        <f>ROUNDUP(B19/E17*E18,-1)</f>
        <v>8500</v>
      </c>
      <c r="F19" s="138" t="str">
        <f>IF(G2&gt;SUM(B15:AE15)/3,"Требуется выделение дополнительных средств"," ")</f>
        <v xml:space="preserve"> </v>
      </c>
      <c r="I19" s="138"/>
      <c r="J19" s="3"/>
      <c r="K19" s="3"/>
    </row>
    <row r="20" spans="1:32" x14ac:dyDescent="0.25">
      <c r="C20" s="4"/>
      <c r="D20" s="4"/>
      <c r="E20" s="4"/>
      <c r="F20" s="4"/>
      <c r="G20" s="4"/>
      <c r="H20" s="4"/>
      <c r="I20" s="4"/>
      <c r="J20" s="4"/>
      <c r="K20" s="4"/>
    </row>
    <row r="21" spans="1:32" x14ac:dyDescent="0.25">
      <c r="B21" s="4"/>
      <c r="C21" s="4">
        <f>C15/(+C11+C10+C9+C14)</f>
        <v>315.5</v>
      </c>
      <c r="D21" s="4">
        <f t="shared" ref="D21:E21" si="6">D15/(+D11+D10+D9+D14)</f>
        <v>0</v>
      </c>
      <c r="E21" s="4">
        <f t="shared" si="6"/>
        <v>373.6</v>
      </c>
      <c r="F21" s="4"/>
      <c r="G21" s="4"/>
      <c r="H21" s="4"/>
      <c r="I21" s="4"/>
      <c r="J21" s="4"/>
      <c r="K21" s="4"/>
    </row>
    <row r="22" spans="1:3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32" x14ac:dyDescent="0.25">
      <c r="G23" s="2" t="s">
        <v>127</v>
      </c>
      <c r="H23" s="34">
        <f>E19/4</f>
        <v>2125</v>
      </c>
    </row>
    <row r="24" spans="1:32" x14ac:dyDescent="0.25">
      <c r="G24" s="2" t="s">
        <v>128</v>
      </c>
      <c r="H24" s="34">
        <f>H23/8</f>
        <v>265.63</v>
      </c>
    </row>
  </sheetData>
  <mergeCells count="35">
    <mergeCell ref="X5:Y5"/>
    <mergeCell ref="Z5:AA5"/>
    <mergeCell ref="AB5:AC5"/>
    <mergeCell ref="AD5:AE5"/>
    <mergeCell ref="C19:D19"/>
    <mergeCell ref="C18:D18"/>
    <mergeCell ref="V5:W5"/>
    <mergeCell ref="AD4:AE4"/>
    <mergeCell ref="V4:W4"/>
    <mergeCell ref="X4:Y4"/>
    <mergeCell ref="Z4:AA4"/>
    <mergeCell ref="AB4:AC4"/>
    <mergeCell ref="F4:G4"/>
    <mergeCell ref="D4:E4"/>
    <mergeCell ref="B7:U7"/>
    <mergeCell ref="C17:D17"/>
    <mergeCell ref="B5:C5"/>
    <mergeCell ref="D5:E5"/>
    <mergeCell ref="F5:G5"/>
    <mergeCell ref="A7:A8"/>
    <mergeCell ref="B4:C4"/>
    <mergeCell ref="T4:U4"/>
    <mergeCell ref="R4:S4"/>
    <mergeCell ref="P4:Q4"/>
    <mergeCell ref="N4:O4"/>
    <mergeCell ref="L4:M4"/>
    <mergeCell ref="J4:K4"/>
    <mergeCell ref="H5:I5"/>
    <mergeCell ref="J5:K5"/>
    <mergeCell ref="L5:M5"/>
    <mergeCell ref="N5:O5"/>
    <mergeCell ref="P5:Q5"/>
    <mergeCell ref="R5:S5"/>
    <mergeCell ref="T5:U5"/>
    <mergeCell ref="H4:I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1" manualBreakCount="1">
    <brk id="9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0F29CEB3-1F73-2242-A17E-C93D030CB512}">
            <x14:iconSet iconSet="3Arrows" custom="1">
              <x14:cfvo type="percent">
                <xm:f>0</xm:f>
              </x14:cfvo>
              <x14:cfvo type="num">
                <xm:f>-0.1</xm:f>
              </x14:cfvo>
              <x14:cfvo type="num">
                <xm:f>0.1</xm:f>
              </x14:cfvo>
              <x14:cfIcon iconSet="3Arrows" iconId="0"/>
              <x14:cfIcon iconSet="3Arrows" iconId="1"/>
              <x14:cfIcon iconSet="3Arrows" iconId="2"/>
            </x14:iconSet>
          </x14:cfRule>
          <xm:sqref>G1 B1</xm:sqref>
        </x14:conditionalFormatting>
        <x14:conditionalFormatting xmlns:xm="http://schemas.microsoft.com/office/excel/2006/main">
          <x14:cfRule type="iconSet" priority="5" id="{B51FBFC1-F56F-584C-AB07-CEDD14DC51BB}">
            <x14:iconSet iconSet="3Arrows" custom="1">
              <x14:cfvo type="percent">
                <xm:f>0</xm:f>
              </x14:cfvo>
              <x14:cfvo type="num">
                <xm:f>-0.1</xm:f>
              </x14:cfvo>
              <x14:cfvo type="num">
                <xm:f>0.1</xm:f>
              </x14:cfvo>
              <x14:cfIcon iconSet="3Arrows" iconId="0"/>
              <x14:cfIcon iconSet="3Arrows" iconId="1"/>
              <x14:cfIcon iconSet="3Arrows" iconId="2"/>
            </x14:iconSet>
          </x14:cfRule>
          <xm:sqref>F1</xm:sqref>
        </x14:conditionalFormatting>
        <x14:conditionalFormatting xmlns:xm="http://schemas.microsoft.com/office/excel/2006/main">
          <x14:cfRule type="iconSet" priority="3" id="{83A772D8-3345-A74F-893B-28520F10A3C5}">
            <x14:iconSet iconSet="3Arrows" custom="1">
              <x14:cfvo type="percent">
                <xm:f>0</xm:f>
              </x14:cfvo>
              <x14:cfvo type="num">
                <xm:f>-0.1</xm:f>
              </x14:cfvo>
              <x14:cfvo type="num">
                <xm:f>0.1</xm:f>
              </x14:cfvo>
              <x14:cfIcon iconSet="3Arrows" iconId="0"/>
              <x14:cfIcon iconSet="3Arrows" iconId="1"/>
              <x14:cfIcon iconSet="3Arrows" iconId="2"/>
            </x14:iconSet>
          </x14:cfRule>
          <xm:sqref>C1</xm:sqref>
        </x14:conditionalFormatting>
        <x14:conditionalFormatting xmlns:xm="http://schemas.microsoft.com/office/excel/2006/main">
          <x14:cfRule type="iconSet" priority="2" id="{64130FF3-410F-4810-9CE6-83BD17B06AF2}">
            <x14:iconSet iconSet="3Arrows" custom="1">
              <x14:cfvo type="percent">
                <xm:f>0</xm:f>
              </x14:cfvo>
              <x14:cfvo type="num">
                <xm:f>-0.1</xm:f>
              </x14:cfvo>
              <x14:cfvo type="num">
                <xm:f>0.1</xm:f>
              </x14:cfvo>
              <x14:cfIcon iconSet="3Arrows" iconId="0"/>
              <x14:cfIcon iconSet="3Arrows" iconId="1"/>
              <x14:cfIcon iconSet="3Arrows" iconId="2"/>
            </x14:iconSet>
          </x14:cfRule>
          <xm:sqref>E1</xm:sqref>
        </x14:conditionalFormatting>
        <x14:conditionalFormatting xmlns:xm="http://schemas.microsoft.com/office/excel/2006/main">
          <x14:cfRule type="iconSet" priority="1" id="{3078CF32-9405-48F9-BF5A-F65414610DB5}">
            <x14:iconSet iconSet="3Arrows" custom="1">
              <x14:cfvo type="percent">
                <xm:f>0</xm:f>
              </x14:cfvo>
              <x14:cfvo type="num">
                <xm:f>-0.1</xm:f>
              </x14:cfvo>
              <x14:cfvo type="num">
                <xm:f>0.1</xm:f>
              </x14:cfvo>
              <x14:cfIcon iconSet="3Arrows" iconId="0"/>
              <x14:cfIcon iconSet="3Arrows" iconId="1"/>
              <x14:cfIcon iconSet="3Arrows" iconId="2"/>
            </x14:iconSet>
          </x14:cfRule>
          <xm:sqref>I1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SheetLayoutView="100" workbookViewId="0">
      <pane xSplit="2" ySplit="2" topLeftCell="C3" activePane="bottomRight" state="frozen"/>
      <selection pane="topRight" activeCell="D1" sqref="D1"/>
      <selection pane="bottomLeft" activeCell="A7" sqref="A7"/>
      <selection pane="bottomRight" activeCell="F28" sqref="F28"/>
    </sheetView>
  </sheetViews>
  <sheetFormatPr defaultColWidth="10.25" defaultRowHeight="12.75" x14ac:dyDescent="0.2"/>
  <cols>
    <col min="1" max="1" width="3.25" style="77" customWidth="1"/>
    <col min="2" max="2" width="24.5" style="75" customWidth="1"/>
    <col min="3" max="3" width="10.25" style="77" customWidth="1"/>
    <col min="4" max="9" width="11.75" style="77" customWidth="1"/>
    <col min="10" max="10" width="9.375" style="77" bestFit="1" customWidth="1"/>
    <col min="11" max="11" width="11" style="77" bestFit="1" customWidth="1"/>
    <col min="12" max="12" width="9.625" style="75" bestFit="1" customWidth="1"/>
    <col min="13" max="13" width="13.5" style="75" customWidth="1"/>
    <col min="14" max="14" width="12.75" style="75" customWidth="1"/>
    <col min="15" max="15" width="12" style="155" customWidth="1"/>
    <col min="16" max="16" width="12" style="75" customWidth="1"/>
    <col min="17" max="16384" width="10.25" style="75"/>
  </cols>
  <sheetData>
    <row r="1" spans="1:16" ht="33.75" customHeight="1" x14ac:dyDescent="0.2">
      <c r="A1" s="217" t="s">
        <v>63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N1" s="109" t="s">
        <v>83</v>
      </c>
    </row>
    <row r="2" spans="1:16" s="77" customFormat="1" ht="76.5" x14ac:dyDescent="0.2">
      <c r="A2" s="218" t="s">
        <v>64</v>
      </c>
      <c r="B2" s="218"/>
      <c r="C2" s="76" t="s">
        <v>65</v>
      </c>
      <c r="D2" s="76" t="s">
        <v>66</v>
      </c>
      <c r="E2" s="76" t="s">
        <v>67</v>
      </c>
      <c r="F2" s="76" t="s">
        <v>68</v>
      </c>
      <c r="G2" s="76" t="s">
        <v>69</v>
      </c>
      <c r="H2" s="76" t="s">
        <v>70</v>
      </c>
      <c r="I2" s="76" t="s">
        <v>71</v>
      </c>
      <c r="J2" s="76" t="s">
        <v>72</v>
      </c>
      <c r="K2" s="76" t="s">
        <v>73</v>
      </c>
      <c r="L2" s="76" t="s">
        <v>74</v>
      </c>
      <c r="M2" s="76" t="s">
        <v>75</v>
      </c>
      <c r="N2" s="76" t="s">
        <v>32</v>
      </c>
      <c r="O2" s="163" t="s">
        <v>235</v>
      </c>
      <c r="P2" s="163" t="s">
        <v>236</v>
      </c>
    </row>
    <row r="3" spans="1:16" s="82" customFormat="1" ht="94.5" x14ac:dyDescent="0.25">
      <c r="A3" s="78">
        <v>1</v>
      </c>
      <c r="B3" s="130" t="str">
        <f>'Расчет номинала'!B$4</f>
        <v>муниципальное бюджетное учреждение дополнительного образования "Центр развития творчества детей и юношества"</v>
      </c>
      <c r="C3" s="79">
        <f>33945</f>
        <v>33945</v>
      </c>
      <c r="D3" s="79">
        <v>100000</v>
      </c>
      <c r="E3" s="79"/>
      <c r="F3" s="79">
        <f>5000+1429000+150000+19000+14000</f>
        <v>1617000</v>
      </c>
      <c r="G3" s="79"/>
      <c r="H3" s="79">
        <v>590601</v>
      </c>
      <c r="I3" s="79">
        <f>103114+833594.49</f>
        <v>936708.49</v>
      </c>
      <c r="J3" s="79">
        <f>50000+350000+200000</f>
        <v>600000</v>
      </c>
      <c r="K3" s="79">
        <f>33321+50086</f>
        <v>83407</v>
      </c>
      <c r="L3" s="80">
        <f>SUM(C3:K3)</f>
        <v>3961661.49</v>
      </c>
      <c r="M3" s="81">
        <f>'Расчет номинала'!C9+'Расчет номинала'!C10+'Расчет номинала'!C11+'Расчет номинала'!C12+'Расчет номинала'!C13+'Расчет номинала'!C14</f>
        <v>146684</v>
      </c>
      <c r="N3" s="80" t="s">
        <v>43</v>
      </c>
      <c r="O3" s="161">
        <f>20400000+12365000+39000+5927000+3586000</f>
        <v>42317000</v>
      </c>
      <c r="P3" s="162">
        <f>O3+L3</f>
        <v>46278661.490000002</v>
      </c>
    </row>
    <row r="4" spans="1:16" s="82" customFormat="1" ht="84.75" customHeight="1" x14ac:dyDescent="0.25">
      <c r="A4" s="78">
        <v>2</v>
      </c>
      <c r="B4" s="130" t="str">
        <f>'Расчет номинала'!D$4</f>
        <v>муниципальное бюджетное учреждение дополнительного образования "Дом детского творчества"</v>
      </c>
      <c r="C4" s="79">
        <f>33945</f>
        <v>33945</v>
      </c>
      <c r="D4" s="79">
        <v>60000</v>
      </c>
      <c r="E4" s="79"/>
      <c r="F4" s="79">
        <f>34000+302000+2195000+2000+59000</f>
        <v>2592000</v>
      </c>
      <c r="G4" s="79"/>
      <c r="H4" s="79">
        <v>614360</v>
      </c>
      <c r="I4" s="79">
        <f>1013788.78+98100+22000</f>
        <v>1133888.78</v>
      </c>
      <c r="J4" s="79">
        <f>300000+50000+200000+150000</f>
        <v>700000</v>
      </c>
      <c r="K4" s="79">
        <f>16981.25+8741+17751</f>
        <v>43473.25</v>
      </c>
      <c r="L4" s="80">
        <f>SUM(C4:K4)</f>
        <v>5177667.03</v>
      </c>
      <c r="M4" s="81">
        <f>'Расчет номинала'!E9+'Расчет номинала'!E10+'Расчет номинала'!E11+'Расчет номинала'!E12+'Расчет номинала'!E13+'Расчет номинала'!E14</f>
        <v>130788</v>
      </c>
      <c r="N4" s="80" t="s">
        <v>43</v>
      </c>
      <c r="O4" s="161">
        <f>19760000+14063000+41000+5743000+4078000</f>
        <v>43685000</v>
      </c>
      <c r="P4" s="162">
        <f>O4+L4</f>
        <v>48862667.030000001</v>
      </c>
    </row>
    <row r="5" spans="1:16" s="84" customFormat="1" ht="12" customHeight="1" x14ac:dyDescent="0.25">
      <c r="A5" s="78"/>
      <c r="B5" s="128"/>
      <c r="C5" s="79"/>
      <c r="D5" s="79"/>
      <c r="E5" s="79"/>
      <c r="F5" s="79"/>
      <c r="G5" s="79"/>
      <c r="H5" s="79"/>
      <c r="I5" s="79"/>
      <c r="J5" s="79"/>
      <c r="K5" s="79"/>
      <c r="L5" s="80"/>
      <c r="M5" s="81"/>
      <c r="N5" s="83"/>
      <c r="O5" s="158"/>
    </row>
    <row r="6" spans="1:16" s="84" customFormat="1" ht="12" customHeight="1" x14ac:dyDescent="0.25">
      <c r="A6" s="78"/>
      <c r="B6" s="128"/>
      <c r="C6" s="79"/>
      <c r="D6" s="79"/>
      <c r="E6" s="79"/>
      <c r="F6" s="79"/>
      <c r="G6" s="79"/>
      <c r="H6" s="79"/>
      <c r="I6" s="79"/>
      <c r="J6" s="79"/>
      <c r="K6" s="79"/>
      <c r="L6" s="80"/>
      <c r="M6" s="81"/>
      <c r="N6" s="83"/>
      <c r="O6" s="158"/>
    </row>
    <row r="7" spans="1:16" s="84" customFormat="1" ht="12" customHeight="1" x14ac:dyDescent="0.25">
      <c r="A7" s="78"/>
      <c r="B7" s="128"/>
      <c r="C7" s="79"/>
      <c r="D7" s="79"/>
      <c r="E7" s="79"/>
      <c r="F7" s="79"/>
      <c r="G7" s="79"/>
      <c r="H7" s="79"/>
      <c r="I7" s="79"/>
      <c r="J7" s="79"/>
      <c r="K7" s="79"/>
      <c r="L7" s="80"/>
      <c r="M7" s="81"/>
      <c r="N7" s="83"/>
      <c r="O7" s="158"/>
    </row>
    <row r="8" spans="1:16" s="84" customFormat="1" ht="12" customHeight="1" x14ac:dyDescent="0.25">
      <c r="A8" s="78"/>
      <c r="B8" s="128"/>
      <c r="C8" s="79"/>
      <c r="D8" s="79"/>
      <c r="E8" s="79"/>
      <c r="F8" s="79"/>
      <c r="G8" s="79"/>
      <c r="H8" s="79"/>
      <c r="I8" s="79"/>
      <c r="J8" s="79"/>
      <c r="K8" s="79"/>
      <c r="L8" s="80"/>
      <c r="M8" s="81"/>
      <c r="N8" s="83"/>
      <c r="O8" s="158"/>
    </row>
    <row r="9" spans="1:16" s="84" customFormat="1" ht="12" customHeight="1" x14ac:dyDescent="0.25">
      <c r="A9" s="78"/>
      <c r="B9" s="128"/>
      <c r="C9" s="79"/>
      <c r="D9" s="79"/>
      <c r="E9" s="79"/>
      <c r="F9" s="79"/>
      <c r="G9" s="79"/>
      <c r="H9" s="79"/>
      <c r="I9" s="79"/>
      <c r="J9" s="79"/>
      <c r="K9" s="79"/>
      <c r="L9" s="80"/>
      <c r="M9" s="81"/>
      <c r="N9" s="83"/>
      <c r="O9" s="158"/>
    </row>
    <row r="10" spans="1:16" s="84" customFormat="1" ht="12" customHeight="1" x14ac:dyDescent="0.25">
      <c r="A10" s="78"/>
      <c r="B10" s="128"/>
      <c r="C10" s="79"/>
      <c r="D10" s="79"/>
      <c r="E10" s="79"/>
      <c r="F10" s="79"/>
      <c r="G10" s="79"/>
      <c r="H10" s="79"/>
      <c r="I10" s="79"/>
      <c r="J10" s="79"/>
      <c r="K10" s="79"/>
      <c r="L10" s="80"/>
      <c r="M10" s="81"/>
      <c r="N10" s="83"/>
      <c r="O10" s="158"/>
    </row>
    <row r="11" spans="1:16" s="84" customFormat="1" ht="12" customHeight="1" x14ac:dyDescent="0.25">
      <c r="A11" s="78"/>
      <c r="B11" s="128"/>
      <c r="C11" s="79"/>
      <c r="D11" s="79"/>
      <c r="E11" s="79"/>
      <c r="F11" s="79"/>
      <c r="G11" s="79"/>
      <c r="H11" s="79"/>
      <c r="I11" s="79"/>
      <c r="J11" s="79"/>
      <c r="K11" s="79"/>
      <c r="L11" s="80"/>
      <c r="M11" s="81"/>
      <c r="N11" s="83"/>
      <c r="O11" s="158"/>
    </row>
    <row r="12" spans="1:16" s="84" customFormat="1" ht="12" customHeight="1" x14ac:dyDescent="0.25">
      <c r="A12" s="78"/>
      <c r="B12" s="128"/>
      <c r="C12" s="79"/>
      <c r="D12" s="79"/>
      <c r="E12" s="79"/>
      <c r="F12" s="79"/>
      <c r="G12" s="79"/>
      <c r="H12" s="79"/>
      <c r="I12" s="79"/>
      <c r="J12" s="79"/>
      <c r="K12" s="79"/>
      <c r="L12" s="80"/>
      <c r="M12" s="81"/>
      <c r="N12" s="83"/>
      <c r="O12" s="158"/>
    </row>
    <row r="13" spans="1:16" s="84" customFormat="1" ht="12" customHeight="1" x14ac:dyDescent="0.25">
      <c r="A13" s="78"/>
      <c r="B13" s="128"/>
      <c r="C13" s="79"/>
      <c r="D13" s="79"/>
      <c r="E13" s="79"/>
      <c r="F13" s="79"/>
      <c r="G13" s="79"/>
      <c r="H13" s="79"/>
      <c r="I13" s="79"/>
      <c r="J13" s="79"/>
      <c r="K13" s="79"/>
      <c r="L13" s="80"/>
      <c r="M13" s="81"/>
      <c r="N13" s="83"/>
      <c r="O13" s="158"/>
    </row>
    <row r="14" spans="1:16" s="84" customFormat="1" ht="12" customHeight="1" x14ac:dyDescent="0.25">
      <c r="A14" s="78"/>
      <c r="B14" s="128"/>
      <c r="C14" s="79"/>
      <c r="D14" s="79"/>
      <c r="E14" s="79"/>
      <c r="F14" s="79"/>
      <c r="G14" s="79"/>
      <c r="H14" s="79"/>
      <c r="I14" s="79"/>
      <c r="J14" s="79"/>
      <c r="K14" s="79"/>
      <c r="L14" s="80"/>
      <c r="M14" s="81"/>
      <c r="N14" s="83"/>
      <c r="O14" s="158"/>
    </row>
    <row r="15" spans="1:16" s="84" customFormat="1" ht="12" customHeight="1" x14ac:dyDescent="0.25">
      <c r="A15" s="78"/>
      <c r="B15" s="128"/>
      <c r="C15" s="79"/>
      <c r="D15" s="79"/>
      <c r="E15" s="79"/>
      <c r="F15" s="79"/>
      <c r="G15" s="79"/>
      <c r="H15" s="79"/>
      <c r="I15" s="79"/>
      <c r="J15" s="79"/>
      <c r="K15" s="79"/>
      <c r="L15" s="80"/>
      <c r="M15" s="81"/>
      <c r="N15" s="83"/>
      <c r="O15" s="158"/>
    </row>
    <row r="16" spans="1:16" s="84" customFormat="1" ht="12" customHeight="1" x14ac:dyDescent="0.25">
      <c r="A16" s="78"/>
      <c r="B16" s="128"/>
      <c r="C16" s="79"/>
      <c r="D16" s="79"/>
      <c r="E16" s="79"/>
      <c r="F16" s="79"/>
      <c r="G16" s="79"/>
      <c r="H16" s="79"/>
      <c r="I16" s="79"/>
      <c r="J16" s="79"/>
      <c r="K16" s="79"/>
      <c r="L16" s="80"/>
      <c r="M16" s="81"/>
      <c r="N16" s="83"/>
      <c r="O16" s="158"/>
    </row>
    <row r="17" spans="1:15" s="84" customFormat="1" ht="12" customHeight="1" thickBot="1" x14ac:dyDescent="0.3">
      <c r="A17" s="78"/>
      <c r="B17" s="128"/>
      <c r="C17" s="79"/>
      <c r="D17" s="79"/>
      <c r="E17" s="79"/>
      <c r="F17" s="79"/>
      <c r="G17" s="79"/>
      <c r="H17" s="79"/>
      <c r="I17" s="79"/>
      <c r="J17" s="79"/>
      <c r="K17" s="79"/>
      <c r="L17" s="80"/>
      <c r="M17" s="81"/>
      <c r="N17" s="83"/>
      <c r="O17" s="158"/>
    </row>
    <row r="18" spans="1:15" s="88" customFormat="1" ht="30" customHeight="1" thickBot="1" x14ac:dyDescent="0.3">
      <c r="A18" s="219" t="s">
        <v>76</v>
      </c>
      <c r="B18" s="219"/>
      <c r="C18" s="85">
        <f>SUM(C3:C17)</f>
        <v>67890</v>
      </c>
      <c r="D18" s="85">
        <f t="shared" ref="D18:L18" si="0">SUM(D3:D17)</f>
        <v>160000</v>
      </c>
      <c r="E18" s="85">
        <f t="shared" si="0"/>
        <v>0</v>
      </c>
      <c r="F18" s="85">
        <f t="shared" si="0"/>
        <v>4209000</v>
      </c>
      <c r="G18" s="85">
        <f t="shared" si="0"/>
        <v>0</v>
      </c>
      <c r="H18" s="85">
        <f t="shared" si="0"/>
        <v>1204961</v>
      </c>
      <c r="I18" s="85">
        <f t="shared" si="0"/>
        <v>2070597.27</v>
      </c>
      <c r="J18" s="85">
        <f t="shared" si="0"/>
        <v>1300000</v>
      </c>
      <c r="K18" s="85">
        <f t="shared" si="0"/>
        <v>126880.25</v>
      </c>
      <c r="L18" s="85">
        <f t="shared" si="0"/>
        <v>9139328.5199999996</v>
      </c>
      <c r="M18" s="86">
        <f>SUM(M3:M17)</f>
        <v>277472</v>
      </c>
      <c r="N18" s="87">
        <f>L18/M18</f>
        <v>32.94</v>
      </c>
      <c r="O18" s="159"/>
    </row>
    <row r="19" spans="1:15" ht="13.5" customHeight="1" x14ac:dyDescent="0.2">
      <c r="K19" s="89"/>
      <c r="L19" s="89"/>
    </row>
    <row r="20" spans="1:15" ht="13.5" customHeight="1" x14ac:dyDescent="0.2">
      <c r="L20" s="89"/>
    </row>
    <row r="21" spans="1:15" ht="13.5" customHeight="1" thickBot="1" x14ac:dyDescent="0.25">
      <c r="L21" s="89"/>
    </row>
    <row r="22" spans="1:15" s="82" customFormat="1" ht="36.75" customHeight="1" thickBot="1" x14ac:dyDescent="0.25">
      <c r="A22" s="90">
        <v>4</v>
      </c>
      <c r="B22" s="91"/>
      <c r="C22" s="92"/>
      <c r="D22" s="93"/>
      <c r="E22" s="93"/>
      <c r="F22" s="93"/>
      <c r="G22" s="93"/>
      <c r="H22" s="93"/>
      <c r="I22" s="93"/>
      <c r="J22" s="93"/>
      <c r="K22" s="94"/>
      <c r="L22" s="95"/>
      <c r="M22" s="96"/>
      <c r="N22" s="97"/>
      <c r="O22" s="157"/>
    </row>
    <row r="23" spans="1:15" s="99" customFormat="1" ht="13.5" customHeight="1" x14ac:dyDescent="0.2">
      <c r="A23" s="98"/>
      <c r="C23" s="100"/>
      <c r="D23" s="100"/>
      <c r="E23" s="100"/>
      <c r="F23" s="100"/>
      <c r="G23" s="100"/>
      <c r="H23" s="100"/>
      <c r="I23" s="100"/>
      <c r="J23" s="100"/>
      <c r="K23" s="101"/>
      <c r="L23" s="80"/>
      <c r="O23" s="160"/>
    </row>
    <row r="24" spans="1:15" s="99" customFormat="1" hidden="1" x14ac:dyDescent="0.2">
      <c r="A24" s="220" t="s">
        <v>77</v>
      </c>
      <c r="B24" s="220"/>
      <c r="C24" s="102" t="e">
        <f>#REF!</f>
        <v>#REF!</v>
      </c>
      <c r="D24" s="102" t="e">
        <f>#REF!</f>
        <v>#REF!</v>
      </c>
      <c r="E24" s="102" t="e">
        <f>#REF!</f>
        <v>#REF!</v>
      </c>
      <c r="F24" s="102" t="e">
        <f>#REF!</f>
        <v>#REF!</v>
      </c>
      <c r="G24" s="102"/>
      <c r="H24" s="102" t="e">
        <f>#REF!</f>
        <v>#REF!</v>
      </c>
      <c r="I24" s="102" t="e">
        <f>#REF!</f>
        <v>#REF!</v>
      </c>
      <c r="J24" s="102" t="e">
        <f>#REF!</f>
        <v>#REF!</v>
      </c>
      <c r="K24" s="102" t="e">
        <f>#REF!</f>
        <v>#REF!</v>
      </c>
      <c r="L24" s="102" t="e">
        <f>#REF!</f>
        <v>#REF!</v>
      </c>
      <c r="O24" s="160"/>
    </row>
    <row r="25" spans="1:15" s="99" customFormat="1" hidden="1" x14ac:dyDescent="0.2">
      <c r="A25" s="220" t="s">
        <v>78</v>
      </c>
      <c r="B25" s="220"/>
      <c r="C25" s="102" t="e">
        <f>#REF!+C22</f>
        <v>#REF!</v>
      </c>
      <c r="D25" s="102" t="e">
        <f>#REF!+D22</f>
        <v>#REF!</v>
      </c>
      <c r="E25" s="102" t="e">
        <f>#REF!+E22</f>
        <v>#REF!</v>
      </c>
      <c r="F25" s="102" t="e">
        <f>#REF!+F22</f>
        <v>#REF!</v>
      </c>
      <c r="G25" s="102"/>
      <c r="H25" s="102" t="e">
        <f>#REF!+H22</f>
        <v>#REF!</v>
      </c>
      <c r="I25" s="102" t="e">
        <f>#REF!+I22</f>
        <v>#REF!</v>
      </c>
      <c r="J25" s="102" t="e">
        <f>#REF!+J22</f>
        <v>#REF!</v>
      </c>
      <c r="K25" s="102" t="e">
        <f>#REF!+K22</f>
        <v>#REF!</v>
      </c>
      <c r="L25" s="102" t="e">
        <f>#REF!+L22</f>
        <v>#REF!</v>
      </c>
      <c r="O25" s="160"/>
    </row>
    <row r="26" spans="1:15" s="99" customFormat="1" hidden="1" x14ac:dyDescent="0.2">
      <c r="A26" s="216" t="s">
        <v>79</v>
      </c>
      <c r="B26" s="216"/>
      <c r="C26" s="103" t="e">
        <f t="shared" ref="C26:L26" si="1">C24+C25</f>
        <v>#REF!</v>
      </c>
      <c r="D26" s="103" t="e">
        <f t="shared" si="1"/>
        <v>#REF!</v>
      </c>
      <c r="E26" s="103" t="e">
        <f t="shared" si="1"/>
        <v>#REF!</v>
      </c>
      <c r="F26" s="103" t="e">
        <f t="shared" si="1"/>
        <v>#REF!</v>
      </c>
      <c r="G26" s="103"/>
      <c r="H26" s="103" t="e">
        <f t="shared" si="1"/>
        <v>#REF!</v>
      </c>
      <c r="I26" s="103" t="e">
        <f t="shared" si="1"/>
        <v>#REF!</v>
      </c>
      <c r="J26" s="103" t="e">
        <f t="shared" si="1"/>
        <v>#REF!</v>
      </c>
      <c r="K26" s="103" t="e">
        <f t="shared" si="1"/>
        <v>#REF!</v>
      </c>
      <c r="L26" s="103" t="e">
        <f t="shared" si="1"/>
        <v>#REF!</v>
      </c>
      <c r="M26" s="104">
        <f>M22+M18</f>
        <v>277472</v>
      </c>
      <c r="N26" s="105" t="e">
        <f>L26/M26</f>
        <v>#REF!</v>
      </c>
      <c r="O26" s="160"/>
    </row>
    <row r="27" spans="1:15" hidden="1" x14ac:dyDescent="0.2"/>
    <row r="30" spans="1:15" s="77" customFormat="1" x14ac:dyDescent="0.2">
      <c r="B30" s="75"/>
      <c r="L30" s="75"/>
      <c r="O30" s="156"/>
    </row>
    <row r="31" spans="1:15" x14ac:dyDescent="0.2">
      <c r="B31" s="106"/>
    </row>
  </sheetData>
  <mergeCells count="6">
    <mergeCell ref="A26:B26"/>
    <mergeCell ref="A1:K1"/>
    <mergeCell ref="A2:B2"/>
    <mergeCell ref="A18:B18"/>
    <mergeCell ref="A24:B24"/>
    <mergeCell ref="A25:B25"/>
  </mergeCells>
  <phoneticPr fontId="6" type="noConversion"/>
  <pageMargins left="0.11811023622047245" right="0.11811023622047245" top="0.74803149606299213" bottom="0.74803149606299213" header="0.31496062992125984" footer="0.31496062992125984"/>
  <pageSetup paperSize="9" scale="57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9"/>
  <sheetViews>
    <sheetView view="pageBreakPreview" zoomScale="85" zoomScaleNormal="100" zoomScaleSheetLayoutView="85" workbookViewId="0">
      <selection activeCell="F27" sqref="F27"/>
    </sheetView>
  </sheetViews>
  <sheetFormatPr defaultColWidth="10.875" defaultRowHeight="15.75" x14ac:dyDescent="0.25"/>
  <cols>
    <col min="1" max="1" width="26.375" style="22" customWidth="1"/>
    <col min="2" max="2" width="11.625" style="22" customWidth="1"/>
    <col min="3" max="3" width="21.625" style="22" customWidth="1"/>
    <col min="4" max="4" width="3.5" style="22" customWidth="1"/>
    <col min="5" max="5" width="31.125" style="22" customWidth="1"/>
    <col min="6" max="6" width="12.375" style="22" bestFit="1" customWidth="1"/>
    <col min="7" max="7" width="13.125" style="22" customWidth="1"/>
    <col min="8" max="8" width="12.125" style="22" customWidth="1"/>
    <col min="9" max="9" width="13.625" style="22" customWidth="1"/>
    <col min="10" max="10" width="13.875" style="22" customWidth="1"/>
    <col min="11" max="11" width="14.125" style="22" customWidth="1"/>
    <col min="12" max="12" width="8.75" style="22" bestFit="1" customWidth="1"/>
    <col min="13" max="16384" width="10.875" style="22"/>
  </cols>
  <sheetData>
    <row r="1" spans="1:12" ht="35.1" customHeight="1" x14ac:dyDescent="0.25">
      <c r="A1" s="28" t="s">
        <v>0</v>
      </c>
      <c r="B1" s="222" t="str">
        <f>'Расчет номинала'!A2</f>
        <v>ГО ВИЛЮЧИНСК</v>
      </c>
      <c r="C1" s="222"/>
      <c r="D1" s="23"/>
      <c r="F1" s="213"/>
      <c r="G1" s="213"/>
      <c r="H1" s="213"/>
      <c r="I1" s="213"/>
      <c r="J1" s="213"/>
      <c r="K1" s="213"/>
    </row>
    <row r="2" spans="1:12" ht="49.5" customHeight="1" x14ac:dyDescent="0.25">
      <c r="A2" s="221" t="s">
        <v>41</v>
      </c>
      <c r="B2" s="221"/>
      <c r="C2" s="12">
        <v>75500</v>
      </c>
      <c r="D2" s="31"/>
      <c r="E2" s="32" t="s">
        <v>26</v>
      </c>
      <c r="F2" s="110" t="str">
        <f>'Расчет номинала'!A9</f>
        <v>Техническая</v>
      </c>
      <c r="G2" s="110" t="str">
        <f>'Расчет номинала'!A10</f>
        <v>Естественнонаучная</v>
      </c>
      <c r="H2" s="110" t="str">
        <f>'Расчет номинала'!A11</f>
        <v>Художественная</v>
      </c>
      <c r="I2" s="110" t="str">
        <f>'Расчет номинала'!A12</f>
        <v>Туристско-краеведческая</v>
      </c>
      <c r="J2" s="110" t="str">
        <f>'Расчет номинала'!A13</f>
        <v>Физкультурно-спортивная</v>
      </c>
      <c r="K2" s="111" t="s">
        <v>57</v>
      </c>
    </row>
    <row r="3" spans="1:12" ht="34.5" customHeight="1" x14ac:dyDescent="0.35">
      <c r="A3" s="30" t="s">
        <v>27</v>
      </c>
      <c r="B3"/>
      <c r="C3" s="73">
        <v>0.4</v>
      </c>
      <c r="D3" s="4"/>
      <c r="E3" s="30" t="s">
        <v>51</v>
      </c>
      <c r="F3" s="146">
        <v>100</v>
      </c>
      <c r="G3" s="146">
        <v>100</v>
      </c>
      <c r="H3" s="146">
        <v>100</v>
      </c>
      <c r="I3" s="146"/>
      <c r="J3" s="146"/>
      <c r="K3" s="146">
        <v>100</v>
      </c>
    </row>
    <row r="4" spans="1:12" ht="36.75" customHeight="1" x14ac:dyDescent="0.35">
      <c r="A4" s="30" t="s">
        <v>29</v>
      </c>
      <c r="B4"/>
      <c r="C4" s="12">
        <v>750</v>
      </c>
      <c r="D4" s="4"/>
      <c r="E4" s="30" t="s">
        <v>52</v>
      </c>
      <c r="F4" s="70">
        <f>2*36</f>
        <v>72</v>
      </c>
      <c r="G4" s="70">
        <f t="shared" ref="G4:K4" si="0">2*36</f>
        <v>72</v>
      </c>
      <c r="H4" s="70">
        <f t="shared" si="0"/>
        <v>72</v>
      </c>
      <c r="I4" s="70"/>
      <c r="J4" s="70"/>
      <c r="K4" s="70">
        <f t="shared" si="0"/>
        <v>72</v>
      </c>
    </row>
    <row r="5" spans="1:12" ht="31.5" x14ac:dyDescent="0.25">
      <c r="A5" s="30" t="s">
        <v>31</v>
      </c>
      <c r="B5"/>
      <c r="C5" s="12">
        <v>11151</v>
      </c>
      <c r="D5" s="4"/>
      <c r="E5" s="33" t="s">
        <v>28</v>
      </c>
      <c r="F5" s="71">
        <v>10</v>
      </c>
      <c r="G5" s="71">
        <v>10</v>
      </c>
      <c r="H5" s="71">
        <v>10</v>
      </c>
      <c r="I5" s="71"/>
      <c r="J5" s="71"/>
      <c r="K5" s="71">
        <v>10</v>
      </c>
    </row>
    <row r="6" spans="1:12" ht="47.25" x14ac:dyDescent="0.25">
      <c r="A6" s="30" t="s">
        <v>32</v>
      </c>
      <c r="B6"/>
      <c r="C6" s="107">
        <f>'Затраты на содержание УДО'!N18</f>
        <v>32.94</v>
      </c>
      <c r="D6" s="24"/>
      <c r="E6" s="33" t="s">
        <v>30</v>
      </c>
      <c r="F6" s="71">
        <v>12</v>
      </c>
      <c r="G6" s="71">
        <v>12</v>
      </c>
      <c r="H6" s="71">
        <v>12</v>
      </c>
      <c r="I6" s="71"/>
      <c r="J6" s="70"/>
      <c r="K6" s="71">
        <v>12</v>
      </c>
    </row>
    <row r="7" spans="1:12" ht="45" customHeight="1" x14ac:dyDescent="0.25">
      <c r="A7" s="205" t="s">
        <v>34</v>
      </c>
      <c r="B7"/>
      <c r="C7" s="29"/>
      <c r="D7" s="24"/>
      <c r="E7" s="153" t="s">
        <v>105</v>
      </c>
      <c r="F7" s="154">
        <f>SUM(F8:F12)</f>
        <v>265.49</v>
      </c>
      <c r="G7" s="154">
        <f>SUM(G8:G12)</f>
        <v>265.49</v>
      </c>
      <c r="H7" s="154">
        <f>SUM(H8:H12)</f>
        <v>265.49</v>
      </c>
      <c r="I7" s="154"/>
      <c r="J7" s="154"/>
      <c r="K7" s="154">
        <f t="shared" ref="K7" si="1">SUM(K8:K12)</f>
        <v>265.49</v>
      </c>
      <c r="L7" s="34">
        <f>AVERAGE(F7:K7)</f>
        <v>265.49</v>
      </c>
    </row>
    <row r="8" spans="1:12" ht="31.5" x14ac:dyDescent="0.25">
      <c r="A8" s="206" t="s">
        <v>9</v>
      </c>
      <c r="B8" s="30"/>
      <c r="C8" s="133">
        <v>60000</v>
      </c>
      <c r="D8" s="24"/>
      <c r="E8" s="30" t="s">
        <v>33</v>
      </c>
      <c r="F8" s="34">
        <f>$C$2*12*1.302/F3/F4</f>
        <v>163.84</v>
      </c>
      <c r="G8" s="34">
        <f>$C$2*12*1.302/G3/G4</f>
        <v>163.84</v>
      </c>
      <c r="H8" s="34">
        <f>$C$2*12*1.302/H3/H4</f>
        <v>163.84</v>
      </c>
      <c r="I8" s="34"/>
      <c r="J8" s="34"/>
      <c r="K8" s="34">
        <f t="shared" ref="K8" si="2">$C$2*12*1.302/K3/K4</f>
        <v>163.84</v>
      </c>
    </row>
    <row r="9" spans="1:12" x14ac:dyDescent="0.25">
      <c r="A9" s="206" t="s">
        <v>10</v>
      </c>
      <c r="B9" s="30"/>
      <c r="C9" s="133">
        <v>60000</v>
      </c>
      <c r="D9" s="24"/>
      <c r="E9" s="30" t="s">
        <v>35</v>
      </c>
      <c r="F9" s="34">
        <f>F8*$C$3</f>
        <v>65.540000000000006</v>
      </c>
      <c r="G9" s="34">
        <f t="shared" ref="G9:K9" si="3">G8*$C$3</f>
        <v>65.540000000000006</v>
      </c>
      <c r="H9" s="34">
        <f t="shared" si="3"/>
        <v>65.540000000000006</v>
      </c>
      <c r="I9" s="34"/>
      <c r="J9" s="34"/>
      <c r="K9" s="34">
        <f t="shared" si="3"/>
        <v>65.540000000000006</v>
      </c>
    </row>
    <row r="10" spans="1:12" ht="31.5" x14ac:dyDescent="0.25">
      <c r="A10" s="206" t="s">
        <v>11</v>
      </c>
      <c r="B10" s="30"/>
      <c r="C10" s="133">
        <v>60000</v>
      </c>
      <c r="D10" s="24"/>
      <c r="E10" s="30" t="s">
        <v>36</v>
      </c>
      <c r="F10" s="72">
        <f>($C$4*14)/3/F3/F4+$C$5/F3/F4</f>
        <v>2.0299999999999998</v>
      </c>
      <c r="G10" s="72">
        <f t="shared" ref="G10:K10" si="4">($C$4*14)/3/G3/G4+$C$5/G3/G4</f>
        <v>2.0299999999999998</v>
      </c>
      <c r="H10" s="72">
        <f t="shared" si="4"/>
        <v>2.0299999999999998</v>
      </c>
      <c r="I10" s="72"/>
      <c r="J10" s="72"/>
      <c r="K10" s="72">
        <f t="shared" si="4"/>
        <v>2.0299999999999998</v>
      </c>
    </row>
    <row r="11" spans="1:12" ht="31.5" x14ac:dyDescent="0.25">
      <c r="A11" s="206" t="s">
        <v>12</v>
      </c>
      <c r="B11" s="30"/>
      <c r="C11" s="133">
        <v>0</v>
      </c>
      <c r="D11" s="24"/>
      <c r="E11" s="30" t="s">
        <v>37</v>
      </c>
      <c r="F11" s="34">
        <f>((VLOOKUP(F2,$A$8:$C$13,3,FALSE))/7/$C$14/(AVERAGE(F5,F6)))+(($C$15*0.5)/5/$C$14)</f>
        <v>1.1399999999999999</v>
      </c>
      <c r="G11" s="34">
        <f t="shared" ref="G11:K11" si="5">((VLOOKUP(G2,$A$8:$C$13,3,FALSE))/7/$C$14/(AVERAGE(G5,G6)))+(($C$15*0.5)/5/$C$14)</f>
        <v>1.1399999999999999</v>
      </c>
      <c r="H11" s="34">
        <f t="shared" si="5"/>
        <v>1.1399999999999999</v>
      </c>
      <c r="I11" s="34"/>
      <c r="J11" s="34"/>
      <c r="K11" s="34">
        <f t="shared" si="5"/>
        <v>1.1399999999999999</v>
      </c>
    </row>
    <row r="12" spans="1:12" ht="31.5" x14ac:dyDescent="0.25">
      <c r="A12" s="206" t="s">
        <v>13</v>
      </c>
      <c r="B12" s="30"/>
      <c r="C12" s="133">
        <v>0</v>
      </c>
      <c r="D12" s="24"/>
      <c r="E12" s="30" t="s">
        <v>38</v>
      </c>
      <c r="F12" s="34">
        <f>$C$6</f>
        <v>32.94</v>
      </c>
      <c r="G12" s="34">
        <f t="shared" ref="G12:K12" si="6">$C$6</f>
        <v>32.94</v>
      </c>
      <c r="H12" s="34">
        <f t="shared" si="6"/>
        <v>32.94</v>
      </c>
      <c r="I12" s="34"/>
      <c r="J12" s="34"/>
      <c r="K12" s="34">
        <f t="shared" si="6"/>
        <v>32.94</v>
      </c>
    </row>
    <row r="13" spans="1:12" x14ac:dyDescent="0.25">
      <c r="A13" s="207" t="s">
        <v>57</v>
      </c>
      <c r="B13" s="24"/>
      <c r="C13" s="133">
        <v>60000</v>
      </c>
      <c r="D13" s="24"/>
      <c r="E13" s="213"/>
      <c r="F13" s="213"/>
      <c r="G13" s="213"/>
      <c r="H13" s="213"/>
      <c r="I13" s="213"/>
      <c r="J13" s="213"/>
      <c r="K13" s="213"/>
    </row>
    <row r="14" spans="1:12" ht="47.25" x14ac:dyDescent="0.25">
      <c r="A14" s="135" t="s">
        <v>39</v>
      </c>
      <c r="B14"/>
      <c r="C14" s="12">
        <v>900</v>
      </c>
      <c r="D14" s="24"/>
      <c r="E14" s="122" t="s">
        <v>100</v>
      </c>
      <c r="F14" s="123">
        <f>F3/(F5+F6)*2*(F4/36)</f>
        <v>18</v>
      </c>
      <c r="G14" s="123">
        <f t="shared" ref="G14:K14" si="7">G3/(G5+G6)*2*(G4/36)</f>
        <v>18</v>
      </c>
      <c r="H14" s="123">
        <f t="shared" si="7"/>
        <v>18</v>
      </c>
      <c r="I14" s="123" t="e">
        <f t="shared" si="7"/>
        <v>#DIV/0!</v>
      </c>
      <c r="J14" s="123" t="e">
        <f t="shared" si="7"/>
        <v>#DIV/0!</v>
      </c>
      <c r="K14" s="123">
        <f t="shared" si="7"/>
        <v>18</v>
      </c>
    </row>
    <row r="15" spans="1:12" ht="25.5" customHeight="1" x14ac:dyDescent="0.25">
      <c r="A15" s="135" t="s">
        <v>40</v>
      </c>
      <c r="B15"/>
      <c r="C15" s="73">
        <v>2500</v>
      </c>
      <c r="D15" s="24"/>
      <c r="H15" s="34"/>
      <c r="I15" s="34"/>
      <c r="J15" s="34"/>
      <c r="K15" s="34"/>
    </row>
    <row r="16" spans="1:12" x14ac:dyDescent="0.25">
      <c r="A16" s="135"/>
      <c r="H16" s="34"/>
      <c r="I16" s="34"/>
      <c r="J16" s="34"/>
      <c r="K16" s="34"/>
    </row>
    <row r="18" spans="6:12" x14ac:dyDescent="0.25">
      <c r="F18" s="22">
        <f>'Расчет номинала'!AF9</f>
        <v>349.92</v>
      </c>
      <c r="G18" s="22">
        <f>'Расчет номинала'!AF10</f>
        <v>268.69</v>
      </c>
      <c r="H18" s="22">
        <f>'Расчет номинала'!AF11</f>
        <v>333.33</v>
      </c>
      <c r="K18" s="22">
        <f>'Расчет номинала'!AF14</f>
        <v>365.05</v>
      </c>
      <c r="L18" s="22">
        <f>AVERAGE(F18:K18)</f>
        <v>329.2475</v>
      </c>
    </row>
    <row r="19" spans="6:12" x14ac:dyDescent="0.25">
      <c r="F19" s="29"/>
    </row>
  </sheetData>
  <mergeCells count="4">
    <mergeCell ref="A2:B2"/>
    <mergeCell ref="F1:K1"/>
    <mergeCell ref="E13:K13"/>
    <mergeCell ref="B1:C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ignoredErrors>
    <ignoredError sqref="B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CB843C8-DF5A-43F1-AD06-2B782025F9FA}">
            <x14:iconSet iconSet="3Arrows" custom="1">
              <x14:cfvo type="percent">
                <xm:f>0</xm:f>
              </x14:cfvo>
              <x14:cfvo type="num">
                <xm:f>-0.1</xm:f>
              </x14:cfvo>
              <x14:cfvo type="num">
                <xm:f>0.1</xm:f>
              </x14:cfvo>
              <x14:cfIcon iconSet="3Arrows" iconId="0"/>
              <x14:cfIcon iconSet="3Arrows" iconId="1"/>
              <x14:cfIcon iconSet="3Arrows" iconId="2"/>
            </x14:iconSet>
          </x14:cfRule>
          <xm:sqref>A2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view="pageBreakPreview" topLeftCell="A16" zoomScaleNormal="100" zoomScaleSheetLayoutView="100" workbookViewId="0">
      <selection activeCell="G20" sqref="G20"/>
    </sheetView>
  </sheetViews>
  <sheetFormatPr defaultColWidth="11" defaultRowHeight="15.75" x14ac:dyDescent="0.25"/>
  <cols>
    <col min="1" max="1" width="20.375" style="186" customWidth="1"/>
    <col min="2" max="2" width="17.125" style="187" customWidth="1"/>
    <col min="3" max="3" width="16.5" style="187" customWidth="1"/>
    <col min="4" max="4" width="11.5" style="188" customWidth="1"/>
    <col min="5" max="5" width="12.875" style="188" customWidth="1"/>
    <col min="6" max="6" width="12.125" style="189" customWidth="1"/>
    <col min="7" max="7" width="11.5" style="189" customWidth="1"/>
    <col min="8" max="8" width="12.5" style="191" customWidth="1"/>
    <col min="9" max="9" width="12.5" style="202" customWidth="1"/>
    <col min="10" max="10" width="11.375" style="201" customWidth="1"/>
    <col min="11" max="11" width="15" style="201" customWidth="1"/>
    <col min="12" max="12" width="14.75" style="204" customWidth="1"/>
    <col min="13" max="13" width="12.375" style="201" bestFit="1" customWidth="1"/>
    <col min="14" max="14" width="7.125" style="47" customWidth="1"/>
    <col min="16" max="16" width="14.25" bestFit="1" customWidth="1"/>
  </cols>
  <sheetData>
    <row r="1" spans="1:15" s="36" customFormat="1" ht="78.75" x14ac:dyDescent="0.25">
      <c r="A1" s="175" t="s">
        <v>80</v>
      </c>
      <c r="B1" s="176" t="s">
        <v>99</v>
      </c>
      <c r="C1" s="176" t="s">
        <v>26</v>
      </c>
      <c r="D1" s="177" t="s">
        <v>18</v>
      </c>
      <c r="E1" s="177" t="s">
        <v>81</v>
      </c>
      <c r="F1" s="177" t="s">
        <v>44</v>
      </c>
      <c r="G1" s="177" t="s">
        <v>42</v>
      </c>
      <c r="H1" s="178" t="s">
        <v>45</v>
      </c>
      <c r="I1" s="192" t="s">
        <v>111</v>
      </c>
      <c r="J1" s="192" t="s">
        <v>86</v>
      </c>
      <c r="K1" s="193" t="s">
        <v>87</v>
      </c>
      <c r="L1" s="192" t="s">
        <v>53</v>
      </c>
      <c r="M1" s="194" t="s">
        <v>88</v>
      </c>
      <c r="N1" s="46"/>
    </row>
    <row r="2" spans="1:15" s="152" customFormat="1" ht="45.75" x14ac:dyDescent="0.25">
      <c r="A2" s="179" t="s">
        <v>113</v>
      </c>
      <c r="B2" s="180" t="s">
        <v>220</v>
      </c>
      <c r="C2" s="180" t="s">
        <v>57</v>
      </c>
      <c r="D2" s="181">
        <v>36</v>
      </c>
      <c r="E2" s="181">
        <v>16</v>
      </c>
      <c r="F2" s="182">
        <v>2</v>
      </c>
      <c r="G2" s="182">
        <v>12</v>
      </c>
      <c r="H2" s="183">
        <v>365.05</v>
      </c>
      <c r="I2" s="195">
        <f>HLOOKUP($C2,'Расчет нормативной стоимости'!$F$2:$K$7,6,FALSE)</f>
        <v>265.49</v>
      </c>
      <c r="J2" s="196">
        <f>IF(H2=0,I2*F2*E2,IF(I2&gt;H2,H2*F2*E2,I2*F2*E2))</f>
        <v>8495.68</v>
      </c>
      <c r="K2" s="196">
        <f>IF(J2&lt;'Расчет номинала'!$E$19+0.01,J2,ROUNDDOWN('Расчет номинала'!$E$19/IF(H2=0,I2,IF(I2&gt;H2,H2,I2)),0)*IF(H2=0,I2,IF(I2&gt;H2,H2,I2)))</f>
        <v>8495.68</v>
      </c>
      <c r="L2" s="196">
        <f>K2*G2</f>
        <v>101948.16</v>
      </c>
      <c r="M2" s="197">
        <f>J2-K2</f>
        <v>0</v>
      </c>
      <c r="N2" s="151"/>
      <c r="O2" s="152">
        <f>G2*E2*F2</f>
        <v>384</v>
      </c>
    </row>
    <row r="3" spans="1:15" s="152" customFormat="1" ht="45.75" x14ac:dyDescent="0.25">
      <c r="A3" s="179" t="s">
        <v>113</v>
      </c>
      <c r="B3" s="180" t="s">
        <v>221</v>
      </c>
      <c r="C3" s="180" t="s">
        <v>10</v>
      </c>
      <c r="D3" s="181">
        <v>36</v>
      </c>
      <c r="E3" s="181">
        <v>16</v>
      </c>
      <c r="F3" s="182">
        <v>2</v>
      </c>
      <c r="G3" s="182">
        <f>12+10</f>
        <v>22</v>
      </c>
      <c r="H3" s="183">
        <v>365.05</v>
      </c>
      <c r="I3" s="195">
        <f>HLOOKUP($C3,'Расчет нормативной стоимости'!$F$2:$K$7,6,FALSE)</f>
        <v>265.49</v>
      </c>
      <c r="J3" s="196">
        <f t="shared" ref="J3:J22" si="0">IF(H3=0,I3*F3*E3,IF(I3&gt;H3,H3*F3*E3,I3*F3*E3))</f>
        <v>8495.68</v>
      </c>
      <c r="K3" s="196">
        <f>IF(J3&lt;'Расчет номинала'!$E$19+0.01,J3,ROUNDDOWN('Расчет номинала'!$E$19/IF(H3=0,I3,IF(I3&gt;H3,H3,I3)),0)*IF(H3=0,I3,IF(I3&gt;H3,H3,I3)))</f>
        <v>8495.68</v>
      </c>
      <c r="L3" s="196">
        <f t="shared" ref="L3:L23" si="1">K3*G3</f>
        <v>186904.95999999999</v>
      </c>
      <c r="M3" s="197">
        <f t="shared" ref="M3:M23" si="2">J3-K3</f>
        <v>0</v>
      </c>
      <c r="N3" s="151"/>
      <c r="O3" s="152">
        <f t="shared" ref="O3:O16" si="3">G3*E3*F3</f>
        <v>704</v>
      </c>
    </row>
    <row r="4" spans="1:15" s="152" customFormat="1" ht="45.75" x14ac:dyDescent="0.25">
      <c r="A4" s="179" t="s">
        <v>113</v>
      </c>
      <c r="B4" s="180" t="s">
        <v>222</v>
      </c>
      <c r="C4" s="180" t="s">
        <v>57</v>
      </c>
      <c r="D4" s="181">
        <v>36</v>
      </c>
      <c r="E4" s="181">
        <v>16</v>
      </c>
      <c r="F4" s="182">
        <v>2</v>
      </c>
      <c r="G4" s="182">
        <v>12</v>
      </c>
      <c r="H4" s="183">
        <v>365.05</v>
      </c>
      <c r="I4" s="195">
        <f>HLOOKUP($C4,'Расчет нормативной стоимости'!$F$2:$K$7,6,FALSE)</f>
        <v>265.49</v>
      </c>
      <c r="J4" s="196">
        <f t="shared" si="0"/>
        <v>8495.68</v>
      </c>
      <c r="K4" s="196">
        <f>IF(J4&lt;'Расчет номинала'!$E$19+0.01,J4,ROUNDDOWN('Расчет номинала'!$E$19/IF(H4=0,I4,IF(I4&gt;H4,H4,I4)),0)*IF(H4=0,I4,IF(I4&gt;H4,H4,I4)))</f>
        <v>8495.68</v>
      </c>
      <c r="L4" s="196">
        <f t="shared" si="1"/>
        <v>101948.16</v>
      </c>
      <c r="M4" s="197">
        <f t="shared" si="2"/>
        <v>0</v>
      </c>
      <c r="N4" s="151"/>
      <c r="O4" s="152">
        <f t="shared" si="3"/>
        <v>384</v>
      </c>
    </row>
    <row r="5" spans="1:15" s="152" customFormat="1" ht="45.75" x14ac:dyDescent="0.25">
      <c r="A5" s="179" t="s">
        <v>113</v>
      </c>
      <c r="B5" s="180" t="s">
        <v>223</v>
      </c>
      <c r="C5" s="180" t="s">
        <v>57</v>
      </c>
      <c r="D5" s="181">
        <v>36</v>
      </c>
      <c r="E5" s="181">
        <v>16</v>
      </c>
      <c r="F5" s="182">
        <v>2</v>
      </c>
      <c r="G5" s="182">
        <v>12</v>
      </c>
      <c r="H5" s="183">
        <v>365.05</v>
      </c>
      <c r="I5" s="195">
        <f>HLOOKUP($C5,'Расчет нормативной стоимости'!$F$2:$K$7,6,FALSE)</f>
        <v>265.49</v>
      </c>
      <c r="J5" s="196">
        <f t="shared" si="0"/>
        <v>8495.68</v>
      </c>
      <c r="K5" s="196">
        <f>IF(J5&lt;'Расчет номинала'!$E$19+0.01,J5,ROUNDDOWN('Расчет номинала'!$E$19/IF(H5=0,I5,IF(I5&gt;H5,H5,I5)),0)*IF(H5=0,I5,IF(I5&gt;H5,H5,I5)))</f>
        <v>8495.68</v>
      </c>
      <c r="L5" s="196">
        <f t="shared" si="1"/>
        <v>101948.16</v>
      </c>
      <c r="M5" s="197">
        <f t="shared" si="2"/>
        <v>0</v>
      </c>
      <c r="N5" s="151"/>
      <c r="O5" s="152">
        <f t="shared" si="3"/>
        <v>384</v>
      </c>
    </row>
    <row r="6" spans="1:15" s="152" customFormat="1" ht="45.75" x14ac:dyDescent="0.25">
      <c r="A6" s="179" t="s">
        <v>113</v>
      </c>
      <c r="B6" s="180" t="s">
        <v>224</v>
      </c>
      <c r="C6" s="180" t="s">
        <v>11</v>
      </c>
      <c r="D6" s="181">
        <v>36</v>
      </c>
      <c r="E6" s="181">
        <v>16</v>
      </c>
      <c r="F6" s="182">
        <v>2</v>
      </c>
      <c r="G6" s="182">
        <f>12+10</f>
        <v>22</v>
      </c>
      <c r="H6" s="183">
        <v>365.05</v>
      </c>
      <c r="I6" s="195">
        <f>HLOOKUP($C6,'Расчет нормативной стоимости'!$F$2:$K$7,6,FALSE)</f>
        <v>265.49</v>
      </c>
      <c r="J6" s="196">
        <f t="shared" si="0"/>
        <v>8495.68</v>
      </c>
      <c r="K6" s="196">
        <f>IF(J6&lt;'Расчет номинала'!$E$19+0.01,J6,ROUNDDOWN('Расчет номинала'!$E$19/IF(H6=0,I6,IF(I6&gt;H6,H6,I6)),0)*IF(H6=0,I6,IF(I6&gt;H6,H6,I6)))</f>
        <v>8495.68</v>
      </c>
      <c r="L6" s="196">
        <f>K6*G6</f>
        <v>186904.95999999999</v>
      </c>
      <c r="M6" s="197">
        <f t="shared" si="2"/>
        <v>0</v>
      </c>
      <c r="N6" s="151"/>
      <c r="O6" s="152">
        <f t="shared" si="3"/>
        <v>704</v>
      </c>
    </row>
    <row r="7" spans="1:15" s="152" customFormat="1" ht="45.75" x14ac:dyDescent="0.25">
      <c r="A7" s="179" t="s">
        <v>113</v>
      </c>
      <c r="B7" s="180" t="s">
        <v>225</v>
      </c>
      <c r="C7" s="180" t="s">
        <v>11</v>
      </c>
      <c r="D7" s="181">
        <v>36</v>
      </c>
      <c r="E7" s="181">
        <v>16</v>
      </c>
      <c r="F7" s="182">
        <v>2</v>
      </c>
      <c r="G7" s="182">
        <f>12</f>
        <v>12</v>
      </c>
      <c r="H7" s="183">
        <v>365.05</v>
      </c>
      <c r="I7" s="195">
        <f>HLOOKUP($C7,'Расчет нормативной стоимости'!$F$2:$K$7,6,FALSE)</f>
        <v>265.49</v>
      </c>
      <c r="J7" s="196">
        <f t="shared" si="0"/>
        <v>8495.68</v>
      </c>
      <c r="K7" s="196">
        <f>IF(J7&lt;'Расчет номинала'!$E$19+0.01,J7,ROUNDDOWN('Расчет номинала'!$E$19/IF(H7=0,I7,IF(I7&gt;H7,H7,I7)),0)*IF(H7=0,I7,IF(I7&gt;H7,H7,I7)))</f>
        <v>8495.68</v>
      </c>
      <c r="L7" s="196">
        <f t="shared" si="1"/>
        <v>101948.16</v>
      </c>
      <c r="M7" s="197">
        <f t="shared" si="2"/>
        <v>0</v>
      </c>
      <c r="N7" s="151"/>
      <c r="O7" s="152">
        <f t="shared" si="3"/>
        <v>384</v>
      </c>
    </row>
    <row r="8" spans="1:15" s="152" customFormat="1" ht="45.75" x14ac:dyDescent="0.25">
      <c r="A8" s="179" t="s">
        <v>113</v>
      </c>
      <c r="B8" s="180" t="s">
        <v>226</v>
      </c>
      <c r="C8" s="180" t="s">
        <v>11</v>
      </c>
      <c r="D8" s="181">
        <v>36</v>
      </c>
      <c r="E8" s="181">
        <v>16</v>
      </c>
      <c r="F8" s="182">
        <v>2</v>
      </c>
      <c r="G8" s="182">
        <v>24</v>
      </c>
      <c r="H8" s="183">
        <v>365.05</v>
      </c>
      <c r="I8" s="195">
        <f>HLOOKUP($C8,'Расчет нормативной стоимости'!$F$2:$K$7,6,FALSE)</f>
        <v>265.49</v>
      </c>
      <c r="J8" s="196">
        <f t="shared" si="0"/>
        <v>8495.68</v>
      </c>
      <c r="K8" s="196">
        <f>IF(J8&lt;'Расчет номинала'!$E$19+0.01,J8,ROUNDDOWN('Расчет номинала'!$E$19/IF(H8=0,I8,IF(I8&gt;H8,H8,I8)),0)*IF(H8=0,I8,IF(I8&gt;H8,H8,I8)))</f>
        <v>8495.68</v>
      </c>
      <c r="L8" s="196">
        <f t="shared" si="1"/>
        <v>203896.32000000001</v>
      </c>
      <c r="M8" s="197">
        <f t="shared" si="2"/>
        <v>0</v>
      </c>
      <c r="N8" s="151"/>
      <c r="O8" s="152">
        <f t="shared" si="3"/>
        <v>768</v>
      </c>
    </row>
    <row r="9" spans="1:15" s="152" customFormat="1" ht="45.75" x14ac:dyDescent="0.25">
      <c r="A9" s="179" t="s">
        <v>113</v>
      </c>
      <c r="B9" s="180" t="s">
        <v>227</v>
      </c>
      <c r="C9" s="180" t="s">
        <v>11</v>
      </c>
      <c r="D9" s="181">
        <v>36</v>
      </c>
      <c r="E9" s="181">
        <v>16</v>
      </c>
      <c r="F9" s="182">
        <v>2</v>
      </c>
      <c r="G9" s="182">
        <v>12</v>
      </c>
      <c r="H9" s="183">
        <v>365.05</v>
      </c>
      <c r="I9" s="195">
        <f>HLOOKUP($C9,'Расчет нормативной стоимости'!$F$2:$K$7,6,FALSE)</f>
        <v>265.49</v>
      </c>
      <c r="J9" s="196">
        <f t="shared" si="0"/>
        <v>8495.68</v>
      </c>
      <c r="K9" s="196">
        <f>IF(J9&lt;'Расчет номинала'!$E$19+0.01,J9,ROUNDDOWN('Расчет номинала'!$E$19/IF(H9=0,I9,IF(I9&gt;H9,H9,I9)),0)*IF(H9=0,I9,IF(I9&gt;H9,H9,I9)))</f>
        <v>8495.68</v>
      </c>
      <c r="L9" s="196">
        <f t="shared" si="1"/>
        <v>101948.16</v>
      </c>
      <c r="M9" s="197">
        <f t="shared" si="2"/>
        <v>0</v>
      </c>
      <c r="N9" s="151"/>
      <c r="O9" s="152">
        <f t="shared" si="3"/>
        <v>384</v>
      </c>
    </row>
    <row r="10" spans="1:15" s="152" customFormat="1" ht="45.75" x14ac:dyDescent="0.25">
      <c r="A10" s="179" t="s">
        <v>113</v>
      </c>
      <c r="B10" s="180" t="s">
        <v>228</v>
      </c>
      <c r="C10" s="180" t="s">
        <v>11</v>
      </c>
      <c r="D10" s="181">
        <v>36</v>
      </c>
      <c r="E10" s="181">
        <v>16</v>
      </c>
      <c r="F10" s="182">
        <v>2</v>
      </c>
      <c r="G10" s="182">
        <v>12</v>
      </c>
      <c r="H10" s="183">
        <v>365.05</v>
      </c>
      <c r="I10" s="195">
        <f>HLOOKUP($C10,'Расчет нормативной стоимости'!$F$2:$K$7,6,FALSE)</f>
        <v>265.49</v>
      </c>
      <c r="J10" s="196">
        <f t="shared" si="0"/>
        <v>8495.68</v>
      </c>
      <c r="K10" s="196">
        <f>IF(J10&lt;'Расчет номинала'!$E$19+0.01,J10,ROUNDDOWN('Расчет номинала'!$E$19/IF(H10=0,I10,IF(I10&gt;H10,H10,I10)),0)*IF(H10=0,I10,IF(I10&gt;H10,H10,I10)))</f>
        <v>8495.68</v>
      </c>
      <c r="L10" s="196">
        <f t="shared" si="1"/>
        <v>101948.16</v>
      </c>
      <c r="M10" s="197">
        <f t="shared" si="2"/>
        <v>0</v>
      </c>
      <c r="N10" s="151"/>
      <c r="O10" s="152">
        <f t="shared" si="3"/>
        <v>384</v>
      </c>
    </row>
    <row r="11" spans="1:15" s="152" customFormat="1" ht="45.75" x14ac:dyDescent="0.25">
      <c r="A11" s="179" t="s">
        <v>113</v>
      </c>
      <c r="B11" s="180" t="s">
        <v>229</v>
      </c>
      <c r="C11" s="180" t="s">
        <v>9</v>
      </c>
      <c r="D11" s="181">
        <v>36</v>
      </c>
      <c r="E11" s="181">
        <v>16</v>
      </c>
      <c r="F11" s="182">
        <v>2</v>
      </c>
      <c r="G11" s="182">
        <v>8</v>
      </c>
      <c r="H11" s="183">
        <v>365.05</v>
      </c>
      <c r="I11" s="195">
        <f>HLOOKUP($C11,'Расчет нормативной стоимости'!$F$2:$K$7,6,FALSE)</f>
        <v>265.49</v>
      </c>
      <c r="J11" s="196">
        <f t="shared" si="0"/>
        <v>8495.68</v>
      </c>
      <c r="K11" s="196">
        <f>IF(J11&lt;'Расчет номинала'!$E$19+0.01,J11,ROUNDDOWN('Расчет номинала'!$E$19/IF(H11=0,I11,IF(I11&gt;H11,H11,I11)),0)*IF(H11=0,I11,IF(I11&gt;H11,H11,I11)))</f>
        <v>8495.68</v>
      </c>
      <c r="L11" s="196">
        <f t="shared" si="1"/>
        <v>67965.440000000002</v>
      </c>
      <c r="M11" s="197">
        <f t="shared" si="2"/>
        <v>0</v>
      </c>
      <c r="N11" s="151"/>
      <c r="O11" s="152">
        <f t="shared" si="3"/>
        <v>256</v>
      </c>
    </row>
    <row r="12" spans="1:15" s="152" customFormat="1" ht="45.75" x14ac:dyDescent="0.25">
      <c r="A12" s="179" t="s">
        <v>113</v>
      </c>
      <c r="B12" s="180" t="s">
        <v>230</v>
      </c>
      <c r="C12" s="180" t="s">
        <v>9</v>
      </c>
      <c r="D12" s="181">
        <v>36</v>
      </c>
      <c r="E12" s="181">
        <v>16</v>
      </c>
      <c r="F12" s="182">
        <v>2</v>
      </c>
      <c r="G12" s="182">
        <v>8</v>
      </c>
      <c r="H12" s="183">
        <v>365.05</v>
      </c>
      <c r="I12" s="195">
        <f>HLOOKUP($C12,'Расчет нормативной стоимости'!$F$2:$K$7,6,FALSE)</f>
        <v>265.49</v>
      </c>
      <c r="J12" s="196">
        <f t="shared" si="0"/>
        <v>8495.68</v>
      </c>
      <c r="K12" s="196">
        <f>IF(J12&lt;'Расчет номинала'!$E$19+0.01,J12,ROUNDDOWN('Расчет номинала'!$E$19/IF(H12=0,I12,IF(I12&gt;H12,H12,I12)),0)*IF(H12=0,I12,IF(I12&gt;H12,H12,I12)))</f>
        <v>8495.68</v>
      </c>
      <c r="L12" s="196">
        <f t="shared" si="1"/>
        <v>67965.440000000002</v>
      </c>
      <c r="M12" s="197">
        <f t="shared" si="2"/>
        <v>0</v>
      </c>
      <c r="N12" s="151"/>
      <c r="O12" s="152">
        <f t="shared" si="3"/>
        <v>256</v>
      </c>
    </row>
    <row r="13" spans="1:15" s="152" customFormat="1" ht="45.75" x14ac:dyDescent="0.25">
      <c r="A13" s="179" t="s">
        <v>113</v>
      </c>
      <c r="B13" s="180" t="s">
        <v>231</v>
      </c>
      <c r="C13" s="180" t="s">
        <v>9</v>
      </c>
      <c r="D13" s="181">
        <v>36</v>
      </c>
      <c r="E13" s="181">
        <v>16</v>
      </c>
      <c r="F13" s="182">
        <v>2</v>
      </c>
      <c r="G13" s="182">
        <v>8</v>
      </c>
      <c r="H13" s="183">
        <v>365.05</v>
      </c>
      <c r="I13" s="195">
        <f>HLOOKUP($C13,'Расчет нормативной стоимости'!$F$2:$K$7,6,FALSE)</f>
        <v>265.49</v>
      </c>
      <c r="J13" s="196">
        <f t="shared" si="0"/>
        <v>8495.68</v>
      </c>
      <c r="K13" s="196">
        <f>IF(J13&lt;'Расчет номинала'!$E$19+0.01,J13,ROUNDDOWN('Расчет номинала'!$E$19/IF(H13=0,I13,IF(I13&gt;H13,H13,I13)),0)*IF(H13=0,I13,IF(I13&gt;H13,H13,I13)))</f>
        <v>8495.68</v>
      </c>
      <c r="L13" s="196">
        <f t="shared" si="1"/>
        <v>67965.440000000002</v>
      </c>
      <c r="M13" s="197">
        <f t="shared" si="2"/>
        <v>0</v>
      </c>
      <c r="N13" s="151"/>
      <c r="O13" s="152">
        <f t="shared" si="3"/>
        <v>256</v>
      </c>
    </row>
    <row r="14" spans="1:15" s="152" customFormat="1" ht="45.75" x14ac:dyDescent="0.25">
      <c r="A14" s="179" t="s">
        <v>113</v>
      </c>
      <c r="B14" s="180" t="s">
        <v>232</v>
      </c>
      <c r="C14" s="180" t="s">
        <v>9</v>
      </c>
      <c r="D14" s="181">
        <v>36</v>
      </c>
      <c r="E14" s="181">
        <v>16</v>
      </c>
      <c r="F14" s="182">
        <v>2</v>
      </c>
      <c r="G14" s="182">
        <v>8</v>
      </c>
      <c r="H14" s="183">
        <v>365.05</v>
      </c>
      <c r="I14" s="195">
        <f>HLOOKUP($C14,'Расчет нормативной стоимости'!$F$2:$K$7,6,FALSE)</f>
        <v>265.49</v>
      </c>
      <c r="J14" s="196">
        <f t="shared" si="0"/>
        <v>8495.68</v>
      </c>
      <c r="K14" s="196">
        <f>IF(J14&lt;'Расчет номинала'!$E$19+0.01,J14,ROUNDDOWN('Расчет номинала'!$E$19/IF(H14=0,I14,IF(I14&gt;H14,H14,I14)),0)*IF(H14=0,I14,IF(I14&gt;H14,H14,I14)))</f>
        <v>8495.68</v>
      </c>
      <c r="L14" s="196">
        <f t="shared" si="1"/>
        <v>67965.440000000002</v>
      </c>
      <c r="M14" s="197">
        <f t="shared" si="2"/>
        <v>0</v>
      </c>
      <c r="N14" s="151"/>
      <c r="O14" s="152">
        <f t="shared" si="3"/>
        <v>256</v>
      </c>
    </row>
    <row r="15" spans="1:15" s="152" customFormat="1" ht="50.25" customHeight="1" x14ac:dyDescent="0.25">
      <c r="A15" s="179" t="s">
        <v>113</v>
      </c>
      <c r="B15" s="180" t="s">
        <v>233</v>
      </c>
      <c r="C15" s="180" t="s">
        <v>9</v>
      </c>
      <c r="D15" s="181">
        <v>36</v>
      </c>
      <c r="E15" s="181">
        <v>16</v>
      </c>
      <c r="F15" s="182">
        <v>2</v>
      </c>
      <c r="G15" s="182">
        <v>8</v>
      </c>
      <c r="H15" s="183">
        <v>365.05</v>
      </c>
      <c r="I15" s="195">
        <f>HLOOKUP($C15,'Расчет нормативной стоимости'!$F$2:$K$7,6,FALSE)</f>
        <v>265.49</v>
      </c>
      <c r="J15" s="196">
        <f t="shared" si="0"/>
        <v>8495.68</v>
      </c>
      <c r="K15" s="196">
        <f>IF(J15&lt;'Расчет номинала'!$E$19+0.01,J15,ROUNDDOWN('Расчет номинала'!$E$19/IF(H15=0,I15,IF(I15&gt;H15,H15,I15)),0)*IF(H15=0,I15,IF(I15&gt;H15,H15,I15)))</f>
        <v>8495.68</v>
      </c>
      <c r="L15" s="196">
        <f t="shared" si="1"/>
        <v>67965.440000000002</v>
      </c>
      <c r="M15" s="197">
        <f t="shared" si="2"/>
        <v>0</v>
      </c>
      <c r="N15" s="151"/>
      <c r="O15" s="152">
        <f t="shared" si="3"/>
        <v>256</v>
      </c>
    </row>
    <row r="16" spans="1:15" s="152" customFormat="1" ht="45.75" x14ac:dyDescent="0.25">
      <c r="A16" s="179" t="s">
        <v>113</v>
      </c>
      <c r="B16" s="180" t="s">
        <v>234</v>
      </c>
      <c r="C16" s="180" t="s">
        <v>9</v>
      </c>
      <c r="D16" s="181">
        <v>36</v>
      </c>
      <c r="E16" s="181">
        <v>16</v>
      </c>
      <c r="F16" s="182">
        <v>2</v>
      </c>
      <c r="G16" s="182">
        <v>8</v>
      </c>
      <c r="H16" s="183">
        <v>365.05</v>
      </c>
      <c r="I16" s="195">
        <f>HLOOKUP($C16,'Расчет нормативной стоимости'!$F$2:$K$7,6,FALSE)</f>
        <v>265.49</v>
      </c>
      <c r="J16" s="196">
        <f t="shared" si="0"/>
        <v>8495.68</v>
      </c>
      <c r="K16" s="196">
        <f>IF(J16&lt;'Расчет номинала'!$E$19+0.01,J16,ROUNDDOWN('Расчет номинала'!$E$19/IF(H16=0,I16,IF(I16&gt;H16,H16,I16)),0)*IF(H16=0,I16,IF(I16&gt;H16,H16,I16)))</f>
        <v>8495.68</v>
      </c>
      <c r="L16" s="196">
        <f t="shared" si="1"/>
        <v>67965.440000000002</v>
      </c>
      <c r="M16" s="197">
        <f t="shared" si="2"/>
        <v>0</v>
      </c>
      <c r="N16" s="151"/>
      <c r="O16" s="152">
        <f t="shared" si="3"/>
        <v>256</v>
      </c>
    </row>
    <row r="17" spans="1:16" s="152" customFormat="1" ht="45.75" x14ac:dyDescent="0.25">
      <c r="A17" s="179" t="s">
        <v>113</v>
      </c>
      <c r="B17" s="180" t="s">
        <v>181</v>
      </c>
      <c r="C17" s="180" t="s">
        <v>9</v>
      </c>
      <c r="D17" s="181">
        <v>36</v>
      </c>
      <c r="E17" s="181">
        <v>16</v>
      </c>
      <c r="F17" s="182">
        <v>2</v>
      </c>
      <c r="G17" s="182">
        <v>12</v>
      </c>
      <c r="H17" s="183">
        <v>365.05</v>
      </c>
      <c r="I17" s="195">
        <f>HLOOKUP($C17,'Расчет нормативной стоимости'!$F$2:$K$7,6,FALSE)</f>
        <v>265.49</v>
      </c>
      <c r="J17" s="196">
        <f t="shared" si="0"/>
        <v>8495.68</v>
      </c>
      <c r="K17" s="196">
        <f>IF(J17&lt;'Расчет номинала'!$E$19+0.01,J17,ROUNDDOWN('Расчет номинала'!$E$19/IF(H17=0,I17,IF(I17&gt;H17,H17,I17)),0)*IF(H17=0,I17,IF(I17&gt;H17,H17,I17)))</f>
        <v>8495.68</v>
      </c>
      <c r="L17" s="196">
        <f t="shared" si="1"/>
        <v>101948.16</v>
      </c>
      <c r="M17" s="197">
        <f t="shared" si="2"/>
        <v>0</v>
      </c>
      <c r="N17" s="151"/>
      <c r="O17" s="152">
        <f>G17*E17*F17</f>
        <v>384</v>
      </c>
      <c r="P17" s="152">
        <f>SUM(O2:O17)</f>
        <v>6400</v>
      </c>
    </row>
    <row r="18" spans="1:16" s="150" customFormat="1" ht="45.75" x14ac:dyDescent="0.25">
      <c r="A18" s="238" t="s">
        <v>114</v>
      </c>
      <c r="B18" s="180" t="s">
        <v>188</v>
      </c>
      <c r="C18" s="180" t="s">
        <v>10</v>
      </c>
      <c r="D18" s="181">
        <v>36</v>
      </c>
      <c r="E18" s="181">
        <v>16</v>
      </c>
      <c r="F18" s="182">
        <v>2</v>
      </c>
      <c r="G18" s="182">
        <v>40</v>
      </c>
      <c r="H18" s="183">
        <v>365.05</v>
      </c>
      <c r="I18" s="195">
        <f>HLOOKUP($C18,'Расчет нормативной стоимости'!$F$2:$K$7,6,FALSE)</f>
        <v>265.49</v>
      </c>
      <c r="J18" s="196">
        <f t="shared" si="0"/>
        <v>8495.68</v>
      </c>
      <c r="K18" s="196">
        <f>IF(J18&lt;'Расчет номинала'!$E$19+0.01,J18,ROUNDDOWN('Расчет номинала'!$E$19/IF(H18=0,I18,IF(I18&gt;H18,H18,I18)),0)*IF(H18=0,I18,IF(I18&gt;H18,H18,I18)))</f>
        <v>8495.68</v>
      </c>
      <c r="L18" s="196">
        <f t="shared" si="1"/>
        <v>339827.20000000001</v>
      </c>
      <c r="M18" s="197">
        <f t="shared" si="2"/>
        <v>0</v>
      </c>
      <c r="N18" s="149"/>
    </row>
    <row r="19" spans="1:16" s="150" customFormat="1" ht="45.75" x14ac:dyDescent="0.25">
      <c r="A19" s="179" t="s">
        <v>114</v>
      </c>
      <c r="B19" s="180" t="s">
        <v>191</v>
      </c>
      <c r="C19" s="180" t="s">
        <v>9</v>
      </c>
      <c r="D19" s="181">
        <v>36</v>
      </c>
      <c r="E19" s="181">
        <v>16</v>
      </c>
      <c r="F19" s="182">
        <v>2</v>
      </c>
      <c r="G19" s="182">
        <v>18</v>
      </c>
      <c r="H19" s="183">
        <v>365.05</v>
      </c>
      <c r="I19" s="195">
        <f>HLOOKUP($C19,'Расчет нормативной стоимости'!$F$2:$K$7,6,FALSE)</f>
        <v>265.49</v>
      </c>
      <c r="J19" s="196">
        <f t="shared" si="0"/>
        <v>8495.68</v>
      </c>
      <c r="K19" s="196">
        <f>IF(J19&lt;'Расчет номинала'!$E$19+0.01,J19,ROUNDDOWN('Расчет номинала'!$E$19/IF(H19=0,I19,IF(I19&gt;H19,H19,I19)),0)*IF(H19=0,I19,IF(I19&gt;H19,H19,I19)))</f>
        <v>8495.68</v>
      </c>
      <c r="L19" s="196">
        <f t="shared" si="1"/>
        <v>152922.23999999999</v>
      </c>
      <c r="M19" s="197">
        <f t="shared" si="2"/>
        <v>0</v>
      </c>
      <c r="N19" s="149"/>
    </row>
    <row r="20" spans="1:16" s="150" customFormat="1" ht="45.75" x14ac:dyDescent="0.25">
      <c r="A20" s="179" t="s">
        <v>114</v>
      </c>
      <c r="B20" s="180" t="s">
        <v>197</v>
      </c>
      <c r="C20" s="180" t="s">
        <v>11</v>
      </c>
      <c r="D20" s="181">
        <v>36</v>
      </c>
      <c r="E20" s="181">
        <v>16</v>
      </c>
      <c r="F20" s="182">
        <v>2</v>
      </c>
      <c r="G20" s="182">
        <v>40</v>
      </c>
      <c r="H20" s="183">
        <v>365.05</v>
      </c>
      <c r="I20" s="195">
        <f>HLOOKUP($C20,'Расчет нормативной стоимости'!$F$2:$K$7,6,FALSE)</f>
        <v>265.49</v>
      </c>
      <c r="J20" s="196">
        <f t="shared" si="0"/>
        <v>8495.68</v>
      </c>
      <c r="K20" s="196">
        <f>IF(J20&lt;'Расчет номинала'!$E$19+0.01,J20,ROUNDDOWN('Расчет номинала'!$E$19/IF(H20=0,I20,IF(I20&gt;H20,H20,I20)),0)*IF(H20=0,I20,IF(I20&gt;H20,H20,I20)))</f>
        <v>8495.68</v>
      </c>
      <c r="L20" s="196">
        <f t="shared" si="1"/>
        <v>339827.20000000001</v>
      </c>
      <c r="M20" s="197">
        <f t="shared" si="2"/>
        <v>0</v>
      </c>
      <c r="N20" s="149"/>
    </row>
    <row r="21" spans="1:16" s="150" customFormat="1" ht="45.75" x14ac:dyDescent="0.25">
      <c r="A21" s="179" t="s">
        <v>114</v>
      </c>
      <c r="B21" s="180" t="s">
        <v>219</v>
      </c>
      <c r="C21" s="180" t="s">
        <v>11</v>
      </c>
      <c r="D21" s="181">
        <v>36</v>
      </c>
      <c r="E21" s="181">
        <v>16</v>
      </c>
      <c r="F21" s="182">
        <v>2</v>
      </c>
      <c r="G21" s="182">
        <v>22</v>
      </c>
      <c r="H21" s="183">
        <v>365.05</v>
      </c>
      <c r="I21" s="195">
        <f>HLOOKUP($C21,'Расчет нормативной стоимости'!$F$2:$K$7,6,FALSE)</f>
        <v>265.49</v>
      </c>
      <c r="J21" s="196">
        <f t="shared" si="0"/>
        <v>8495.68</v>
      </c>
      <c r="K21" s="196">
        <f>IF(J21&lt;'Расчет номинала'!$E$19+0.01,J21,ROUNDDOWN('Расчет номинала'!$E$19/IF(H21=0,I21,IF(I21&gt;H21,H21,I21)),0)*IF(H21=0,I21,IF(I21&gt;H21,H21,I21)))</f>
        <v>8495.68</v>
      </c>
      <c r="L21" s="196">
        <f t="shared" si="1"/>
        <v>186904.95999999999</v>
      </c>
      <c r="M21" s="197">
        <f t="shared" si="2"/>
        <v>0</v>
      </c>
      <c r="N21" s="149"/>
    </row>
    <row r="22" spans="1:16" s="150" customFormat="1" ht="45.75" x14ac:dyDescent="0.25">
      <c r="A22" s="179" t="s">
        <v>114</v>
      </c>
      <c r="B22" s="180" t="s">
        <v>213</v>
      </c>
      <c r="C22" s="180" t="s">
        <v>57</v>
      </c>
      <c r="D22" s="181">
        <v>36</v>
      </c>
      <c r="E22" s="181">
        <v>16</v>
      </c>
      <c r="F22" s="182">
        <v>2</v>
      </c>
      <c r="G22" s="182">
        <v>40</v>
      </c>
      <c r="H22" s="183">
        <v>365.05</v>
      </c>
      <c r="I22" s="195">
        <f>HLOOKUP($C22,'Расчет нормативной стоимости'!$F$2:$K$7,6,FALSE)</f>
        <v>265.49</v>
      </c>
      <c r="J22" s="196">
        <f t="shared" si="0"/>
        <v>8495.68</v>
      </c>
      <c r="K22" s="196">
        <f>IF(J22&lt;'Расчет номинала'!$E$19+0.01,J22,ROUNDDOWN('Расчет номинала'!$E$19/IF(H22=0,I22,IF(I22&gt;H22,H22,I22)),0)*IF(H22=0,I22,IF(I22&gt;H22,H22,I22)))</f>
        <v>8495.68</v>
      </c>
      <c r="L22" s="196">
        <f t="shared" si="1"/>
        <v>339827.20000000001</v>
      </c>
      <c r="M22" s="197">
        <f t="shared" si="2"/>
        <v>0</v>
      </c>
      <c r="N22" s="149"/>
      <c r="O22" s="150" t="s">
        <v>240</v>
      </c>
      <c r="P22" s="209">
        <f>L24-P23</f>
        <v>1699136</v>
      </c>
    </row>
    <row r="23" spans="1:16" s="150" customFormat="1" ht="45.75" x14ac:dyDescent="0.25">
      <c r="A23" s="179" t="s">
        <v>114</v>
      </c>
      <c r="B23" s="180" t="s">
        <v>216</v>
      </c>
      <c r="C23" s="180" t="s">
        <v>57</v>
      </c>
      <c r="D23" s="181">
        <v>36</v>
      </c>
      <c r="E23" s="181">
        <v>16</v>
      </c>
      <c r="F23" s="182">
        <v>2</v>
      </c>
      <c r="G23" s="182">
        <v>40</v>
      </c>
      <c r="H23" s="183">
        <v>365.05</v>
      </c>
      <c r="I23" s="195">
        <f>HLOOKUP($C23,'Расчет нормативной стоимости'!$F$2:$K$7,6,FALSE)</f>
        <v>265.49</v>
      </c>
      <c r="J23" s="196">
        <f>IF(H23=0,I23*F23*E23,IF(I23&gt;H23,H23*F23*E23,I23*F23*E23))</f>
        <v>8495.68</v>
      </c>
      <c r="K23" s="196">
        <f>IF(J23&lt;'Расчет номинала'!$E$19+0.01,J23,ROUNDDOWN('Расчет номинала'!$E$19/IF(H23=0,I23,IF(I23&gt;H23,H23,I23)),0)*IF(H23=0,I23,IF(I23&gt;H23,H23,I23)))</f>
        <v>8495.68</v>
      </c>
      <c r="L23" s="196">
        <f t="shared" si="1"/>
        <v>339827.20000000001</v>
      </c>
      <c r="M23" s="197">
        <f t="shared" si="2"/>
        <v>0</v>
      </c>
      <c r="N23" s="149"/>
      <c r="O23" s="150" t="s">
        <v>241</v>
      </c>
      <c r="P23" s="209">
        <f>SUM(L18:L23)</f>
        <v>1699136</v>
      </c>
    </row>
    <row r="24" spans="1:16" x14ac:dyDescent="0.25">
      <c r="A24" s="223"/>
      <c r="B24" s="223"/>
      <c r="C24" s="223"/>
      <c r="D24" s="223"/>
      <c r="E24" s="223"/>
      <c r="F24" s="223"/>
      <c r="G24" s="184">
        <f>SUM(G2:G23)</f>
        <v>400</v>
      </c>
      <c r="H24" s="185" t="s">
        <v>43</v>
      </c>
      <c r="I24" s="198" t="s">
        <v>43</v>
      </c>
      <c r="J24" s="198" t="s">
        <v>43</v>
      </c>
      <c r="K24" s="198" t="s">
        <v>43</v>
      </c>
      <c r="L24" s="199">
        <f>SUM(L2:L23)</f>
        <v>3398272</v>
      </c>
      <c r="M24" s="198" t="s">
        <v>43</v>
      </c>
      <c r="N24" s="112"/>
    </row>
    <row r="25" spans="1:16" ht="15.75" customHeight="1" x14ac:dyDescent="0.25">
      <c r="G25" s="190"/>
      <c r="I25" s="225" t="s">
        <v>107</v>
      </c>
      <c r="J25" s="225"/>
      <c r="K25" s="225"/>
      <c r="L25" s="200">
        <f>'Расчет номинала'!G2-L24</f>
        <v>1728</v>
      </c>
    </row>
    <row r="26" spans="1:16" ht="15.75" customHeight="1" x14ac:dyDescent="0.25">
      <c r="J26" s="224" t="s">
        <v>106</v>
      </c>
      <c r="K26" s="224"/>
      <c r="L26" s="203">
        <f>L25/'Расчет номинала'!G2</f>
        <v>0</v>
      </c>
    </row>
  </sheetData>
  <autoFilter ref="A1:P26"/>
  <mergeCells count="3">
    <mergeCell ref="A24:F24"/>
    <mergeCell ref="J26:K26"/>
    <mergeCell ref="I25:K2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errorStyle="warning" allowBlank="1" showInputMessage="1" showErrorMessage="1" errorTitle="Ошибка" error="Направленность не из списка!" promptTitle="Направленность" prompt="Выберите направленность из списка">
          <x14:formula1>
            <xm:f>[1]Справочники!#REF!</xm:f>
          </x14:formula1>
          <xm:sqref>C17:E17 C25:E1048576</xm:sqref>
        </x14:dataValidation>
        <x14:dataValidation type="list" showInputMessage="1" showErrorMessage="1">
          <x14:formula1>
            <xm:f>'Расчет номинала'!$A$9:$A$14</xm:f>
          </x14:formula1>
          <xm:sqref>C2:C16</xm:sqref>
        </x14:dataValidation>
        <x14:dataValidation type="list" showInputMessage="1" showErrorMessage="1">
          <x14:formula1>
            <xm:f>'[2]Расчет номинала'!#REF!</xm:f>
          </x14:formula1>
          <xm:sqref>C18:C23</xm:sqref>
        </x14:dataValidation>
        <x14:dataValidation type="list" showInputMessage="1" showErrorMessage="1">
          <x14:formula1>
            <xm:f>'Расчет номинала'!$B$4:$AE$4</xm:f>
          </x14:formula1>
          <xm:sqref>A2:A23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8"/>
  <sheetViews>
    <sheetView view="pageBreakPreview" topLeftCell="A100" zoomScaleNormal="100" zoomScaleSheetLayoutView="100" workbookViewId="0">
      <selection activeCell="G69" sqref="G69"/>
    </sheetView>
  </sheetViews>
  <sheetFormatPr defaultColWidth="11" defaultRowHeight="15.75" x14ac:dyDescent="0.25"/>
  <cols>
    <col min="1" max="1" width="25.375" style="40" customWidth="1"/>
    <col min="2" max="2" width="34.5" style="143" customWidth="1"/>
    <col min="3" max="3" width="24.125" style="40" customWidth="1"/>
    <col min="4" max="4" width="11.5" style="40" customWidth="1"/>
    <col min="5" max="5" width="12.875" style="40" customWidth="1"/>
    <col min="6" max="6" width="12.125" style="41" customWidth="1"/>
    <col min="7" max="7" width="11.5" style="41" customWidth="1"/>
    <col min="8" max="8" width="15.875" style="47" customWidth="1"/>
    <col min="11" max="11" width="21.125" customWidth="1"/>
  </cols>
  <sheetData>
    <row r="1" spans="1:11" s="36" customFormat="1" ht="94.5" x14ac:dyDescent="0.25">
      <c r="A1" s="108" t="s">
        <v>80</v>
      </c>
      <c r="B1" s="108" t="s">
        <v>84</v>
      </c>
      <c r="C1" s="42" t="s">
        <v>26</v>
      </c>
      <c r="D1" s="43" t="s">
        <v>18</v>
      </c>
      <c r="E1" s="43" t="s">
        <v>81</v>
      </c>
      <c r="F1" s="43" t="s">
        <v>44</v>
      </c>
      <c r="G1" s="43" t="s">
        <v>42</v>
      </c>
      <c r="H1" s="44" t="s">
        <v>85</v>
      </c>
    </row>
    <row r="2" spans="1:11" ht="45.75" x14ac:dyDescent="0.25">
      <c r="A2" s="170" t="s">
        <v>113</v>
      </c>
      <c r="B2" s="141" t="s">
        <v>116</v>
      </c>
      <c r="C2" s="37" t="s">
        <v>57</v>
      </c>
      <c r="D2" s="57">
        <v>36</v>
      </c>
      <c r="E2" s="57">
        <v>16</v>
      </c>
      <c r="F2" s="58">
        <f>555/D2</f>
        <v>15</v>
      </c>
      <c r="G2" s="58">
        <v>10</v>
      </c>
      <c r="H2" s="113">
        <f>E2*F2*G2</f>
        <v>2400</v>
      </c>
      <c r="I2">
        <f t="shared" ref="I2:I65" si="0">D2*F2</f>
        <v>540</v>
      </c>
      <c r="J2">
        <f>E2*F2</f>
        <v>240</v>
      </c>
      <c r="K2" s="173">
        <f>AVERAGE(I2:I18)</f>
        <v>159</v>
      </c>
    </row>
    <row r="3" spans="1:11" ht="45.75" x14ac:dyDescent="0.25">
      <c r="A3" s="170" t="s">
        <v>113</v>
      </c>
      <c r="B3" s="141" t="s">
        <v>117</v>
      </c>
      <c r="C3" s="37" t="s">
        <v>57</v>
      </c>
      <c r="D3" s="57">
        <v>36</v>
      </c>
      <c r="E3" s="57">
        <v>16</v>
      </c>
      <c r="F3" s="58">
        <f>108/D3</f>
        <v>3</v>
      </c>
      <c r="G3" s="58">
        <v>24</v>
      </c>
      <c r="H3" s="113">
        <f t="shared" ref="H3:H18" si="1">E3*F3*G3</f>
        <v>1152</v>
      </c>
      <c r="I3">
        <f t="shared" si="0"/>
        <v>108</v>
      </c>
      <c r="J3">
        <f t="shared" ref="J3:J66" si="2">E3*F3</f>
        <v>48</v>
      </c>
      <c r="K3" s="174">
        <f>SUM(H2:H18)</f>
        <v>21392</v>
      </c>
    </row>
    <row r="4" spans="1:11" ht="45.75" x14ac:dyDescent="0.25">
      <c r="A4" s="170" t="s">
        <v>113</v>
      </c>
      <c r="B4" s="141" t="s">
        <v>118</v>
      </c>
      <c r="C4" s="37" t="s">
        <v>57</v>
      </c>
      <c r="D4" s="57">
        <v>36</v>
      </c>
      <c r="E4" s="57">
        <v>16</v>
      </c>
      <c r="F4" s="58">
        <f>148/D4</f>
        <v>4</v>
      </c>
      <c r="G4" s="58">
        <v>72</v>
      </c>
      <c r="H4" s="113">
        <f t="shared" si="1"/>
        <v>4608</v>
      </c>
      <c r="I4">
        <f t="shared" si="0"/>
        <v>144</v>
      </c>
      <c r="J4">
        <f t="shared" si="2"/>
        <v>64</v>
      </c>
    </row>
    <row r="5" spans="1:11" ht="45.75" x14ac:dyDescent="0.25">
      <c r="A5" s="170" t="s">
        <v>113</v>
      </c>
      <c r="B5" s="141" t="s">
        <v>119</v>
      </c>
      <c r="C5" s="37" t="s">
        <v>57</v>
      </c>
      <c r="D5" s="57">
        <v>36</v>
      </c>
      <c r="E5" s="57">
        <v>16</v>
      </c>
      <c r="F5" s="58">
        <f>108/D5</f>
        <v>3</v>
      </c>
      <c r="G5" s="58">
        <v>43</v>
      </c>
      <c r="H5" s="113">
        <f t="shared" si="1"/>
        <v>2064</v>
      </c>
      <c r="I5">
        <f t="shared" si="0"/>
        <v>108</v>
      </c>
      <c r="J5">
        <f t="shared" si="2"/>
        <v>48</v>
      </c>
    </row>
    <row r="6" spans="1:11" ht="45.75" x14ac:dyDescent="0.25">
      <c r="A6" s="170" t="s">
        <v>113</v>
      </c>
      <c r="B6" s="141" t="s">
        <v>120</v>
      </c>
      <c r="C6" s="37" t="s">
        <v>57</v>
      </c>
      <c r="D6" s="57">
        <v>36</v>
      </c>
      <c r="E6" s="57">
        <v>16</v>
      </c>
      <c r="F6" s="58">
        <f>144/D6</f>
        <v>4</v>
      </c>
      <c r="G6" s="58">
        <v>10</v>
      </c>
      <c r="H6" s="113">
        <f t="shared" si="1"/>
        <v>640</v>
      </c>
      <c r="I6">
        <f t="shared" si="0"/>
        <v>144</v>
      </c>
      <c r="J6">
        <f t="shared" si="2"/>
        <v>64</v>
      </c>
    </row>
    <row r="7" spans="1:11" ht="45.75" x14ac:dyDescent="0.25">
      <c r="A7" s="170" t="s">
        <v>113</v>
      </c>
      <c r="B7" s="141" t="s">
        <v>121</v>
      </c>
      <c r="C7" s="37" t="s">
        <v>57</v>
      </c>
      <c r="D7" s="57">
        <v>36</v>
      </c>
      <c r="E7" s="57">
        <v>16</v>
      </c>
      <c r="F7" s="58">
        <f>222/D7</f>
        <v>6</v>
      </c>
      <c r="G7" s="58">
        <v>10</v>
      </c>
      <c r="H7" s="113">
        <f t="shared" si="1"/>
        <v>960</v>
      </c>
      <c r="I7">
        <f t="shared" si="0"/>
        <v>216</v>
      </c>
      <c r="J7">
        <f t="shared" si="2"/>
        <v>96</v>
      </c>
    </row>
    <row r="8" spans="1:11" ht="45.75" x14ac:dyDescent="0.25">
      <c r="A8" s="170" t="s">
        <v>113</v>
      </c>
      <c r="B8" s="141" t="s">
        <v>122</v>
      </c>
      <c r="C8" s="37" t="s">
        <v>57</v>
      </c>
      <c r="D8" s="57">
        <v>36</v>
      </c>
      <c r="E8" s="57">
        <v>16</v>
      </c>
      <c r="F8" s="58">
        <f>222/D8</f>
        <v>6</v>
      </c>
      <c r="G8" s="58">
        <v>9</v>
      </c>
      <c r="H8" s="113">
        <f t="shared" si="1"/>
        <v>864</v>
      </c>
      <c r="I8">
        <f t="shared" si="0"/>
        <v>216</v>
      </c>
      <c r="J8">
        <f t="shared" si="2"/>
        <v>96</v>
      </c>
    </row>
    <row r="9" spans="1:11" ht="45.75" x14ac:dyDescent="0.25">
      <c r="A9" s="170" t="s">
        <v>113</v>
      </c>
      <c r="B9" s="141" t="s">
        <v>123</v>
      </c>
      <c r="C9" s="37" t="s">
        <v>57</v>
      </c>
      <c r="D9" s="57">
        <v>36</v>
      </c>
      <c r="E9" s="57">
        <v>16</v>
      </c>
      <c r="F9" s="58">
        <f>222/D9</f>
        <v>6</v>
      </c>
      <c r="G9" s="58">
        <v>12</v>
      </c>
      <c r="H9" s="113">
        <f t="shared" si="1"/>
        <v>1152</v>
      </c>
      <c r="I9">
        <f t="shared" si="0"/>
        <v>216</v>
      </c>
      <c r="J9">
        <f t="shared" si="2"/>
        <v>96</v>
      </c>
    </row>
    <row r="10" spans="1:11" ht="45.75" x14ac:dyDescent="0.25">
      <c r="A10" s="170" t="s">
        <v>113</v>
      </c>
      <c r="B10" s="141" t="s">
        <v>124</v>
      </c>
      <c r="C10" s="37" t="s">
        <v>57</v>
      </c>
      <c r="D10" s="57">
        <v>36</v>
      </c>
      <c r="E10" s="57">
        <v>16</v>
      </c>
      <c r="F10" s="58">
        <f>216/D10</f>
        <v>6</v>
      </c>
      <c r="G10" s="58">
        <v>12</v>
      </c>
      <c r="H10" s="113">
        <f t="shared" si="1"/>
        <v>1152</v>
      </c>
      <c r="I10">
        <f t="shared" si="0"/>
        <v>216</v>
      </c>
      <c r="J10">
        <f t="shared" si="2"/>
        <v>96</v>
      </c>
    </row>
    <row r="11" spans="1:11" ht="45.75" x14ac:dyDescent="0.25">
      <c r="A11" s="170" t="s">
        <v>113</v>
      </c>
      <c r="B11" s="141" t="s">
        <v>125</v>
      </c>
      <c r="C11" s="37" t="s">
        <v>57</v>
      </c>
      <c r="D11" s="57">
        <v>36</v>
      </c>
      <c r="E11" s="57">
        <v>16</v>
      </c>
      <c r="F11" s="58">
        <f>222/D11</f>
        <v>6</v>
      </c>
      <c r="G11" s="58">
        <v>12</v>
      </c>
      <c r="H11" s="113">
        <f t="shared" si="1"/>
        <v>1152</v>
      </c>
      <c r="I11">
        <f t="shared" si="0"/>
        <v>216</v>
      </c>
      <c r="J11">
        <f t="shared" si="2"/>
        <v>96</v>
      </c>
    </row>
    <row r="12" spans="1:11" ht="45.75" x14ac:dyDescent="0.25">
      <c r="A12" s="170" t="s">
        <v>113</v>
      </c>
      <c r="B12" s="141" t="s">
        <v>126</v>
      </c>
      <c r="C12" s="37" t="s">
        <v>57</v>
      </c>
      <c r="D12" s="57">
        <v>36</v>
      </c>
      <c r="E12" s="57">
        <v>16</v>
      </c>
      <c r="F12" s="58">
        <f>144/D12</f>
        <v>4</v>
      </c>
      <c r="G12" s="58">
        <v>12</v>
      </c>
      <c r="H12" s="113">
        <f t="shared" si="1"/>
        <v>768</v>
      </c>
      <c r="I12">
        <f t="shared" si="0"/>
        <v>144</v>
      </c>
      <c r="J12">
        <f t="shared" si="2"/>
        <v>64</v>
      </c>
    </row>
    <row r="13" spans="1:11" ht="45.75" x14ac:dyDescent="0.25">
      <c r="A13" s="170" t="s">
        <v>113</v>
      </c>
      <c r="B13" s="141" t="s">
        <v>130</v>
      </c>
      <c r="C13" s="37" t="s">
        <v>57</v>
      </c>
      <c r="D13" s="57">
        <v>36</v>
      </c>
      <c r="E13" s="57">
        <v>16</v>
      </c>
      <c r="F13" s="58">
        <f>72/D13</f>
        <v>2</v>
      </c>
      <c r="G13" s="58">
        <f>36-12</f>
        <v>24</v>
      </c>
      <c r="H13" s="113">
        <f t="shared" si="1"/>
        <v>768</v>
      </c>
      <c r="I13">
        <f t="shared" si="0"/>
        <v>72</v>
      </c>
      <c r="J13">
        <f t="shared" si="2"/>
        <v>32</v>
      </c>
    </row>
    <row r="14" spans="1:11" ht="45.75" x14ac:dyDescent="0.25">
      <c r="A14" s="170" t="s">
        <v>113</v>
      </c>
      <c r="B14" s="141" t="s">
        <v>131</v>
      </c>
      <c r="C14" s="37" t="s">
        <v>57</v>
      </c>
      <c r="D14" s="57">
        <v>36</v>
      </c>
      <c r="E14" s="57">
        <v>16</v>
      </c>
      <c r="F14" s="58">
        <f>74/D14</f>
        <v>2</v>
      </c>
      <c r="G14" s="58">
        <v>21</v>
      </c>
      <c r="H14" s="113">
        <f t="shared" si="1"/>
        <v>672</v>
      </c>
      <c r="I14">
        <f t="shared" si="0"/>
        <v>72</v>
      </c>
      <c r="J14">
        <f t="shared" si="2"/>
        <v>32</v>
      </c>
    </row>
    <row r="15" spans="1:11" ht="45.75" x14ac:dyDescent="0.25">
      <c r="A15" s="170" t="s">
        <v>113</v>
      </c>
      <c r="B15" s="141" t="s">
        <v>132</v>
      </c>
      <c r="C15" s="37" t="s">
        <v>57</v>
      </c>
      <c r="D15" s="57">
        <v>36</v>
      </c>
      <c r="E15" s="57">
        <v>16</v>
      </c>
      <c r="F15" s="58">
        <f>74/D15</f>
        <v>2</v>
      </c>
      <c r="G15" s="58">
        <v>24</v>
      </c>
      <c r="H15" s="113">
        <f t="shared" si="1"/>
        <v>768</v>
      </c>
      <c r="I15">
        <f t="shared" si="0"/>
        <v>72</v>
      </c>
      <c r="J15">
        <f t="shared" si="2"/>
        <v>32</v>
      </c>
    </row>
    <row r="16" spans="1:11" ht="45.75" x14ac:dyDescent="0.25">
      <c r="A16" s="170" t="s">
        <v>113</v>
      </c>
      <c r="B16" s="141" t="s">
        <v>133</v>
      </c>
      <c r="C16" s="37" t="s">
        <v>57</v>
      </c>
      <c r="D16" s="57">
        <v>36</v>
      </c>
      <c r="E16" s="57">
        <v>16</v>
      </c>
      <c r="F16" s="58">
        <f>74/D16</f>
        <v>2</v>
      </c>
      <c r="G16" s="58">
        <v>11</v>
      </c>
      <c r="H16" s="113">
        <f t="shared" si="1"/>
        <v>352</v>
      </c>
      <c r="I16">
        <f t="shared" si="0"/>
        <v>72</v>
      </c>
      <c r="J16">
        <f t="shared" si="2"/>
        <v>32</v>
      </c>
    </row>
    <row r="17" spans="1:11" ht="45.75" x14ac:dyDescent="0.25">
      <c r="A17" s="170" t="s">
        <v>113</v>
      </c>
      <c r="B17" s="141" t="s">
        <v>134</v>
      </c>
      <c r="C17" s="37" t="s">
        <v>57</v>
      </c>
      <c r="D17" s="57">
        <v>36</v>
      </c>
      <c r="E17" s="57">
        <v>16</v>
      </c>
      <c r="F17" s="58">
        <f>74/D17</f>
        <v>2</v>
      </c>
      <c r="G17" s="58">
        <f>60-12</f>
        <v>48</v>
      </c>
      <c r="H17" s="113">
        <f t="shared" si="1"/>
        <v>1536</v>
      </c>
      <c r="I17">
        <f t="shared" si="0"/>
        <v>72</v>
      </c>
      <c r="J17">
        <f t="shared" si="2"/>
        <v>32</v>
      </c>
    </row>
    <row r="18" spans="1:11" ht="45.75" x14ac:dyDescent="0.25">
      <c r="A18" s="170" t="s">
        <v>113</v>
      </c>
      <c r="B18" s="141" t="s">
        <v>135</v>
      </c>
      <c r="C18" s="37" t="s">
        <v>57</v>
      </c>
      <c r="D18" s="57">
        <v>36</v>
      </c>
      <c r="E18" s="57">
        <v>16</v>
      </c>
      <c r="F18" s="58">
        <f>72/D18</f>
        <v>2</v>
      </c>
      <c r="G18" s="58">
        <f>24-12</f>
        <v>12</v>
      </c>
      <c r="H18" s="113">
        <f t="shared" si="1"/>
        <v>384</v>
      </c>
      <c r="I18">
        <f t="shared" si="0"/>
        <v>72</v>
      </c>
      <c r="J18">
        <f t="shared" si="2"/>
        <v>32</v>
      </c>
    </row>
    <row r="19" spans="1:11" ht="45.75" x14ac:dyDescent="0.25">
      <c r="A19" s="170" t="s">
        <v>113</v>
      </c>
      <c r="B19" s="141" t="s">
        <v>136</v>
      </c>
      <c r="C19" s="37" t="s">
        <v>11</v>
      </c>
      <c r="D19" s="57">
        <v>36</v>
      </c>
      <c r="E19" s="57">
        <v>16</v>
      </c>
      <c r="F19" s="58">
        <v>2</v>
      </c>
      <c r="G19" s="58">
        <f>24-1+8</f>
        <v>31</v>
      </c>
      <c r="H19" s="113">
        <f t="shared" ref="H19:H84" si="3">E19*F19*G19</f>
        <v>992</v>
      </c>
      <c r="I19">
        <f t="shared" si="0"/>
        <v>72</v>
      </c>
      <c r="J19">
        <f t="shared" si="2"/>
        <v>32</v>
      </c>
      <c r="K19">
        <f>AVERAGE(I19:I48)</f>
        <v>172.8</v>
      </c>
    </row>
    <row r="20" spans="1:11" ht="45.75" x14ac:dyDescent="0.25">
      <c r="A20" s="170" t="s">
        <v>113</v>
      </c>
      <c r="B20" s="141" t="s">
        <v>137</v>
      </c>
      <c r="C20" s="37" t="s">
        <v>11</v>
      </c>
      <c r="D20" s="57">
        <v>36</v>
      </c>
      <c r="E20" s="57">
        <v>16</v>
      </c>
      <c r="F20" s="58">
        <v>2</v>
      </c>
      <c r="G20" s="58">
        <f>24-12</f>
        <v>12</v>
      </c>
      <c r="H20" s="113">
        <f t="shared" si="3"/>
        <v>384</v>
      </c>
      <c r="I20">
        <f t="shared" si="0"/>
        <v>72</v>
      </c>
      <c r="J20">
        <f t="shared" si="2"/>
        <v>32</v>
      </c>
      <c r="K20" s="174">
        <f>SUM(H19:H48)</f>
        <v>27008</v>
      </c>
    </row>
    <row r="21" spans="1:11" ht="45.75" x14ac:dyDescent="0.25">
      <c r="A21" s="170" t="s">
        <v>113</v>
      </c>
      <c r="B21" s="141" t="s">
        <v>138</v>
      </c>
      <c r="C21" s="37" t="s">
        <v>11</v>
      </c>
      <c r="D21" s="57">
        <v>36</v>
      </c>
      <c r="E21" s="57">
        <v>16</v>
      </c>
      <c r="F21" s="58">
        <v>4</v>
      </c>
      <c r="G21" s="58">
        <v>24</v>
      </c>
      <c r="H21" s="113">
        <f t="shared" si="3"/>
        <v>1536</v>
      </c>
      <c r="I21">
        <f t="shared" si="0"/>
        <v>144</v>
      </c>
      <c r="J21">
        <f t="shared" si="2"/>
        <v>64</v>
      </c>
    </row>
    <row r="22" spans="1:11" ht="45.75" x14ac:dyDescent="0.25">
      <c r="A22" s="170" t="s">
        <v>113</v>
      </c>
      <c r="B22" s="141" t="s">
        <v>139</v>
      </c>
      <c r="C22" s="37" t="s">
        <v>11</v>
      </c>
      <c r="D22" s="57">
        <v>36</v>
      </c>
      <c r="E22" s="57">
        <v>16</v>
      </c>
      <c r="F22" s="58">
        <v>6</v>
      </c>
      <c r="G22" s="58">
        <v>24</v>
      </c>
      <c r="H22" s="113">
        <f t="shared" si="3"/>
        <v>2304</v>
      </c>
      <c r="I22">
        <f t="shared" si="0"/>
        <v>216</v>
      </c>
      <c r="J22">
        <f t="shared" si="2"/>
        <v>96</v>
      </c>
    </row>
    <row r="23" spans="1:11" ht="45.75" x14ac:dyDescent="0.25">
      <c r="A23" s="170" t="s">
        <v>113</v>
      </c>
      <c r="B23" s="141" t="s">
        <v>140</v>
      </c>
      <c r="C23" s="37" t="s">
        <v>11</v>
      </c>
      <c r="D23" s="57">
        <v>36</v>
      </c>
      <c r="E23" s="57">
        <v>16</v>
      </c>
      <c r="F23" s="58">
        <v>6</v>
      </c>
      <c r="G23" s="58">
        <v>12</v>
      </c>
      <c r="H23" s="113">
        <f t="shared" si="3"/>
        <v>1152</v>
      </c>
      <c r="I23">
        <f t="shared" si="0"/>
        <v>216</v>
      </c>
      <c r="J23">
        <f t="shared" si="2"/>
        <v>96</v>
      </c>
    </row>
    <row r="24" spans="1:11" ht="45.75" x14ac:dyDescent="0.25">
      <c r="A24" s="170" t="s">
        <v>113</v>
      </c>
      <c r="B24" s="141" t="s">
        <v>141</v>
      </c>
      <c r="C24" s="37" t="s">
        <v>11</v>
      </c>
      <c r="D24" s="57">
        <v>36</v>
      </c>
      <c r="E24" s="57">
        <v>16</v>
      </c>
      <c r="F24" s="58">
        <v>2</v>
      </c>
      <c r="G24" s="58">
        <v>10</v>
      </c>
      <c r="H24" s="113">
        <f t="shared" si="3"/>
        <v>320</v>
      </c>
      <c r="I24">
        <f t="shared" si="0"/>
        <v>72</v>
      </c>
      <c r="J24">
        <f t="shared" si="2"/>
        <v>32</v>
      </c>
    </row>
    <row r="25" spans="1:11" ht="45.75" x14ac:dyDescent="0.25">
      <c r="A25" s="170" t="s">
        <v>113</v>
      </c>
      <c r="B25" s="141" t="s">
        <v>142</v>
      </c>
      <c r="C25" s="37" t="s">
        <v>11</v>
      </c>
      <c r="D25" s="57">
        <v>36</v>
      </c>
      <c r="E25" s="57">
        <v>16</v>
      </c>
      <c r="F25" s="58">
        <v>2</v>
      </c>
      <c r="G25" s="58">
        <f>12-12</f>
        <v>0</v>
      </c>
      <c r="H25" s="113">
        <f t="shared" si="3"/>
        <v>0</v>
      </c>
      <c r="I25">
        <f t="shared" si="0"/>
        <v>72</v>
      </c>
      <c r="J25">
        <f t="shared" si="2"/>
        <v>32</v>
      </c>
    </row>
    <row r="26" spans="1:11" ht="45.75" x14ac:dyDescent="0.25">
      <c r="A26" s="170" t="s">
        <v>113</v>
      </c>
      <c r="B26" s="141" t="s">
        <v>143</v>
      </c>
      <c r="C26" s="37" t="s">
        <v>11</v>
      </c>
      <c r="D26" s="57">
        <v>36</v>
      </c>
      <c r="E26" s="57">
        <v>16</v>
      </c>
      <c r="F26" s="58">
        <v>4</v>
      </c>
      <c r="G26" s="58">
        <v>20</v>
      </c>
      <c r="H26" s="113">
        <f t="shared" si="3"/>
        <v>1280</v>
      </c>
      <c r="I26">
        <f t="shared" si="0"/>
        <v>144</v>
      </c>
      <c r="J26">
        <f t="shared" si="2"/>
        <v>64</v>
      </c>
    </row>
    <row r="27" spans="1:11" ht="45.75" x14ac:dyDescent="0.25">
      <c r="A27" s="170" t="s">
        <v>113</v>
      </c>
      <c r="B27" s="141" t="s">
        <v>144</v>
      </c>
      <c r="C27" s="37" t="s">
        <v>11</v>
      </c>
      <c r="D27" s="57">
        <v>36</v>
      </c>
      <c r="E27" s="57">
        <v>16</v>
      </c>
      <c r="F27" s="58">
        <v>6</v>
      </c>
      <c r="G27" s="58">
        <v>8</v>
      </c>
      <c r="H27" s="113">
        <f t="shared" si="3"/>
        <v>768</v>
      </c>
      <c r="I27">
        <f t="shared" si="0"/>
        <v>216</v>
      </c>
      <c r="J27">
        <f t="shared" si="2"/>
        <v>96</v>
      </c>
    </row>
    <row r="28" spans="1:11" ht="45.75" x14ac:dyDescent="0.25">
      <c r="A28" s="170" t="s">
        <v>113</v>
      </c>
      <c r="B28" s="141" t="s">
        <v>145</v>
      </c>
      <c r="C28" s="37" t="s">
        <v>11</v>
      </c>
      <c r="D28" s="57">
        <v>36</v>
      </c>
      <c r="E28" s="57">
        <v>16</v>
      </c>
      <c r="F28" s="58">
        <v>6</v>
      </c>
      <c r="G28" s="58">
        <v>8</v>
      </c>
      <c r="H28" s="113">
        <f t="shared" si="3"/>
        <v>768</v>
      </c>
      <c r="I28">
        <f t="shared" si="0"/>
        <v>216</v>
      </c>
      <c r="J28">
        <f t="shared" si="2"/>
        <v>96</v>
      </c>
    </row>
    <row r="29" spans="1:11" ht="45.75" x14ac:dyDescent="0.25">
      <c r="A29" s="170" t="s">
        <v>113</v>
      </c>
      <c r="B29" s="141" t="s">
        <v>146</v>
      </c>
      <c r="C29" s="37" t="s">
        <v>11</v>
      </c>
      <c r="D29" s="57">
        <v>36</v>
      </c>
      <c r="E29" s="57">
        <v>16</v>
      </c>
      <c r="F29" s="58">
        <v>6</v>
      </c>
      <c r="G29" s="58">
        <v>11</v>
      </c>
      <c r="H29" s="113">
        <f t="shared" si="3"/>
        <v>1056</v>
      </c>
      <c r="I29">
        <f t="shared" si="0"/>
        <v>216</v>
      </c>
      <c r="J29">
        <f t="shared" si="2"/>
        <v>96</v>
      </c>
    </row>
    <row r="30" spans="1:11" ht="45.75" x14ac:dyDescent="0.25">
      <c r="A30" s="170" t="s">
        <v>113</v>
      </c>
      <c r="B30" s="141" t="s">
        <v>147</v>
      </c>
      <c r="C30" s="37" t="s">
        <v>11</v>
      </c>
      <c r="D30" s="57">
        <v>36</v>
      </c>
      <c r="E30" s="57">
        <v>16</v>
      </c>
      <c r="F30" s="58">
        <v>4</v>
      </c>
      <c r="G30" s="58">
        <v>20</v>
      </c>
      <c r="H30" s="113">
        <f t="shared" si="3"/>
        <v>1280</v>
      </c>
      <c r="I30">
        <f t="shared" si="0"/>
        <v>144</v>
      </c>
      <c r="J30">
        <f t="shared" si="2"/>
        <v>64</v>
      </c>
    </row>
    <row r="31" spans="1:11" ht="45.75" x14ac:dyDescent="0.25">
      <c r="A31" s="170" t="s">
        <v>113</v>
      </c>
      <c r="B31" s="141" t="s">
        <v>148</v>
      </c>
      <c r="C31" s="37" t="s">
        <v>11</v>
      </c>
      <c r="D31" s="57">
        <v>36</v>
      </c>
      <c r="E31" s="57">
        <v>16</v>
      </c>
      <c r="F31" s="58">
        <v>6</v>
      </c>
      <c r="G31" s="58">
        <v>10</v>
      </c>
      <c r="H31" s="113">
        <f t="shared" si="3"/>
        <v>960</v>
      </c>
      <c r="I31">
        <f t="shared" si="0"/>
        <v>216</v>
      </c>
      <c r="J31">
        <f t="shared" si="2"/>
        <v>96</v>
      </c>
    </row>
    <row r="32" spans="1:11" ht="45.75" x14ac:dyDescent="0.25">
      <c r="A32" s="170" t="s">
        <v>113</v>
      </c>
      <c r="B32" s="141" t="s">
        <v>149</v>
      </c>
      <c r="C32" s="37" t="s">
        <v>11</v>
      </c>
      <c r="D32" s="57">
        <v>36</v>
      </c>
      <c r="E32" s="57">
        <v>16</v>
      </c>
      <c r="F32" s="58">
        <v>6</v>
      </c>
      <c r="G32" s="58">
        <v>10</v>
      </c>
      <c r="H32" s="113">
        <f t="shared" si="3"/>
        <v>960</v>
      </c>
      <c r="I32">
        <f t="shared" si="0"/>
        <v>216</v>
      </c>
      <c r="J32">
        <f t="shared" si="2"/>
        <v>96</v>
      </c>
    </row>
    <row r="33" spans="1:10" ht="45.75" x14ac:dyDescent="0.25">
      <c r="A33" s="170" t="s">
        <v>113</v>
      </c>
      <c r="B33" s="141" t="s">
        <v>150</v>
      </c>
      <c r="C33" s="37" t="s">
        <v>11</v>
      </c>
      <c r="D33" s="57">
        <v>36</v>
      </c>
      <c r="E33" s="57">
        <v>16</v>
      </c>
      <c r="F33" s="58">
        <v>6</v>
      </c>
      <c r="G33" s="58">
        <v>9</v>
      </c>
      <c r="H33" s="113">
        <f t="shared" si="3"/>
        <v>864</v>
      </c>
      <c r="I33">
        <f t="shared" si="0"/>
        <v>216</v>
      </c>
      <c r="J33">
        <f t="shared" si="2"/>
        <v>96</v>
      </c>
    </row>
    <row r="34" spans="1:10" ht="45.75" x14ac:dyDescent="0.25">
      <c r="A34" s="170" t="s">
        <v>113</v>
      </c>
      <c r="B34" s="141" t="s">
        <v>151</v>
      </c>
      <c r="C34" s="37" t="s">
        <v>11</v>
      </c>
      <c r="D34" s="57">
        <v>36</v>
      </c>
      <c r="E34" s="57">
        <v>16</v>
      </c>
      <c r="F34" s="58">
        <v>2</v>
      </c>
      <c r="G34" s="58">
        <v>1</v>
      </c>
      <c r="H34" s="113">
        <f t="shared" si="3"/>
        <v>32</v>
      </c>
      <c r="I34">
        <f t="shared" si="0"/>
        <v>72</v>
      </c>
      <c r="J34">
        <f t="shared" si="2"/>
        <v>32</v>
      </c>
    </row>
    <row r="35" spans="1:10" ht="45.75" x14ac:dyDescent="0.25">
      <c r="A35" s="170" t="s">
        <v>113</v>
      </c>
      <c r="B35" s="141" t="s">
        <v>152</v>
      </c>
      <c r="C35" s="37" t="s">
        <v>11</v>
      </c>
      <c r="D35" s="57">
        <v>36</v>
      </c>
      <c r="E35" s="57">
        <v>16</v>
      </c>
      <c r="F35" s="58">
        <v>6</v>
      </c>
      <c r="G35" s="58">
        <v>10</v>
      </c>
      <c r="H35" s="113">
        <f t="shared" si="3"/>
        <v>960</v>
      </c>
      <c r="I35">
        <f t="shared" si="0"/>
        <v>216</v>
      </c>
      <c r="J35">
        <f t="shared" si="2"/>
        <v>96</v>
      </c>
    </row>
    <row r="36" spans="1:10" ht="45.75" x14ac:dyDescent="0.25">
      <c r="A36" s="170" t="s">
        <v>113</v>
      </c>
      <c r="B36" s="141" t="s">
        <v>153</v>
      </c>
      <c r="C36" s="37" t="s">
        <v>11</v>
      </c>
      <c r="D36" s="57">
        <v>36</v>
      </c>
      <c r="E36" s="57">
        <v>16</v>
      </c>
      <c r="F36" s="58">
        <v>6</v>
      </c>
      <c r="G36" s="58">
        <v>8</v>
      </c>
      <c r="H36" s="113">
        <f t="shared" si="3"/>
        <v>768</v>
      </c>
      <c r="I36">
        <f t="shared" si="0"/>
        <v>216</v>
      </c>
      <c r="J36">
        <f t="shared" si="2"/>
        <v>96</v>
      </c>
    </row>
    <row r="37" spans="1:10" ht="45.75" x14ac:dyDescent="0.25">
      <c r="A37" s="170" t="s">
        <v>113</v>
      </c>
      <c r="B37" s="140" t="s">
        <v>154</v>
      </c>
      <c r="C37" s="37" t="s">
        <v>11</v>
      </c>
      <c r="D37" s="57">
        <v>36</v>
      </c>
      <c r="E37" s="57">
        <v>16</v>
      </c>
      <c r="F37" s="58">
        <v>4</v>
      </c>
      <c r="G37" s="58">
        <v>10</v>
      </c>
      <c r="H37" s="113">
        <f t="shared" si="3"/>
        <v>640</v>
      </c>
      <c r="I37">
        <f t="shared" si="0"/>
        <v>144</v>
      </c>
      <c r="J37">
        <f t="shared" si="2"/>
        <v>64</v>
      </c>
    </row>
    <row r="38" spans="1:10" ht="45.75" x14ac:dyDescent="0.25">
      <c r="A38" s="170" t="s">
        <v>113</v>
      </c>
      <c r="B38" s="140" t="s">
        <v>154</v>
      </c>
      <c r="C38" s="37" t="s">
        <v>11</v>
      </c>
      <c r="D38" s="57">
        <v>36</v>
      </c>
      <c r="E38" s="57">
        <v>16</v>
      </c>
      <c r="F38" s="58">
        <v>6</v>
      </c>
      <c r="G38" s="58">
        <v>12</v>
      </c>
      <c r="H38" s="113">
        <f t="shared" si="3"/>
        <v>1152</v>
      </c>
      <c r="I38">
        <f t="shared" si="0"/>
        <v>216</v>
      </c>
      <c r="J38">
        <f t="shared" si="2"/>
        <v>96</v>
      </c>
    </row>
    <row r="39" spans="1:10" ht="45.75" x14ac:dyDescent="0.25">
      <c r="A39" s="170" t="s">
        <v>113</v>
      </c>
      <c r="B39" s="140" t="s">
        <v>155</v>
      </c>
      <c r="C39" s="37" t="s">
        <v>11</v>
      </c>
      <c r="D39" s="57">
        <v>36</v>
      </c>
      <c r="E39" s="57">
        <v>16</v>
      </c>
      <c r="F39" s="58">
        <v>6</v>
      </c>
      <c r="G39" s="58">
        <v>10</v>
      </c>
      <c r="H39" s="113">
        <f t="shared" si="3"/>
        <v>960</v>
      </c>
      <c r="I39">
        <f t="shared" si="0"/>
        <v>216</v>
      </c>
      <c r="J39">
        <f t="shared" si="2"/>
        <v>96</v>
      </c>
    </row>
    <row r="40" spans="1:10" ht="45.75" x14ac:dyDescent="0.25">
      <c r="A40" s="170" t="s">
        <v>113</v>
      </c>
      <c r="B40" s="140" t="s">
        <v>156</v>
      </c>
      <c r="C40" s="208" t="s">
        <v>11</v>
      </c>
      <c r="D40" s="57">
        <v>36</v>
      </c>
      <c r="E40" s="57">
        <v>16</v>
      </c>
      <c r="F40" s="58">
        <v>6</v>
      </c>
      <c r="G40" s="58">
        <v>10</v>
      </c>
      <c r="H40" s="113">
        <f t="shared" si="3"/>
        <v>960</v>
      </c>
      <c r="I40">
        <f t="shared" si="0"/>
        <v>216</v>
      </c>
      <c r="J40">
        <f t="shared" si="2"/>
        <v>96</v>
      </c>
    </row>
    <row r="41" spans="1:10" ht="45.75" x14ac:dyDescent="0.25">
      <c r="A41" s="170" t="s">
        <v>113</v>
      </c>
      <c r="B41" s="140" t="s">
        <v>157</v>
      </c>
      <c r="C41" s="208" t="s">
        <v>11</v>
      </c>
      <c r="D41" s="57">
        <v>36</v>
      </c>
      <c r="E41" s="57">
        <v>16</v>
      </c>
      <c r="F41" s="58">
        <v>2</v>
      </c>
      <c r="G41" s="58">
        <f>24-12</f>
        <v>12</v>
      </c>
      <c r="H41" s="113">
        <f t="shared" si="3"/>
        <v>384</v>
      </c>
      <c r="I41">
        <f t="shared" si="0"/>
        <v>72</v>
      </c>
      <c r="J41">
        <f t="shared" si="2"/>
        <v>32</v>
      </c>
    </row>
    <row r="42" spans="1:10" ht="45.75" x14ac:dyDescent="0.25">
      <c r="A42" s="170" t="s">
        <v>113</v>
      </c>
      <c r="B42" s="140" t="s">
        <v>158</v>
      </c>
      <c r="C42" s="208" t="s">
        <v>11</v>
      </c>
      <c r="D42" s="57">
        <v>36</v>
      </c>
      <c r="E42" s="57">
        <v>16</v>
      </c>
      <c r="F42" s="58">
        <v>2</v>
      </c>
      <c r="G42" s="58">
        <f>12-12</f>
        <v>0</v>
      </c>
      <c r="H42" s="113">
        <f t="shared" si="3"/>
        <v>0</v>
      </c>
      <c r="I42">
        <f t="shared" si="0"/>
        <v>72</v>
      </c>
      <c r="J42">
        <f t="shared" si="2"/>
        <v>32</v>
      </c>
    </row>
    <row r="43" spans="1:10" ht="45.75" x14ac:dyDescent="0.25">
      <c r="A43" s="170" t="s">
        <v>113</v>
      </c>
      <c r="B43" s="140" t="s">
        <v>159</v>
      </c>
      <c r="C43" s="208" t="s">
        <v>11</v>
      </c>
      <c r="D43" s="57">
        <v>36</v>
      </c>
      <c r="E43" s="57">
        <v>16</v>
      </c>
      <c r="F43" s="58">
        <v>6</v>
      </c>
      <c r="G43" s="58">
        <v>12</v>
      </c>
      <c r="H43" s="113">
        <f t="shared" si="3"/>
        <v>1152</v>
      </c>
      <c r="I43">
        <f t="shared" si="0"/>
        <v>216</v>
      </c>
      <c r="J43">
        <f t="shared" si="2"/>
        <v>96</v>
      </c>
    </row>
    <row r="44" spans="1:10" ht="45.75" x14ac:dyDescent="0.25">
      <c r="A44" s="170" t="s">
        <v>113</v>
      </c>
      <c r="B44" s="140" t="s">
        <v>160</v>
      </c>
      <c r="C44" s="208" t="s">
        <v>11</v>
      </c>
      <c r="D44" s="57">
        <v>36</v>
      </c>
      <c r="E44" s="57">
        <v>16</v>
      </c>
      <c r="F44" s="58">
        <v>6</v>
      </c>
      <c r="G44" s="58">
        <v>12</v>
      </c>
      <c r="H44" s="113">
        <f t="shared" si="3"/>
        <v>1152</v>
      </c>
      <c r="I44">
        <f t="shared" si="0"/>
        <v>216</v>
      </c>
      <c r="J44">
        <f t="shared" si="2"/>
        <v>96</v>
      </c>
    </row>
    <row r="45" spans="1:10" ht="45.75" x14ac:dyDescent="0.25">
      <c r="A45" s="170" t="s">
        <v>113</v>
      </c>
      <c r="B45" s="140" t="s">
        <v>161</v>
      </c>
      <c r="C45" s="208" t="s">
        <v>11</v>
      </c>
      <c r="D45" s="57">
        <v>36</v>
      </c>
      <c r="E45" s="57">
        <v>16</v>
      </c>
      <c r="F45" s="58">
        <v>6</v>
      </c>
      <c r="G45" s="58">
        <v>12</v>
      </c>
      <c r="H45" s="113">
        <f t="shared" si="3"/>
        <v>1152</v>
      </c>
      <c r="I45">
        <f t="shared" si="0"/>
        <v>216</v>
      </c>
      <c r="J45">
        <f t="shared" si="2"/>
        <v>96</v>
      </c>
    </row>
    <row r="46" spans="1:10" ht="45.75" x14ac:dyDescent="0.25">
      <c r="A46" s="170" t="s">
        <v>113</v>
      </c>
      <c r="B46" s="140" t="s">
        <v>162</v>
      </c>
      <c r="C46" s="208" t="s">
        <v>11</v>
      </c>
      <c r="D46" s="57">
        <v>36</v>
      </c>
      <c r="E46" s="57">
        <v>16</v>
      </c>
      <c r="F46" s="58">
        <v>6</v>
      </c>
      <c r="G46" s="58">
        <v>12</v>
      </c>
      <c r="H46" s="113">
        <f t="shared" si="3"/>
        <v>1152</v>
      </c>
      <c r="I46">
        <f t="shared" si="0"/>
        <v>216</v>
      </c>
      <c r="J46">
        <f t="shared" si="2"/>
        <v>96</v>
      </c>
    </row>
    <row r="47" spans="1:10" ht="45.75" x14ac:dyDescent="0.25">
      <c r="A47" s="170" t="s">
        <v>113</v>
      </c>
      <c r="B47" s="140" t="s">
        <v>163</v>
      </c>
      <c r="C47" s="208" t="s">
        <v>11</v>
      </c>
      <c r="D47" s="57">
        <v>36</v>
      </c>
      <c r="E47" s="57">
        <v>16</v>
      </c>
      <c r="F47" s="58">
        <v>6</v>
      </c>
      <c r="G47" s="58">
        <v>8</v>
      </c>
      <c r="H47" s="113">
        <f t="shared" si="3"/>
        <v>768</v>
      </c>
      <c r="I47">
        <f t="shared" si="0"/>
        <v>216</v>
      </c>
      <c r="J47">
        <f t="shared" si="2"/>
        <v>96</v>
      </c>
    </row>
    <row r="48" spans="1:10" ht="45.75" x14ac:dyDescent="0.25">
      <c r="A48" s="170" t="s">
        <v>113</v>
      </c>
      <c r="B48" s="140" t="s">
        <v>164</v>
      </c>
      <c r="C48" s="208" t="s">
        <v>11</v>
      </c>
      <c r="D48" s="57">
        <v>36</v>
      </c>
      <c r="E48" s="57">
        <v>16</v>
      </c>
      <c r="F48" s="58">
        <v>6</v>
      </c>
      <c r="G48" s="58">
        <v>12</v>
      </c>
      <c r="H48" s="113">
        <f t="shared" si="3"/>
        <v>1152</v>
      </c>
      <c r="I48">
        <f t="shared" si="0"/>
        <v>216</v>
      </c>
      <c r="J48">
        <f t="shared" si="2"/>
        <v>96</v>
      </c>
    </row>
    <row r="49" spans="1:11" ht="45.75" x14ac:dyDescent="0.25">
      <c r="A49" s="170" t="s">
        <v>113</v>
      </c>
      <c r="B49" s="141" t="s">
        <v>165</v>
      </c>
      <c r="C49" s="139" t="s">
        <v>9</v>
      </c>
      <c r="D49" s="57">
        <v>36</v>
      </c>
      <c r="E49" s="57">
        <v>16</v>
      </c>
      <c r="F49" s="58">
        <f t="shared" ref="F49:F68" si="4">72/D49</f>
        <v>2</v>
      </c>
      <c r="G49" s="58">
        <f>33-8</f>
        <v>25</v>
      </c>
      <c r="H49" s="113">
        <f t="shared" si="3"/>
        <v>800</v>
      </c>
      <c r="I49">
        <f t="shared" si="0"/>
        <v>72</v>
      </c>
      <c r="J49">
        <f t="shared" si="2"/>
        <v>32</v>
      </c>
      <c r="K49">
        <f>AVERAGE(I49:I66)</f>
        <v>72</v>
      </c>
    </row>
    <row r="50" spans="1:11" ht="45.75" x14ac:dyDescent="0.25">
      <c r="A50" s="170" t="s">
        <v>113</v>
      </c>
      <c r="B50" s="141" t="s">
        <v>166</v>
      </c>
      <c r="C50" s="139" t="s">
        <v>9</v>
      </c>
      <c r="D50" s="57">
        <v>36</v>
      </c>
      <c r="E50" s="57">
        <v>16</v>
      </c>
      <c r="F50" s="58">
        <f t="shared" si="4"/>
        <v>2</v>
      </c>
      <c r="G50" s="58">
        <v>8</v>
      </c>
      <c r="H50" s="113">
        <f t="shared" si="3"/>
        <v>256</v>
      </c>
      <c r="I50">
        <f t="shared" si="0"/>
        <v>72</v>
      </c>
      <c r="J50">
        <f t="shared" si="2"/>
        <v>32</v>
      </c>
      <c r="K50" s="174">
        <f>SUM(H49:H66)</f>
        <v>6464</v>
      </c>
    </row>
    <row r="51" spans="1:11" ht="45.75" x14ac:dyDescent="0.25">
      <c r="A51" s="170" t="s">
        <v>113</v>
      </c>
      <c r="B51" s="141" t="s">
        <v>167</v>
      </c>
      <c r="C51" s="139" t="s">
        <v>9</v>
      </c>
      <c r="D51" s="57">
        <v>36</v>
      </c>
      <c r="E51" s="57">
        <v>16</v>
      </c>
      <c r="F51" s="58">
        <f t="shared" si="4"/>
        <v>2</v>
      </c>
      <c r="G51" s="58">
        <v>16</v>
      </c>
      <c r="H51" s="113">
        <f t="shared" si="3"/>
        <v>512</v>
      </c>
      <c r="I51">
        <f t="shared" si="0"/>
        <v>72</v>
      </c>
      <c r="J51">
        <f t="shared" si="2"/>
        <v>32</v>
      </c>
    </row>
    <row r="52" spans="1:11" ht="45.75" x14ac:dyDescent="0.25">
      <c r="A52" s="170" t="s">
        <v>113</v>
      </c>
      <c r="B52" s="141" t="s">
        <v>168</v>
      </c>
      <c r="C52" s="139" t="s">
        <v>9</v>
      </c>
      <c r="D52" s="57">
        <v>36</v>
      </c>
      <c r="E52" s="57">
        <v>16</v>
      </c>
      <c r="F52" s="58">
        <f t="shared" si="4"/>
        <v>2</v>
      </c>
      <c r="G52" s="58">
        <f>16-8</f>
        <v>8</v>
      </c>
      <c r="H52" s="113">
        <f t="shared" si="3"/>
        <v>256</v>
      </c>
      <c r="I52">
        <f t="shared" si="0"/>
        <v>72</v>
      </c>
      <c r="J52">
        <f t="shared" si="2"/>
        <v>32</v>
      </c>
    </row>
    <row r="53" spans="1:11" ht="45.75" x14ac:dyDescent="0.25">
      <c r="A53" s="170" t="s">
        <v>113</v>
      </c>
      <c r="B53" s="141" t="s">
        <v>169</v>
      </c>
      <c r="C53" s="139" t="s">
        <v>9</v>
      </c>
      <c r="D53" s="57">
        <v>36</v>
      </c>
      <c r="E53" s="57">
        <v>16</v>
      </c>
      <c r="F53" s="58">
        <f t="shared" si="4"/>
        <v>2</v>
      </c>
      <c r="G53" s="58">
        <v>24</v>
      </c>
      <c r="H53" s="113">
        <f t="shared" si="3"/>
        <v>768</v>
      </c>
      <c r="I53">
        <f t="shared" si="0"/>
        <v>72</v>
      </c>
      <c r="J53">
        <f t="shared" si="2"/>
        <v>32</v>
      </c>
    </row>
    <row r="54" spans="1:11" ht="45.75" x14ac:dyDescent="0.25">
      <c r="A54" s="170" t="s">
        <v>113</v>
      </c>
      <c r="B54" s="141" t="s">
        <v>170</v>
      </c>
      <c r="C54" s="139" t="s">
        <v>9</v>
      </c>
      <c r="D54" s="57">
        <v>36</v>
      </c>
      <c r="E54" s="57">
        <v>16</v>
      </c>
      <c r="F54" s="58">
        <f t="shared" si="4"/>
        <v>2</v>
      </c>
      <c r="G54" s="58">
        <f>8-8</f>
        <v>0</v>
      </c>
      <c r="H54" s="113">
        <f t="shared" si="3"/>
        <v>0</v>
      </c>
      <c r="I54">
        <f t="shared" si="0"/>
        <v>72</v>
      </c>
      <c r="J54">
        <f t="shared" si="2"/>
        <v>32</v>
      </c>
    </row>
    <row r="55" spans="1:11" ht="45.75" x14ac:dyDescent="0.25">
      <c r="A55" s="170" t="s">
        <v>113</v>
      </c>
      <c r="B55" s="141" t="s">
        <v>171</v>
      </c>
      <c r="C55" s="139" t="s">
        <v>9</v>
      </c>
      <c r="D55" s="57">
        <v>36</v>
      </c>
      <c r="E55" s="57">
        <v>16</v>
      </c>
      <c r="F55" s="58">
        <f t="shared" si="4"/>
        <v>2</v>
      </c>
      <c r="G55" s="58">
        <v>17</v>
      </c>
      <c r="H55" s="113">
        <f t="shared" si="3"/>
        <v>544</v>
      </c>
      <c r="I55">
        <f t="shared" si="0"/>
        <v>72</v>
      </c>
      <c r="J55">
        <f t="shared" si="2"/>
        <v>32</v>
      </c>
    </row>
    <row r="56" spans="1:11" ht="45.75" x14ac:dyDescent="0.25">
      <c r="A56" s="170" t="s">
        <v>113</v>
      </c>
      <c r="B56" s="141" t="s">
        <v>172</v>
      </c>
      <c r="C56" s="139" t="s">
        <v>9</v>
      </c>
      <c r="D56" s="57">
        <v>36</v>
      </c>
      <c r="E56" s="57">
        <v>16</v>
      </c>
      <c r="F56" s="58">
        <f t="shared" si="4"/>
        <v>2</v>
      </c>
      <c r="G56" s="58">
        <v>14</v>
      </c>
      <c r="H56" s="113">
        <f t="shared" si="3"/>
        <v>448</v>
      </c>
      <c r="I56">
        <f t="shared" si="0"/>
        <v>72</v>
      </c>
      <c r="J56">
        <f t="shared" si="2"/>
        <v>32</v>
      </c>
    </row>
    <row r="57" spans="1:11" ht="45.75" x14ac:dyDescent="0.25">
      <c r="A57" s="170" t="s">
        <v>113</v>
      </c>
      <c r="B57" s="141" t="s">
        <v>173</v>
      </c>
      <c r="C57" s="139" t="s">
        <v>9</v>
      </c>
      <c r="D57" s="57">
        <v>36</v>
      </c>
      <c r="E57" s="57">
        <v>16</v>
      </c>
      <c r="F57" s="58">
        <f t="shared" si="4"/>
        <v>2</v>
      </c>
      <c r="G57" s="58">
        <v>8</v>
      </c>
      <c r="H57" s="113">
        <f t="shared" si="3"/>
        <v>256</v>
      </c>
      <c r="I57">
        <f t="shared" si="0"/>
        <v>72</v>
      </c>
      <c r="J57">
        <f t="shared" si="2"/>
        <v>32</v>
      </c>
    </row>
    <row r="58" spans="1:11" ht="45.75" x14ac:dyDescent="0.25">
      <c r="A58" s="170" t="s">
        <v>113</v>
      </c>
      <c r="B58" s="141" t="s">
        <v>174</v>
      </c>
      <c r="C58" s="139" t="s">
        <v>9</v>
      </c>
      <c r="D58" s="57">
        <v>36</v>
      </c>
      <c r="E58" s="57">
        <v>16</v>
      </c>
      <c r="F58" s="58">
        <f t="shared" si="4"/>
        <v>2</v>
      </c>
      <c r="G58" s="58">
        <f>16-8</f>
        <v>8</v>
      </c>
      <c r="H58" s="113">
        <f t="shared" si="3"/>
        <v>256</v>
      </c>
      <c r="I58">
        <f t="shared" si="0"/>
        <v>72</v>
      </c>
      <c r="J58">
        <f t="shared" si="2"/>
        <v>32</v>
      </c>
    </row>
    <row r="59" spans="1:11" ht="45.75" x14ac:dyDescent="0.25">
      <c r="A59" s="170" t="s">
        <v>113</v>
      </c>
      <c r="B59" s="141" t="s">
        <v>175</v>
      </c>
      <c r="C59" s="139" t="s">
        <v>9</v>
      </c>
      <c r="D59" s="57">
        <v>36</v>
      </c>
      <c r="E59" s="57">
        <v>16</v>
      </c>
      <c r="F59" s="58">
        <f t="shared" si="4"/>
        <v>2</v>
      </c>
      <c r="G59" s="58">
        <f>16-8</f>
        <v>8</v>
      </c>
      <c r="H59" s="113">
        <f t="shared" si="3"/>
        <v>256</v>
      </c>
      <c r="I59">
        <f t="shared" si="0"/>
        <v>72</v>
      </c>
      <c r="J59">
        <f t="shared" si="2"/>
        <v>32</v>
      </c>
    </row>
    <row r="60" spans="1:11" ht="45.75" x14ac:dyDescent="0.25">
      <c r="A60" s="170" t="s">
        <v>113</v>
      </c>
      <c r="B60" s="141" t="s">
        <v>176</v>
      </c>
      <c r="C60" s="139" t="s">
        <v>9</v>
      </c>
      <c r="D60" s="57">
        <v>36</v>
      </c>
      <c r="E60" s="57">
        <v>16</v>
      </c>
      <c r="F60" s="58">
        <f t="shared" si="4"/>
        <v>2</v>
      </c>
      <c r="G60" s="58">
        <v>8</v>
      </c>
      <c r="H60" s="113">
        <f t="shared" si="3"/>
        <v>256</v>
      </c>
      <c r="I60">
        <f t="shared" si="0"/>
        <v>72</v>
      </c>
      <c r="J60">
        <f t="shared" si="2"/>
        <v>32</v>
      </c>
    </row>
    <row r="61" spans="1:11" ht="45.75" x14ac:dyDescent="0.25">
      <c r="A61" s="170" t="s">
        <v>113</v>
      </c>
      <c r="B61" s="141" t="s">
        <v>177</v>
      </c>
      <c r="C61" s="139" t="s">
        <v>9</v>
      </c>
      <c r="D61" s="57">
        <v>36</v>
      </c>
      <c r="E61" s="57">
        <v>16</v>
      </c>
      <c r="F61" s="58">
        <f t="shared" si="4"/>
        <v>2</v>
      </c>
      <c r="G61" s="58">
        <v>8</v>
      </c>
      <c r="H61" s="113">
        <f t="shared" si="3"/>
        <v>256</v>
      </c>
      <c r="I61">
        <f t="shared" si="0"/>
        <v>72</v>
      </c>
      <c r="J61">
        <f t="shared" si="2"/>
        <v>32</v>
      </c>
    </row>
    <row r="62" spans="1:11" ht="45.75" x14ac:dyDescent="0.25">
      <c r="A62" s="170" t="s">
        <v>113</v>
      </c>
      <c r="B62" s="141" t="s">
        <v>178</v>
      </c>
      <c r="C62" s="139" t="s">
        <v>9</v>
      </c>
      <c r="D62" s="57">
        <v>36</v>
      </c>
      <c r="E62" s="57">
        <v>16</v>
      </c>
      <c r="F62" s="58">
        <f t="shared" si="4"/>
        <v>2</v>
      </c>
      <c r="G62" s="58">
        <v>8</v>
      </c>
      <c r="H62" s="113">
        <f t="shared" si="3"/>
        <v>256</v>
      </c>
      <c r="I62">
        <f t="shared" si="0"/>
        <v>72</v>
      </c>
      <c r="J62">
        <f t="shared" si="2"/>
        <v>32</v>
      </c>
    </row>
    <row r="63" spans="1:11" ht="45.75" x14ac:dyDescent="0.25">
      <c r="A63" s="170" t="s">
        <v>113</v>
      </c>
      <c r="B63" s="141" t="s">
        <v>179</v>
      </c>
      <c r="C63" s="139" t="s">
        <v>9</v>
      </c>
      <c r="D63" s="57">
        <v>36</v>
      </c>
      <c r="E63" s="57">
        <v>16</v>
      </c>
      <c r="F63" s="58">
        <f t="shared" si="4"/>
        <v>2</v>
      </c>
      <c r="G63" s="58">
        <v>6</v>
      </c>
      <c r="H63" s="113">
        <f t="shared" si="3"/>
        <v>192</v>
      </c>
      <c r="I63">
        <f t="shared" si="0"/>
        <v>72</v>
      </c>
      <c r="J63">
        <f t="shared" si="2"/>
        <v>32</v>
      </c>
    </row>
    <row r="64" spans="1:11" ht="45.75" x14ac:dyDescent="0.25">
      <c r="A64" s="170" t="s">
        <v>113</v>
      </c>
      <c r="B64" s="141" t="s">
        <v>180</v>
      </c>
      <c r="C64" s="139" t="s">
        <v>9</v>
      </c>
      <c r="D64" s="57">
        <v>36</v>
      </c>
      <c r="E64" s="57">
        <v>16</v>
      </c>
      <c r="F64" s="58">
        <f t="shared" si="4"/>
        <v>2</v>
      </c>
      <c r="G64" s="58">
        <v>12</v>
      </c>
      <c r="H64" s="113">
        <f t="shared" si="3"/>
        <v>384</v>
      </c>
      <c r="I64">
        <f t="shared" si="0"/>
        <v>72</v>
      </c>
      <c r="J64">
        <f t="shared" si="2"/>
        <v>32</v>
      </c>
    </row>
    <row r="65" spans="1:12" ht="45.75" x14ac:dyDescent="0.25">
      <c r="A65" s="170" t="s">
        <v>113</v>
      </c>
      <c r="B65" s="141" t="s">
        <v>181</v>
      </c>
      <c r="C65" s="139" t="s">
        <v>9</v>
      </c>
      <c r="D65" s="57">
        <v>36</v>
      </c>
      <c r="E65" s="57">
        <v>16</v>
      </c>
      <c r="F65" s="58">
        <f t="shared" si="4"/>
        <v>2</v>
      </c>
      <c r="G65" s="58">
        <f>12-12</f>
        <v>0</v>
      </c>
      <c r="H65" s="113">
        <f t="shared" si="3"/>
        <v>0</v>
      </c>
      <c r="I65">
        <f t="shared" si="0"/>
        <v>72</v>
      </c>
      <c r="J65">
        <f t="shared" si="2"/>
        <v>32</v>
      </c>
    </row>
    <row r="66" spans="1:12" ht="45.75" x14ac:dyDescent="0.25">
      <c r="A66" s="170" t="s">
        <v>113</v>
      </c>
      <c r="B66" s="141" t="s">
        <v>182</v>
      </c>
      <c r="C66" s="139" t="s">
        <v>9</v>
      </c>
      <c r="D66" s="57">
        <v>36</v>
      </c>
      <c r="E66" s="57">
        <v>16</v>
      </c>
      <c r="F66" s="58">
        <f t="shared" si="4"/>
        <v>2</v>
      </c>
      <c r="G66" s="58">
        <f>32-8</f>
        <v>24</v>
      </c>
      <c r="H66" s="113">
        <f t="shared" si="3"/>
        <v>768</v>
      </c>
      <c r="I66">
        <f t="shared" ref="I66:I102" si="5">D66*F66</f>
        <v>72</v>
      </c>
      <c r="J66">
        <f t="shared" si="2"/>
        <v>32</v>
      </c>
    </row>
    <row r="67" spans="1:12" ht="45.75" x14ac:dyDescent="0.25">
      <c r="A67" s="170" t="s">
        <v>113</v>
      </c>
      <c r="B67" s="140" t="s">
        <v>183</v>
      </c>
      <c r="C67" s="208" t="s">
        <v>10</v>
      </c>
      <c r="D67" s="57">
        <v>36</v>
      </c>
      <c r="E67" s="57">
        <v>16</v>
      </c>
      <c r="F67" s="58">
        <f t="shared" si="4"/>
        <v>2</v>
      </c>
      <c r="G67" s="58">
        <f>31-12</f>
        <v>19</v>
      </c>
      <c r="H67" s="113">
        <f t="shared" si="3"/>
        <v>608</v>
      </c>
      <c r="I67">
        <f t="shared" si="5"/>
        <v>72</v>
      </c>
      <c r="J67">
        <f t="shared" ref="J67:J103" si="6">E67*F67</f>
        <v>32</v>
      </c>
      <c r="K67" s="173">
        <f>AVERAGE(I67:I75)</f>
        <v>93</v>
      </c>
    </row>
    <row r="68" spans="1:12" ht="45.75" x14ac:dyDescent="0.25">
      <c r="A68" s="170" t="s">
        <v>113</v>
      </c>
      <c r="B68" s="140" t="s">
        <v>184</v>
      </c>
      <c r="C68" s="208" t="s">
        <v>10</v>
      </c>
      <c r="D68" s="57">
        <v>36</v>
      </c>
      <c r="E68" s="57">
        <v>16</v>
      </c>
      <c r="F68" s="58">
        <f t="shared" si="4"/>
        <v>2</v>
      </c>
      <c r="G68" s="58">
        <v>11</v>
      </c>
      <c r="H68" s="113">
        <f t="shared" si="3"/>
        <v>352</v>
      </c>
      <c r="I68">
        <f t="shared" si="5"/>
        <v>72</v>
      </c>
      <c r="J68">
        <f t="shared" si="6"/>
        <v>32</v>
      </c>
      <c r="K68" s="174">
        <f>SUM(H67:H68)</f>
        <v>960</v>
      </c>
    </row>
    <row r="69" spans="1:12" ht="45.75" x14ac:dyDescent="0.25">
      <c r="A69" s="170" t="s">
        <v>113</v>
      </c>
      <c r="B69" s="141" t="s">
        <v>180</v>
      </c>
      <c r="C69" s="139" t="s">
        <v>9</v>
      </c>
      <c r="D69" s="57">
        <v>36</v>
      </c>
      <c r="E69" s="57">
        <v>16</v>
      </c>
      <c r="F69" s="58">
        <f t="shared" ref="F69" si="7">72/D69</f>
        <v>2</v>
      </c>
      <c r="G69" s="58">
        <v>12</v>
      </c>
      <c r="H69" s="113">
        <f t="shared" ref="H69" si="8">E69*F69*G69</f>
        <v>384</v>
      </c>
      <c r="K69" s="174"/>
    </row>
    <row r="70" spans="1:12" ht="45.75" x14ac:dyDescent="0.25">
      <c r="A70" s="170" t="s">
        <v>113</v>
      </c>
      <c r="B70" s="140"/>
      <c r="C70" s="208"/>
      <c r="D70" s="57"/>
      <c r="E70" s="57"/>
      <c r="F70" s="58"/>
      <c r="G70" s="58"/>
      <c r="H70" s="113"/>
      <c r="K70" s="174"/>
    </row>
    <row r="71" spans="1:12" ht="34.5" x14ac:dyDescent="0.25">
      <c r="A71" s="171" t="s">
        <v>114</v>
      </c>
      <c r="B71" s="141" t="s">
        <v>185</v>
      </c>
      <c r="C71" s="37" t="s">
        <v>10</v>
      </c>
      <c r="D71" s="57">
        <v>36</v>
      </c>
      <c r="E71" s="57">
        <v>16</v>
      </c>
      <c r="F71" s="58">
        <v>3</v>
      </c>
      <c r="G71" s="58">
        <v>40</v>
      </c>
      <c r="H71" s="113">
        <f t="shared" si="3"/>
        <v>1920</v>
      </c>
      <c r="I71">
        <f t="shared" si="5"/>
        <v>108</v>
      </c>
      <c r="J71">
        <f t="shared" si="6"/>
        <v>48</v>
      </c>
      <c r="K71">
        <f>AVERAGE(I71:I75)</f>
        <v>100.8</v>
      </c>
    </row>
    <row r="72" spans="1:12" ht="34.5" x14ac:dyDescent="0.25">
      <c r="A72" s="171" t="s">
        <v>114</v>
      </c>
      <c r="B72" s="141" t="s">
        <v>186</v>
      </c>
      <c r="C72" s="37" t="s">
        <v>10</v>
      </c>
      <c r="D72" s="57">
        <v>36</v>
      </c>
      <c r="E72" s="57">
        <v>16</v>
      </c>
      <c r="F72" s="58">
        <v>3</v>
      </c>
      <c r="G72" s="58">
        <v>18</v>
      </c>
      <c r="H72" s="113">
        <f t="shared" si="3"/>
        <v>864</v>
      </c>
      <c r="I72">
        <f t="shared" si="5"/>
        <v>108</v>
      </c>
      <c r="J72">
        <f t="shared" si="6"/>
        <v>48</v>
      </c>
      <c r="K72" s="174">
        <f>SUM(H71:H75)</f>
        <v>9984</v>
      </c>
    </row>
    <row r="73" spans="1:12" ht="34.5" x14ac:dyDescent="0.25">
      <c r="A73" s="171" t="s">
        <v>114</v>
      </c>
      <c r="B73" s="141" t="s">
        <v>187</v>
      </c>
      <c r="C73" s="37" t="s">
        <v>10</v>
      </c>
      <c r="D73" s="57">
        <v>36</v>
      </c>
      <c r="E73" s="57">
        <v>16</v>
      </c>
      <c r="F73" s="58">
        <v>3</v>
      </c>
      <c r="G73" s="58">
        <v>18</v>
      </c>
      <c r="H73" s="113">
        <f t="shared" si="3"/>
        <v>864</v>
      </c>
      <c r="I73">
        <f t="shared" si="5"/>
        <v>108</v>
      </c>
      <c r="J73">
        <f t="shared" si="6"/>
        <v>48</v>
      </c>
    </row>
    <row r="74" spans="1:12" ht="34.5" x14ac:dyDescent="0.25">
      <c r="A74" s="171" t="s">
        <v>114</v>
      </c>
      <c r="B74" s="141" t="s">
        <v>188</v>
      </c>
      <c r="C74" s="37" t="s">
        <v>10</v>
      </c>
      <c r="D74" s="57">
        <v>36</v>
      </c>
      <c r="E74" s="57">
        <v>16</v>
      </c>
      <c r="F74" s="58">
        <v>2</v>
      </c>
      <c r="G74" s="58">
        <f>93-30</f>
        <v>63</v>
      </c>
      <c r="H74" s="113">
        <f t="shared" si="3"/>
        <v>2016</v>
      </c>
      <c r="I74">
        <f t="shared" si="5"/>
        <v>72</v>
      </c>
      <c r="J74">
        <f t="shared" si="6"/>
        <v>32</v>
      </c>
      <c r="K74">
        <v>2016</v>
      </c>
      <c r="L74">
        <f>K74-H74</f>
        <v>0</v>
      </c>
    </row>
    <row r="75" spans="1:12" ht="34.5" x14ac:dyDescent="0.25">
      <c r="A75" s="171" t="s">
        <v>114</v>
      </c>
      <c r="B75" s="141" t="s">
        <v>189</v>
      </c>
      <c r="C75" s="37" t="s">
        <v>10</v>
      </c>
      <c r="D75" s="57">
        <v>36</v>
      </c>
      <c r="E75" s="57">
        <v>16</v>
      </c>
      <c r="F75" s="58">
        <v>3</v>
      </c>
      <c r="G75" s="58">
        <v>90</v>
      </c>
      <c r="H75" s="113">
        <f t="shared" si="3"/>
        <v>4320</v>
      </c>
      <c r="I75">
        <f t="shared" si="5"/>
        <v>108</v>
      </c>
      <c r="J75">
        <f t="shared" si="6"/>
        <v>48</v>
      </c>
    </row>
    <row r="76" spans="1:12" ht="34.5" x14ac:dyDescent="0.25">
      <c r="A76" s="171" t="s">
        <v>114</v>
      </c>
      <c r="B76" s="141" t="s">
        <v>190</v>
      </c>
      <c r="C76" s="37" t="s">
        <v>9</v>
      </c>
      <c r="D76" s="57">
        <v>36</v>
      </c>
      <c r="E76" s="57">
        <v>16</v>
      </c>
      <c r="F76" s="58">
        <v>2</v>
      </c>
      <c r="G76" s="58">
        <v>39</v>
      </c>
      <c r="H76" s="113">
        <f t="shared" si="3"/>
        <v>1248</v>
      </c>
      <c r="I76">
        <f t="shared" si="5"/>
        <v>72</v>
      </c>
      <c r="J76">
        <f t="shared" si="6"/>
        <v>32</v>
      </c>
      <c r="K76">
        <f>AVERAGE(I76:I80)</f>
        <v>64.8</v>
      </c>
    </row>
    <row r="77" spans="1:12" ht="34.5" x14ac:dyDescent="0.25">
      <c r="A77" s="171" t="s">
        <v>114</v>
      </c>
      <c r="B77" s="141" t="s">
        <v>191</v>
      </c>
      <c r="C77" s="37" t="s">
        <v>9</v>
      </c>
      <c r="D77" s="57">
        <v>36</v>
      </c>
      <c r="E77" s="57">
        <v>16</v>
      </c>
      <c r="F77" s="58">
        <v>2</v>
      </c>
      <c r="G77" s="58">
        <f>48-18</f>
        <v>30</v>
      </c>
      <c r="H77" s="113">
        <f t="shared" si="3"/>
        <v>960</v>
      </c>
      <c r="I77">
        <f t="shared" si="5"/>
        <v>72</v>
      </c>
      <c r="J77">
        <f t="shared" si="6"/>
        <v>32</v>
      </c>
      <c r="K77" s="174">
        <f>SUM(H76:H80)</f>
        <v>3776</v>
      </c>
    </row>
    <row r="78" spans="1:12" ht="34.5" x14ac:dyDescent="0.25">
      <c r="A78" s="171" t="s">
        <v>114</v>
      </c>
      <c r="B78" s="141" t="s">
        <v>192</v>
      </c>
      <c r="C78" s="37" t="s">
        <v>9</v>
      </c>
      <c r="D78" s="57">
        <v>36</v>
      </c>
      <c r="E78" s="57">
        <v>16</v>
      </c>
      <c r="F78" s="58">
        <v>2</v>
      </c>
      <c r="G78" s="58">
        <f>18</f>
        <v>18</v>
      </c>
      <c r="H78" s="113">
        <f t="shared" si="3"/>
        <v>576</v>
      </c>
      <c r="I78">
        <f t="shared" si="5"/>
        <v>72</v>
      </c>
      <c r="J78">
        <f t="shared" si="6"/>
        <v>32</v>
      </c>
    </row>
    <row r="79" spans="1:12" ht="34.5" x14ac:dyDescent="0.25">
      <c r="A79" s="171" t="s">
        <v>114</v>
      </c>
      <c r="B79" s="141" t="s">
        <v>193</v>
      </c>
      <c r="C79" s="37" t="s">
        <v>9</v>
      </c>
      <c r="D79" s="57">
        <v>36</v>
      </c>
      <c r="E79" s="57">
        <v>16</v>
      </c>
      <c r="F79" s="58">
        <v>1</v>
      </c>
      <c r="G79" s="58">
        <v>50</v>
      </c>
      <c r="H79" s="113">
        <f t="shared" si="3"/>
        <v>800</v>
      </c>
      <c r="I79">
        <f t="shared" si="5"/>
        <v>36</v>
      </c>
      <c r="J79">
        <f t="shared" si="6"/>
        <v>16</v>
      </c>
    </row>
    <row r="80" spans="1:12" ht="34.5" x14ac:dyDescent="0.25">
      <c r="A80" s="171" t="s">
        <v>114</v>
      </c>
      <c r="B80" s="141" t="s">
        <v>194</v>
      </c>
      <c r="C80" s="37" t="s">
        <v>9</v>
      </c>
      <c r="D80" s="57">
        <v>36</v>
      </c>
      <c r="E80" s="57">
        <v>16</v>
      </c>
      <c r="F80" s="58">
        <v>2</v>
      </c>
      <c r="G80" s="58">
        <v>6</v>
      </c>
      <c r="H80" s="113">
        <f t="shared" si="3"/>
        <v>192</v>
      </c>
      <c r="I80">
        <f t="shared" si="5"/>
        <v>72</v>
      </c>
      <c r="J80">
        <f t="shared" si="6"/>
        <v>32</v>
      </c>
    </row>
    <row r="81" spans="1:11" ht="34.5" x14ac:dyDescent="0.25">
      <c r="A81" s="171" t="s">
        <v>114</v>
      </c>
      <c r="B81" s="141" t="s">
        <v>195</v>
      </c>
      <c r="C81" s="37" t="s">
        <v>11</v>
      </c>
      <c r="D81" s="57">
        <v>36</v>
      </c>
      <c r="E81" s="57">
        <v>16</v>
      </c>
      <c r="F81" s="58">
        <v>2</v>
      </c>
      <c r="G81" s="58">
        <v>107</v>
      </c>
      <c r="H81" s="113">
        <f t="shared" si="3"/>
        <v>3424</v>
      </c>
      <c r="I81">
        <f t="shared" si="5"/>
        <v>72</v>
      </c>
      <c r="J81">
        <f t="shared" si="6"/>
        <v>32</v>
      </c>
      <c r="K81">
        <f>AVERAGE(I81:I92)</f>
        <v>84</v>
      </c>
    </row>
    <row r="82" spans="1:11" ht="34.5" x14ac:dyDescent="0.25">
      <c r="A82" s="171" t="s">
        <v>114</v>
      </c>
      <c r="B82" s="141" t="s">
        <v>196</v>
      </c>
      <c r="C82" s="37" t="s">
        <v>11</v>
      </c>
      <c r="D82" s="57">
        <v>36</v>
      </c>
      <c r="E82" s="57">
        <v>16</v>
      </c>
      <c r="F82" s="58">
        <v>2</v>
      </c>
      <c r="G82" s="58">
        <v>49</v>
      </c>
      <c r="H82" s="113">
        <f t="shared" si="3"/>
        <v>1568</v>
      </c>
      <c r="I82">
        <f t="shared" si="5"/>
        <v>72</v>
      </c>
      <c r="J82">
        <f t="shared" si="6"/>
        <v>32</v>
      </c>
      <c r="K82" s="174">
        <f>SUM(H81:H92)</f>
        <v>18512</v>
      </c>
    </row>
    <row r="83" spans="1:11" ht="34.5" x14ac:dyDescent="0.25">
      <c r="A83" s="171" t="s">
        <v>114</v>
      </c>
      <c r="B83" s="141" t="s">
        <v>197</v>
      </c>
      <c r="C83" s="37" t="s">
        <v>11</v>
      </c>
      <c r="D83" s="57">
        <v>36</v>
      </c>
      <c r="E83" s="57">
        <v>16</v>
      </c>
      <c r="F83" s="58">
        <v>2</v>
      </c>
      <c r="G83" s="58">
        <f>101-30-10</f>
        <v>61</v>
      </c>
      <c r="H83" s="113">
        <f t="shared" si="3"/>
        <v>1952</v>
      </c>
      <c r="I83">
        <f t="shared" si="5"/>
        <v>72</v>
      </c>
      <c r="J83">
        <f t="shared" si="6"/>
        <v>32</v>
      </c>
    </row>
    <row r="84" spans="1:11" ht="34.5" x14ac:dyDescent="0.25">
      <c r="A84" s="171" t="s">
        <v>114</v>
      </c>
      <c r="B84" s="141" t="s">
        <v>198</v>
      </c>
      <c r="C84" s="37" t="s">
        <v>11</v>
      </c>
      <c r="D84" s="57">
        <v>36</v>
      </c>
      <c r="E84" s="57">
        <v>16</v>
      </c>
      <c r="F84" s="58">
        <v>1</v>
      </c>
      <c r="G84" s="58">
        <v>80</v>
      </c>
      <c r="H84" s="113">
        <f t="shared" si="3"/>
        <v>1280</v>
      </c>
      <c r="I84">
        <f t="shared" si="5"/>
        <v>36</v>
      </c>
      <c r="J84">
        <f t="shared" si="6"/>
        <v>16</v>
      </c>
    </row>
    <row r="85" spans="1:11" ht="34.5" x14ac:dyDescent="0.25">
      <c r="A85" s="171" t="s">
        <v>114</v>
      </c>
      <c r="B85" s="141" t="s">
        <v>199</v>
      </c>
      <c r="C85" s="37" t="s">
        <v>11</v>
      </c>
      <c r="D85" s="57">
        <v>36</v>
      </c>
      <c r="E85" s="57">
        <v>16</v>
      </c>
      <c r="F85" s="58">
        <v>2</v>
      </c>
      <c r="G85" s="58">
        <f>48-12</f>
        <v>36</v>
      </c>
      <c r="H85" s="113">
        <f t="shared" ref="H85:H103" si="9">E85*F85*G85</f>
        <v>1152</v>
      </c>
      <c r="I85">
        <f t="shared" si="5"/>
        <v>72</v>
      </c>
      <c r="J85">
        <f t="shared" si="6"/>
        <v>32</v>
      </c>
    </row>
    <row r="86" spans="1:11" ht="34.5" x14ac:dyDescent="0.25">
      <c r="A86" s="171" t="s">
        <v>114</v>
      </c>
      <c r="B86" s="141" t="s">
        <v>200</v>
      </c>
      <c r="C86" s="37" t="s">
        <v>11</v>
      </c>
      <c r="D86" s="57">
        <v>36</v>
      </c>
      <c r="E86" s="57">
        <v>16</v>
      </c>
      <c r="F86" s="58">
        <v>3</v>
      </c>
      <c r="G86" s="58">
        <v>12</v>
      </c>
      <c r="H86" s="113">
        <f t="shared" si="9"/>
        <v>576</v>
      </c>
      <c r="I86">
        <f t="shared" si="5"/>
        <v>108</v>
      </c>
      <c r="J86">
        <f t="shared" si="6"/>
        <v>48</v>
      </c>
    </row>
    <row r="87" spans="1:11" ht="34.5" x14ac:dyDescent="0.25">
      <c r="A87" s="171" t="s">
        <v>114</v>
      </c>
      <c r="B87" s="141" t="s">
        <v>201</v>
      </c>
      <c r="C87" s="37" t="s">
        <v>11</v>
      </c>
      <c r="D87" s="57">
        <v>36</v>
      </c>
      <c r="E87" s="57">
        <v>16</v>
      </c>
      <c r="F87" s="58">
        <v>3</v>
      </c>
      <c r="G87" s="58">
        <v>27</v>
      </c>
      <c r="H87" s="113">
        <f t="shared" si="9"/>
        <v>1296</v>
      </c>
      <c r="I87">
        <f t="shared" si="5"/>
        <v>108</v>
      </c>
      <c r="J87">
        <f t="shared" si="6"/>
        <v>48</v>
      </c>
    </row>
    <row r="88" spans="1:11" ht="34.5" x14ac:dyDescent="0.25">
      <c r="A88" s="171" t="s">
        <v>114</v>
      </c>
      <c r="B88" s="141" t="s">
        <v>202</v>
      </c>
      <c r="C88" s="37" t="s">
        <v>11</v>
      </c>
      <c r="D88" s="57">
        <v>36</v>
      </c>
      <c r="E88" s="57">
        <v>16</v>
      </c>
      <c r="F88" s="58">
        <v>2</v>
      </c>
      <c r="G88" s="148">
        <v>36</v>
      </c>
      <c r="H88" s="113">
        <f t="shared" si="9"/>
        <v>1152</v>
      </c>
      <c r="I88">
        <f t="shared" si="5"/>
        <v>72</v>
      </c>
      <c r="J88">
        <f t="shared" si="6"/>
        <v>32</v>
      </c>
    </row>
    <row r="89" spans="1:11" ht="34.5" x14ac:dyDescent="0.25">
      <c r="A89" s="171" t="s">
        <v>114</v>
      </c>
      <c r="B89" s="141" t="s">
        <v>203</v>
      </c>
      <c r="C89" s="37" t="s">
        <v>11</v>
      </c>
      <c r="D89" s="57">
        <v>36</v>
      </c>
      <c r="E89" s="57">
        <v>16</v>
      </c>
      <c r="F89" s="58">
        <v>4</v>
      </c>
      <c r="G89" s="58">
        <v>16</v>
      </c>
      <c r="H89" s="113">
        <f t="shared" si="9"/>
        <v>1024</v>
      </c>
      <c r="I89">
        <f t="shared" si="5"/>
        <v>144</v>
      </c>
      <c r="J89">
        <f t="shared" si="6"/>
        <v>64</v>
      </c>
    </row>
    <row r="90" spans="1:11" ht="34.5" x14ac:dyDescent="0.25">
      <c r="A90" s="171" t="s">
        <v>114</v>
      </c>
      <c r="B90" s="141" t="s">
        <v>204</v>
      </c>
      <c r="C90" s="37" t="s">
        <v>11</v>
      </c>
      <c r="D90" s="57">
        <v>36</v>
      </c>
      <c r="E90" s="57">
        <v>16</v>
      </c>
      <c r="F90" s="58">
        <v>4</v>
      </c>
      <c r="G90" s="58">
        <v>44</v>
      </c>
      <c r="H90" s="113">
        <f t="shared" si="9"/>
        <v>2816</v>
      </c>
      <c r="I90">
        <f t="shared" si="5"/>
        <v>144</v>
      </c>
      <c r="J90">
        <f t="shared" si="6"/>
        <v>64</v>
      </c>
    </row>
    <row r="91" spans="1:11" ht="34.5" x14ac:dyDescent="0.25">
      <c r="A91" s="171" t="s">
        <v>114</v>
      </c>
      <c r="B91" s="141" t="s">
        <v>205</v>
      </c>
      <c r="C91" s="37" t="s">
        <v>11</v>
      </c>
      <c r="D91" s="57">
        <v>36</v>
      </c>
      <c r="E91" s="57">
        <v>16</v>
      </c>
      <c r="F91" s="58">
        <v>1</v>
      </c>
      <c r="G91" s="58">
        <v>30</v>
      </c>
      <c r="H91" s="113">
        <f t="shared" si="9"/>
        <v>480</v>
      </c>
      <c r="I91">
        <f t="shared" si="5"/>
        <v>36</v>
      </c>
      <c r="J91">
        <f t="shared" si="6"/>
        <v>16</v>
      </c>
    </row>
    <row r="92" spans="1:11" ht="34.5" x14ac:dyDescent="0.25">
      <c r="A92" s="171" t="s">
        <v>114</v>
      </c>
      <c r="B92" s="141" t="s">
        <v>206</v>
      </c>
      <c r="C92" s="37" t="s">
        <v>11</v>
      </c>
      <c r="D92" s="57">
        <v>36</v>
      </c>
      <c r="E92" s="57">
        <v>16</v>
      </c>
      <c r="F92" s="58">
        <v>2</v>
      </c>
      <c r="G92" s="58">
        <v>56</v>
      </c>
      <c r="H92" s="113">
        <f t="shared" si="9"/>
        <v>1792</v>
      </c>
      <c r="I92">
        <f t="shared" si="5"/>
        <v>72</v>
      </c>
      <c r="J92">
        <f t="shared" si="6"/>
        <v>32</v>
      </c>
    </row>
    <row r="93" spans="1:11" ht="34.5" x14ac:dyDescent="0.25">
      <c r="A93" s="171" t="s">
        <v>114</v>
      </c>
      <c r="B93" s="141" t="s">
        <v>207</v>
      </c>
      <c r="C93" s="37" t="s">
        <v>57</v>
      </c>
      <c r="D93" s="57">
        <v>36</v>
      </c>
      <c r="E93" s="57">
        <v>16</v>
      </c>
      <c r="F93" s="58">
        <v>4</v>
      </c>
      <c r="G93" s="58">
        <v>99</v>
      </c>
      <c r="H93" s="113">
        <f t="shared" si="9"/>
        <v>6336</v>
      </c>
      <c r="I93">
        <f t="shared" si="5"/>
        <v>144</v>
      </c>
      <c r="J93">
        <f t="shared" si="6"/>
        <v>64</v>
      </c>
      <c r="K93">
        <f>AVERAGE(I93:I103)</f>
        <v>97.2</v>
      </c>
    </row>
    <row r="94" spans="1:11" ht="34.5" x14ac:dyDescent="0.25">
      <c r="A94" s="171" t="s">
        <v>114</v>
      </c>
      <c r="B94" s="141" t="s">
        <v>208</v>
      </c>
      <c r="C94" s="37" t="s">
        <v>57</v>
      </c>
      <c r="D94" s="57">
        <v>36</v>
      </c>
      <c r="E94" s="57">
        <v>16</v>
      </c>
      <c r="F94" s="58">
        <v>3</v>
      </c>
      <c r="G94" s="58">
        <v>49</v>
      </c>
      <c r="H94" s="113">
        <f t="shared" si="9"/>
        <v>2352</v>
      </c>
      <c r="I94">
        <f t="shared" si="5"/>
        <v>108</v>
      </c>
      <c r="J94">
        <f t="shared" si="6"/>
        <v>48</v>
      </c>
      <c r="K94" s="174">
        <f>SUM(H93:H103)</f>
        <v>23168</v>
      </c>
    </row>
    <row r="95" spans="1:11" ht="34.5" x14ac:dyDescent="0.25">
      <c r="A95" s="171" t="s">
        <v>114</v>
      </c>
      <c r="B95" s="141" t="s">
        <v>209</v>
      </c>
      <c r="C95" s="37" t="s">
        <v>57</v>
      </c>
      <c r="D95" s="57">
        <v>36</v>
      </c>
      <c r="E95" s="57">
        <v>16</v>
      </c>
      <c r="F95" s="58">
        <v>2</v>
      </c>
      <c r="G95" s="148">
        <v>20</v>
      </c>
      <c r="H95" s="113">
        <f t="shared" si="9"/>
        <v>640</v>
      </c>
      <c r="I95">
        <f t="shared" si="5"/>
        <v>72</v>
      </c>
      <c r="J95">
        <f t="shared" si="6"/>
        <v>32</v>
      </c>
    </row>
    <row r="96" spans="1:11" ht="34.5" x14ac:dyDescent="0.25">
      <c r="A96" s="171" t="s">
        <v>114</v>
      </c>
      <c r="B96" s="141" t="s">
        <v>210</v>
      </c>
      <c r="C96" s="37" t="s">
        <v>57</v>
      </c>
      <c r="D96" s="57">
        <v>36</v>
      </c>
      <c r="E96" s="57">
        <v>16</v>
      </c>
      <c r="F96" s="58">
        <v>3</v>
      </c>
      <c r="G96" s="58">
        <v>47</v>
      </c>
      <c r="H96" s="113">
        <f t="shared" si="9"/>
        <v>2256</v>
      </c>
      <c r="I96">
        <f t="shared" si="5"/>
        <v>108</v>
      </c>
      <c r="J96">
        <f>E96*F96</f>
        <v>48</v>
      </c>
    </row>
    <row r="97" spans="1:11" ht="34.5" x14ac:dyDescent="0.25">
      <c r="A97" s="171" t="s">
        <v>114</v>
      </c>
      <c r="B97" s="141" t="s">
        <v>211</v>
      </c>
      <c r="C97" s="37" t="s">
        <v>57</v>
      </c>
      <c r="D97" s="57">
        <v>36</v>
      </c>
      <c r="E97" s="57">
        <v>16</v>
      </c>
      <c r="F97" s="58">
        <v>2</v>
      </c>
      <c r="G97" s="58">
        <v>39</v>
      </c>
      <c r="H97" s="113">
        <f t="shared" si="9"/>
        <v>1248</v>
      </c>
      <c r="I97">
        <f t="shared" si="5"/>
        <v>72</v>
      </c>
      <c r="J97">
        <f t="shared" si="6"/>
        <v>32</v>
      </c>
    </row>
    <row r="98" spans="1:11" ht="34.5" x14ac:dyDescent="0.25">
      <c r="A98" s="171" t="s">
        <v>114</v>
      </c>
      <c r="B98" s="141" t="s">
        <v>212</v>
      </c>
      <c r="C98" s="37" t="s">
        <v>57</v>
      </c>
      <c r="D98" s="57">
        <v>36</v>
      </c>
      <c r="E98" s="57">
        <v>16</v>
      </c>
      <c r="F98" s="58">
        <v>3</v>
      </c>
      <c r="G98" s="58">
        <v>30</v>
      </c>
      <c r="H98" s="113">
        <f t="shared" si="9"/>
        <v>1440</v>
      </c>
      <c r="I98">
        <f t="shared" si="5"/>
        <v>108</v>
      </c>
      <c r="J98">
        <f t="shared" si="6"/>
        <v>48</v>
      </c>
    </row>
    <row r="99" spans="1:11" ht="34.5" x14ac:dyDescent="0.25">
      <c r="A99" s="171" t="s">
        <v>114</v>
      </c>
      <c r="B99" s="141" t="s">
        <v>213</v>
      </c>
      <c r="C99" s="37" t="s">
        <v>57</v>
      </c>
      <c r="D99" s="57">
        <v>36</v>
      </c>
      <c r="E99" s="57">
        <v>16</v>
      </c>
      <c r="F99" s="58">
        <v>2</v>
      </c>
      <c r="G99" s="58">
        <f>122-40</f>
        <v>82</v>
      </c>
      <c r="H99" s="113">
        <f t="shared" si="9"/>
        <v>2624</v>
      </c>
      <c r="I99">
        <f t="shared" si="5"/>
        <v>72</v>
      </c>
      <c r="J99">
        <f t="shared" si="6"/>
        <v>32</v>
      </c>
    </row>
    <row r="100" spans="1:11" ht="34.5" x14ac:dyDescent="0.25">
      <c r="A100" s="171" t="s">
        <v>114</v>
      </c>
      <c r="B100" s="141" t="s">
        <v>213</v>
      </c>
      <c r="C100" s="37" t="s">
        <v>57</v>
      </c>
      <c r="D100" s="57">
        <v>36</v>
      </c>
      <c r="E100" s="57">
        <v>16</v>
      </c>
      <c r="F100" s="58">
        <v>2</v>
      </c>
      <c r="G100" s="58">
        <v>50</v>
      </c>
      <c r="H100" s="210">
        <f>E100*F100*G100</f>
        <v>1600</v>
      </c>
    </row>
    <row r="101" spans="1:11" ht="34.5" x14ac:dyDescent="0.25">
      <c r="A101" s="171" t="s">
        <v>114</v>
      </c>
      <c r="B101" s="142" t="s">
        <v>214</v>
      </c>
      <c r="C101" s="37" t="s">
        <v>57</v>
      </c>
      <c r="D101" s="57">
        <v>36</v>
      </c>
      <c r="E101" s="57">
        <v>16</v>
      </c>
      <c r="F101" s="58">
        <v>3</v>
      </c>
      <c r="G101" s="58">
        <v>40</v>
      </c>
      <c r="H101" s="113">
        <f t="shared" si="9"/>
        <v>1920</v>
      </c>
      <c r="I101">
        <f t="shared" si="5"/>
        <v>108</v>
      </c>
      <c r="J101">
        <f t="shared" si="6"/>
        <v>48</v>
      </c>
    </row>
    <row r="102" spans="1:11" ht="34.5" x14ac:dyDescent="0.25">
      <c r="A102" s="171" t="s">
        <v>114</v>
      </c>
      <c r="B102" s="142" t="s">
        <v>215</v>
      </c>
      <c r="C102" s="37" t="s">
        <v>57</v>
      </c>
      <c r="D102" s="57">
        <v>36</v>
      </c>
      <c r="E102" s="57">
        <v>16</v>
      </c>
      <c r="F102" s="58">
        <v>3</v>
      </c>
      <c r="G102" s="58">
        <v>10</v>
      </c>
      <c r="H102" s="113">
        <f t="shared" si="9"/>
        <v>480</v>
      </c>
      <c r="I102">
        <f t="shared" si="5"/>
        <v>108</v>
      </c>
      <c r="J102">
        <f t="shared" si="6"/>
        <v>48</v>
      </c>
    </row>
    <row r="103" spans="1:11" ht="34.5" x14ac:dyDescent="0.25">
      <c r="A103" s="171" t="s">
        <v>114</v>
      </c>
      <c r="B103" s="142" t="s">
        <v>216</v>
      </c>
      <c r="C103" s="37" t="s">
        <v>57</v>
      </c>
      <c r="D103" s="57">
        <v>36</v>
      </c>
      <c r="E103" s="57">
        <v>16</v>
      </c>
      <c r="F103" s="58">
        <v>2</v>
      </c>
      <c r="G103" s="58">
        <f>111-40</f>
        <v>71</v>
      </c>
      <c r="H103" s="113">
        <f t="shared" si="9"/>
        <v>2272</v>
      </c>
      <c r="I103">
        <f t="shared" ref="I103" si="10">D103*F103</f>
        <v>72</v>
      </c>
      <c r="J103">
        <f t="shared" si="6"/>
        <v>32</v>
      </c>
    </row>
    <row r="104" spans="1:11" x14ac:dyDescent="0.25">
      <c r="A104" s="226"/>
      <c r="B104" s="226"/>
      <c r="C104" s="226"/>
      <c r="D104" s="226"/>
      <c r="E104" s="226"/>
      <c r="F104" s="226"/>
      <c r="G104" s="38">
        <f>SUM(G2:G103)</f>
        <v>2423</v>
      </c>
      <c r="H104" s="38">
        <f>SUM(H2:H103)</f>
        <v>111648</v>
      </c>
      <c r="K104">
        <f>K94+K82+K77+K72+K50+K20+K3+K68</f>
        <v>111264</v>
      </c>
    </row>
    <row r="105" spans="1:11" ht="15.75" customHeight="1" x14ac:dyDescent="0.25">
      <c r="G105" s="45"/>
      <c r="H105" s="47">
        <f>SUM(H2:H36)</f>
        <v>37776</v>
      </c>
    </row>
    <row r="107" spans="1:11" x14ac:dyDescent="0.25">
      <c r="G107" s="41">
        <v>1</v>
      </c>
      <c r="H107" s="172">
        <f>SUM(H2:H69)</f>
        <v>56208</v>
      </c>
    </row>
    <row r="108" spans="1:11" x14ac:dyDescent="0.25">
      <c r="G108" s="41">
        <v>2</v>
      </c>
      <c r="H108" s="172">
        <f>SUM(H71:H103)</f>
        <v>55440</v>
      </c>
    </row>
  </sheetData>
  <mergeCells count="1">
    <mergeCell ref="A104:F10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Title="Ошибка" error="Направленность не из списка!" promptTitle="Направленность" prompt="Выберите направленность из списка">
          <x14:formula1>
            <xm:f>[1]Справочники!#REF!</xm:f>
          </x14:formula1>
          <xm:sqref>C105:E1048576</xm:sqref>
        </x14:dataValidation>
        <x14:dataValidation type="list" showInputMessage="1" showErrorMessage="1">
          <x14:formula1>
            <xm:f>'Расчет номинала'!$A$9:$A$14</xm:f>
          </x14:formula1>
          <xm:sqref>C2:C103</xm:sqref>
        </x14:dataValidation>
        <x14:dataValidation type="list" showInputMessage="1" showErrorMessage="1">
          <x14:formula1>
            <xm:f>'Расчет номинала'!$B$4:$AE$4</xm:f>
          </x14:formula1>
          <xm:sqref>A2:A103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showZeros="0" view="pageBreakPreview" zoomScaleNormal="100" zoomScaleSheetLayoutView="100" workbookViewId="0">
      <selection activeCell="E7" sqref="E7"/>
    </sheetView>
  </sheetViews>
  <sheetFormatPr defaultColWidth="10.875" defaultRowHeight="15.75" x14ac:dyDescent="0.25"/>
  <cols>
    <col min="1" max="1" width="31.875" style="24" customWidth="1"/>
    <col min="2" max="2" width="14.125" style="24" customWidth="1"/>
    <col min="3" max="3" width="14.125" style="66" customWidth="1"/>
    <col min="4" max="4" width="21.625" style="24" customWidth="1"/>
    <col min="5" max="5" width="14.875" style="74" customWidth="1"/>
    <col min="6" max="6" width="15" style="74" customWidth="1"/>
    <col min="7" max="7" width="15.375" style="24" customWidth="1"/>
    <col min="8" max="8" width="20" style="24" customWidth="1"/>
    <col min="9" max="9" width="16.75" style="146" customWidth="1"/>
    <col min="10" max="16384" width="10.875" style="24"/>
  </cols>
  <sheetData>
    <row r="1" spans="1:9" ht="47.25" x14ac:dyDescent="0.25">
      <c r="A1" s="48" t="s">
        <v>0</v>
      </c>
      <c r="B1" s="237" t="str">
        <f>'Расчет номинала'!A2</f>
        <v>ГО ВИЛЮЧИНСК</v>
      </c>
      <c r="C1" s="237"/>
      <c r="D1" s="49" t="s">
        <v>94</v>
      </c>
      <c r="E1" s="59">
        <f>'Расчет номинала'!G2</f>
        <v>3400000</v>
      </c>
      <c r="F1" s="235" t="s">
        <v>110</v>
      </c>
      <c r="G1" s="235"/>
      <c r="H1" s="50" t="s">
        <v>98</v>
      </c>
      <c r="I1" s="145"/>
    </row>
    <row r="2" spans="1:9" x14ac:dyDescent="0.25">
      <c r="B2" s="51"/>
      <c r="C2" s="51"/>
      <c r="D2" s="51"/>
      <c r="E2" s="114"/>
      <c r="F2" s="236">
        <f>E1-(H14+H26+H38+H50+H62+H74+H86+H98+H110+H122+H134+H146+H158+H170+H182)</f>
        <v>17978.3</v>
      </c>
      <c r="G2" s="236"/>
      <c r="H2" s="125">
        <f>E1-F2</f>
        <v>3382021.7</v>
      </c>
    </row>
    <row r="4" spans="1:9" ht="66" customHeight="1" x14ac:dyDescent="0.25">
      <c r="A4" s="126" t="str">
        <f>'Расчет номинала'!B4</f>
        <v>муниципальное бюджетное учреждение дополнительного образования "Центр развития творчества детей и юношества"</v>
      </c>
      <c r="B4" s="227" t="s">
        <v>108</v>
      </c>
      <c r="C4" s="228"/>
      <c r="D4" s="63">
        <f>'Расчет номинала'!B$16</f>
        <v>46278492</v>
      </c>
      <c r="E4" s="227" t="s">
        <v>109</v>
      </c>
      <c r="F4" s="228"/>
      <c r="G4" s="63">
        <f>IF(D14=0,F12+E13,F12+D14+G14)</f>
        <v>44514239.659999996</v>
      </c>
    </row>
    <row r="5" spans="1:9" s="18" customFormat="1" ht="67.5" customHeight="1" x14ac:dyDescent="0.25">
      <c r="A5" s="52" t="s">
        <v>26</v>
      </c>
      <c r="B5" s="52" t="s">
        <v>46</v>
      </c>
      <c r="C5" s="52" t="s">
        <v>49</v>
      </c>
      <c r="D5" s="53" t="s">
        <v>89</v>
      </c>
      <c r="E5" s="53" t="s">
        <v>103</v>
      </c>
      <c r="F5" s="115" t="s">
        <v>104</v>
      </c>
      <c r="G5" s="117" t="s">
        <v>43</v>
      </c>
      <c r="H5" s="117" t="s">
        <v>43</v>
      </c>
    </row>
    <row r="6" spans="1:9" x14ac:dyDescent="0.25">
      <c r="A6" s="54" t="s">
        <v>9</v>
      </c>
      <c r="B6" s="61">
        <f>'Расчет номинала'!B9</f>
        <v>351.5</v>
      </c>
      <c r="C6" s="61">
        <f>'Расчет нормативной стоимости'!F$7</f>
        <v>265.49</v>
      </c>
      <c r="D6" s="62">
        <f>'расчет уточнения часов'!E6</f>
        <v>17484</v>
      </c>
      <c r="E6" s="62">
        <f>'расчет уточнения часов'!G6+384</f>
        <v>6848</v>
      </c>
      <c r="F6" s="63">
        <f>(D6+E6)*B6</f>
        <v>8552698</v>
      </c>
      <c r="G6" s="117" t="s">
        <v>43</v>
      </c>
      <c r="H6" s="117" t="s">
        <v>43</v>
      </c>
    </row>
    <row r="7" spans="1:9" x14ac:dyDescent="0.25">
      <c r="A7" s="54" t="s">
        <v>10</v>
      </c>
      <c r="B7" s="61">
        <f>'Расчет номинала'!B10</f>
        <v>220.52</v>
      </c>
      <c r="C7" s="61">
        <f>'Расчет нормативной стоимости'!G$7</f>
        <v>265.49</v>
      </c>
      <c r="D7" s="62">
        <f>'расчет уточнения часов'!E7</f>
        <v>1382</v>
      </c>
      <c r="E7" s="62">
        <f>'расчет уточнения часов'!G7</f>
        <v>960</v>
      </c>
      <c r="F7" s="63">
        <f t="shared" ref="F7:F11" si="0">(D7+E7)*B7</f>
        <v>516457.84</v>
      </c>
      <c r="G7" s="117" t="s">
        <v>43</v>
      </c>
      <c r="H7" s="117" t="s">
        <v>43</v>
      </c>
    </row>
    <row r="8" spans="1:9" ht="21" customHeight="1" x14ac:dyDescent="0.25">
      <c r="A8" s="54" t="s">
        <v>11</v>
      </c>
      <c r="B8" s="61">
        <f>'Расчет номинала'!B11</f>
        <v>307.13</v>
      </c>
      <c r="C8" s="61">
        <f>'Расчет нормативной стоимости'!H$7</f>
        <v>265.49</v>
      </c>
      <c r="D8" s="62">
        <f>'расчет уточнения часов'!E8</f>
        <v>36806</v>
      </c>
      <c r="E8" s="62">
        <f>'расчет уточнения часов'!G8+320</f>
        <v>27008</v>
      </c>
      <c r="F8" s="63">
        <f t="shared" si="0"/>
        <v>19599193.82</v>
      </c>
      <c r="G8" s="117" t="s">
        <v>43</v>
      </c>
      <c r="H8" s="117" t="s">
        <v>43</v>
      </c>
      <c r="I8" s="146" t="s">
        <v>239</v>
      </c>
    </row>
    <row r="9" spans="1:9" x14ac:dyDescent="0.25">
      <c r="A9" s="54" t="s">
        <v>12</v>
      </c>
      <c r="B9" s="61">
        <f>'Расчет номинала'!B12</f>
        <v>0</v>
      </c>
      <c r="C9" s="61">
        <f>'Расчет нормативной стоимости'!I$7</f>
        <v>0</v>
      </c>
      <c r="D9" s="62">
        <f>'расчет уточнения часов'!E9</f>
        <v>0</v>
      </c>
      <c r="E9" s="62">
        <f>'расчет уточнения часов'!G9</f>
        <v>0</v>
      </c>
      <c r="F9" s="63">
        <f>(D9+E9)*B9</f>
        <v>0</v>
      </c>
      <c r="G9" s="117" t="s">
        <v>43</v>
      </c>
      <c r="H9" s="117" t="s">
        <v>43</v>
      </c>
    </row>
    <row r="10" spans="1:9" x14ac:dyDescent="0.25">
      <c r="A10" s="54" t="s">
        <v>13</v>
      </c>
      <c r="B10" s="61">
        <f>'Расчет номинала'!B13</f>
        <v>0</v>
      </c>
      <c r="C10" s="61">
        <f>'Расчет нормативной стоимости'!J$7</f>
        <v>0</v>
      </c>
      <c r="D10" s="62">
        <f>'расчет уточнения часов'!E10</f>
        <v>0</v>
      </c>
      <c r="E10" s="62">
        <f>'расчет уточнения часов'!G10</f>
        <v>0</v>
      </c>
      <c r="F10" s="63">
        <f t="shared" si="0"/>
        <v>0</v>
      </c>
      <c r="G10" s="117" t="s">
        <v>43</v>
      </c>
      <c r="H10" s="117" t="s">
        <v>43</v>
      </c>
    </row>
    <row r="11" spans="1:9" ht="23.25" customHeight="1" x14ac:dyDescent="0.25">
      <c r="A11" s="1" t="s">
        <v>57</v>
      </c>
      <c r="B11" s="61">
        <f>'Расчет номинала'!B14</f>
        <v>313.77999999999997</v>
      </c>
      <c r="C11" s="61">
        <f>'Расчет нормативной стоимости'!K$7</f>
        <v>265.49</v>
      </c>
      <c r="D11" s="62">
        <f>'расчет уточнения часов'!E11</f>
        <v>29108</v>
      </c>
      <c r="E11" s="62">
        <f>'расчет уточнения часов'!G11</f>
        <v>21392</v>
      </c>
      <c r="F11" s="63">
        <f t="shared" si="0"/>
        <v>15845890</v>
      </c>
      <c r="G11" s="117" t="s">
        <v>43</v>
      </c>
      <c r="H11" s="117" t="s">
        <v>43</v>
      </c>
      <c r="I11" s="146" t="s">
        <v>217</v>
      </c>
    </row>
    <row r="12" spans="1:9" x14ac:dyDescent="0.25">
      <c r="A12" s="55" t="s">
        <v>47</v>
      </c>
      <c r="B12" s="56" t="s">
        <v>43</v>
      </c>
      <c r="C12" s="56" t="s">
        <v>43</v>
      </c>
      <c r="D12" s="64">
        <f t="shared" ref="D12" si="1">SUM(D6:D11)</f>
        <v>84780</v>
      </c>
      <c r="E12" s="64">
        <f>SUM(E6:E11)</f>
        <v>56208</v>
      </c>
      <c r="F12" s="65">
        <f>SUM(F6:F11)</f>
        <v>44514239.659999996</v>
      </c>
      <c r="G12" s="117" t="s">
        <v>43</v>
      </c>
      <c r="H12" s="117" t="s">
        <v>43</v>
      </c>
    </row>
    <row r="13" spans="1:9" s="74" customFormat="1" ht="49.5" customHeight="1" x14ac:dyDescent="0.25">
      <c r="A13" s="116" t="s">
        <v>96</v>
      </c>
      <c r="B13" s="229" t="s">
        <v>97</v>
      </c>
      <c r="C13" s="230"/>
      <c r="D13" s="231"/>
      <c r="E13" s="121"/>
      <c r="F13" s="117" t="s">
        <v>43</v>
      </c>
      <c r="G13" s="117" t="s">
        <v>43</v>
      </c>
      <c r="H13" s="52" t="s">
        <v>102</v>
      </c>
      <c r="I13" s="146"/>
    </row>
    <row r="14" spans="1:9" ht="33" customHeight="1" x14ac:dyDescent="0.25">
      <c r="A14" s="116" t="s">
        <v>92</v>
      </c>
      <c r="B14" s="232" t="s">
        <v>95</v>
      </c>
      <c r="C14" s="232"/>
      <c r="D14" s="120"/>
      <c r="E14" s="233" t="s">
        <v>93</v>
      </c>
      <c r="F14" s="234"/>
      <c r="G14" s="120"/>
      <c r="H14" s="118">
        <f>D4-G4</f>
        <v>1764252.34</v>
      </c>
      <c r="I14" s="147">
        <f>H14/E12</f>
        <v>31.39</v>
      </c>
    </row>
    <row r="15" spans="1:9" s="7" customFormat="1" ht="33" customHeight="1" x14ac:dyDescent="0.25">
      <c r="I15" s="144" t="s">
        <v>218</v>
      </c>
    </row>
    <row r="16" spans="1:9" ht="66.75" customHeight="1" x14ac:dyDescent="0.25">
      <c r="A16" s="126" t="str">
        <f>'Расчет номинала'!D4</f>
        <v>муниципальное бюджетное учреждение дополнительного образования "Дом детского творчества"</v>
      </c>
      <c r="B16" s="227" t="s">
        <v>108</v>
      </c>
      <c r="C16" s="228"/>
      <c r="D16" s="63">
        <f>'Расчет номинала'!D$16</f>
        <v>48862390</v>
      </c>
      <c r="E16" s="227" t="s">
        <v>109</v>
      </c>
      <c r="F16" s="228"/>
      <c r="G16" s="63">
        <f>IF(D26=0,F24+E25,F24+D26+G26)</f>
        <v>47244620.640000001</v>
      </c>
      <c r="H16" s="74"/>
    </row>
    <row r="17" spans="1:9" ht="60.75" customHeight="1" x14ac:dyDescent="0.25">
      <c r="A17" s="52" t="s">
        <v>26</v>
      </c>
      <c r="B17" s="52" t="s">
        <v>46</v>
      </c>
      <c r="C17" s="52" t="s">
        <v>49</v>
      </c>
      <c r="D17" s="53" t="s">
        <v>89</v>
      </c>
      <c r="E17" s="53" t="s">
        <v>90</v>
      </c>
      <c r="F17" s="115" t="s">
        <v>91</v>
      </c>
      <c r="G17" s="117" t="s">
        <v>43</v>
      </c>
      <c r="H17" s="117" t="s">
        <v>43</v>
      </c>
    </row>
    <row r="18" spans="1:9" x14ac:dyDescent="0.25">
      <c r="A18" s="54" t="s">
        <v>9</v>
      </c>
      <c r="B18" s="61">
        <f>'Расчет номинала'!D9</f>
        <v>348.33</v>
      </c>
      <c r="C18" s="61">
        <f>'Расчет нормативной стоимости'!F$7</f>
        <v>265.49</v>
      </c>
      <c r="D18" s="62">
        <f>'расчет уточнения часов'!E18</f>
        <v>5440</v>
      </c>
      <c r="E18" s="62">
        <f>'расчет уточнения часов'!G18</f>
        <v>3776</v>
      </c>
      <c r="F18" s="63">
        <f>(D18+E18)*B18</f>
        <v>3210209.2799999998</v>
      </c>
      <c r="G18" s="117" t="s">
        <v>43</v>
      </c>
      <c r="H18" s="117" t="s">
        <v>43</v>
      </c>
    </row>
    <row r="19" spans="1:9" x14ac:dyDescent="0.25">
      <c r="A19" s="54" t="s">
        <v>10</v>
      </c>
      <c r="B19" s="61">
        <f>'Расчет номинала'!D10</f>
        <v>316.85000000000002</v>
      </c>
      <c r="C19" s="61">
        <f>'Расчет нормативной стоимости'!G$7</f>
        <v>265.49</v>
      </c>
      <c r="D19" s="62">
        <f>'расчет уточнения часов'!E19</f>
        <v>13680</v>
      </c>
      <c r="E19" s="62">
        <f>'расчет уточнения часов'!G19</f>
        <v>9984</v>
      </c>
      <c r="F19" s="63">
        <f t="shared" ref="F19:F23" si="2">(D19+E19)*B19</f>
        <v>7497938.4000000004</v>
      </c>
      <c r="G19" s="117" t="s">
        <v>43</v>
      </c>
      <c r="H19" s="117" t="s">
        <v>43</v>
      </c>
    </row>
    <row r="20" spans="1:9" ht="21.75" customHeight="1" x14ac:dyDescent="0.25">
      <c r="A20" s="54" t="s">
        <v>11</v>
      </c>
      <c r="B20" s="61">
        <f>'Расчет номинала'!D11</f>
        <v>359.52</v>
      </c>
      <c r="C20" s="61">
        <f>'Расчет нормативной стоимости'!H$7</f>
        <v>265.49</v>
      </c>
      <c r="D20" s="62">
        <f>'расчет уточнения часов'!E20</f>
        <v>23028</v>
      </c>
      <c r="E20" s="62">
        <f>'расчет уточнения часов'!G20-320</f>
        <v>18512</v>
      </c>
      <c r="F20" s="63">
        <f>(D20+E20)*B20</f>
        <v>14934460.800000001</v>
      </c>
      <c r="G20" s="117" t="s">
        <v>43</v>
      </c>
      <c r="H20" s="117" t="s">
        <v>43</v>
      </c>
      <c r="I20" s="146" t="s">
        <v>217</v>
      </c>
    </row>
    <row r="21" spans="1:9" x14ac:dyDescent="0.25">
      <c r="A21" s="54" t="s">
        <v>12</v>
      </c>
      <c r="B21" s="61">
        <f>'Расчет номинала'!D12</f>
        <v>0</v>
      </c>
      <c r="C21" s="61">
        <f>'Расчет нормативной стоимости'!I$7</f>
        <v>0</v>
      </c>
      <c r="D21" s="62">
        <f>'расчет уточнения часов'!E21</f>
        <v>0</v>
      </c>
      <c r="E21" s="62">
        <f>'расчет уточнения часов'!G21</f>
        <v>0</v>
      </c>
      <c r="F21" s="63">
        <f t="shared" si="2"/>
        <v>0</v>
      </c>
      <c r="G21" s="117" t="s">
        <v>43</v>
      </c>
      <c r="H21" s="117" t="s">
        <v>43</v>
      </c>
    </row>
    <row r="22" spans="1:9" x14ac:dyDescent="0.25">
      <c r="A22" s="54" t="s">
        <v>13</v>
      </c>
      <c r="B22" s="61">
        <f>'Расчет номинала'!D13</f>
        <v>0</v>
      </c>
      <c r="C22" s="61">
        <f>'Расчет нормативной стоимости'!J$7</f>
        <v>0</v>
      </c>
      <c r="D22" s="62">
        <f>'расчет уточнения часов'!E22</f>
        <v>0</v>
      </c>
      <c r="E22" s="62">
        <f>'расчет уточнения часов'!G22</f>
        <v>0</v>
      </c>
      <c r="F22" s="63">
        <f t="shared" si="2"/>
        <v>0</v>
      </c>
      <c r="G22" s="117" t="s">
        <v>43</v>
      </c>
      <c r="H22" s="117" t="s">
        <v>43</v>
      </c>
    </row>
    <row r="23" spans="1:9" ht="24" customHeight="1" x14ac:dyDescent="0.25">
      <c r="A23" s="1" t="s">
        <v>57</v>
      </c>
      <c r="B23" s="61">
        <f>'Расчет номинала'!D14</f>
        <v>416.32</v>
      </c>
      <c r="C23" s="61">
        <f>'Расчет нормативной стоимости'!K$7</f>
        <v>265.49</v>
      </c>
      <c r="D23" s="62">
        <f>'расчет уточнения часов'!E23</f>
        <v>28720</v>
      </c>
      <c r="E23" s="62">
        <f>'расчет уточнения часов'!G23+1600</f>
        <v>23168</v>
      </c>
      <c r="F23" s="63">
        <f t="shared" si="2"/>
        <v>21602012.16</v>
      </c>
      <c r="G23" s="117" t="s">
        <v>43</v>
      </c>
      <c r="H23" s="117" t="s">
        <v>43</v>
      </c>
      <c r="I23" s="146" t="s">
        <v>217</v>
      </c>
    </row>
    <row r="24" spans="1:9" x14ac:dyDescent="0.25">
      <c r="A24" s="55" t="s">
        <v>47</v>
      </c>
      <c r="B24" s="56" t="s">
        <v>43</v>
      </c>
      <c r="C24" s="56" t="s">
        <v>43</v>
      </c>
      <c r="D24" s="64">
        <f t="shared" ref="D24:E24" si="3">SUM(D18:D23)</f>
        <v>70868</v>
      </c>
      <c r="E24" s="64">
        <f>SUM(E18:E23)</f>
        <v>55440</v>
      </c>
      <c r="F24" s="65">
        <f>SUM(F18:F23)</f>
        <v>47244620.640000001</v>
      </c>
      <c r="G24" s="117" t="s">
        <v>43</v>
      </c>
      <c r="H24" s="117" t="s">
        <v>43</v>
      </c>
    </row>
    <row r="25" spans="1:9" s="74" customFormat="1" ht="47.25" x14ac:dyDescent="0.25">
      <c r="A25" s="116" t="s">
        <v>96</v>
      </c>
      <c r="B25" s="229" t="s">
        <v>97</v>
      </c>
      <c r="C25" s="230"/>
      <c r="D25" s="231"/>
      <c r="E25" s="121"/>
      <c r="F25" s="117" t="s">
        <v>43</v>
      </c>
      <c r="G25" s="117" t="s">
        <v>43</v>
      </c>
      <c r="H25" s="52" t="s">
        <v>102</v>
      </c>
      <c r="I25" s="146"/>
    </row>
    <row r="26" spans="1:9" s="74" customFormat="1" ht="37.5" customHeight="1" x14ac:dyDescent="0.25">
      <c r="A26" s="116" t="s">
        <v>92</v>
      </c>
      <c r="B26" s="232" t="s">
        <v>95</v>
      </c>
      <c r="C26" s="232"/>
      <c r="D26" s="120"/>
      <c r="E26" s="233" t="s">
        <v>93</v>
      </c>
      <c r="F26" s="234"/>
      <c r="G26" s="120"/>
      <c r="H26" s="118">
        <f>D16-G16</f>
        <v>1617769.36</v>
      </c>
      <c r="I26" s="147"/>
    </row>
    <row r="27" spans="1:9" x14ac:dyDescent="0.25">
      <c r="H27" s="34">
        <f>H26+H14</f>
        <v>3382021.7</v>
      </c>
      <c r="I27" s="144" t="s">
        <v>218</v>
      </c>
    </row>
    <row r="28" spans="1:9" ht="60" hidden="1" customHeight="1" x14ac:dyDescent="0.25">
      <c r="A28" s="126" t="str">
        <f>'Расчет номинала'!F4</f>
        <v>Организация 3</v>
      </c>
      <c r="B28" s="227" t="s">
        <v>108</v>
      </c>
      <c r="C28" s="228"/>
      <c r="D28" s="63">
        <f>'Расчет номинала'!F$16</f>
        <v>0</v>
      </c>
      <c r="E28" s="227" t="s">
        <v>109</v>
      </c>
      <c r="F28" s="228"/>
      <c r="G28" s="63">
        <f>IF(D38=0,F36+E37,F36+D38+G38)</f>
        <v>0</v>
      </c>
      <c r="H28" s="124"/>
    </row>
    <row r="29" spans="1:9" ht="63" hidden="1" x14ac:dyDescent="0.25">
      <c r="A29" s="52" t="s">
        <v>26</v>
      </c>
      <c r="B29" s="52" t="s">
        <v>46</v>
      </c>
      <c r="C29" s="52" t="s">
        <v>49</v>
      </c>
      <c r="D29" s="53" t="s">
        <v>89</v>
      </c>
      <c r="E29" s="53" t="s">
        <v>90</v>
      </c>
      <c r="F29" s="115" t="s">
        <v>91</v>
      </c>
      <c r="G29" s="117" t="s">
        <v>43</v>
      </c>
      <c r="H29" s="117" t="s">
        <v>43</v>
      </c>
    </row>
    <row r="30" spans="1:9" hidden="1" x14ac:dyDescent="0.25">
      <c r="A30" s="54" t="s">
        <v>9</v>
      </c>
      <c r="B30" s="61">
        <f>'Расчет номинала'!F9</f>
        <v>0</v>
      </c>
      <c r="C30" s="61">
        <f>'Расчет нормативной стоимости'!F$7</f>
        <v>265.49</v>
      </c>
      <c r="D30" s="62"/>
      <c r="E30" s="62"/>
      <c r="F30" s="63">
        <f>(D30+E30)*B30</f>
        <v>0</v>
      </c>
      <c r="G30" s="117" t="s">
        <v>43</v>
      </c>
      <c r="H30" s="117" t="s">
        <v>43</v>
      </c>
    </row>
    <row r="31" spans="1:9" hidden="1" x14ac:dyDescent="0.25">
      <c r="A31" s="54" t="s">
        <v>10</v>
      </c>
      <c r="B31" s="61">
        <f>'Расчет номинала'!F10</f>
        <v>0</v>
      </c>
      <c r="C31" s="61">
        <f>'Расчет нормативной стоимости'!G$7</f>
        <v>265.49</v>
      </c>
      <c r="D31" s="62"/>
      <c r="E31" s="62"/>
      <c r="F31" s="63">
        <f t="shared" ref="F31:F35" si="4">(D31+E31)*B31</f>
        <v>0</v>
      </c>
      <c r="G31" s="117" t="s">
        <v>43</v>
      </c>
      <c r="H31" s="117" t="s">
        <v>43</v>
      </c>
    </row>
    <row r="32" spans="1:9" hidden="1" x14ac:dyDescent="0.25">
      <c r="A32" s="54" t="s">
        <v>11</v>
      </c>
      <c r="B32" s="61">
        <f>'Расчет номинала'!F11</f>
        <v>0</v>
      </c>
      <c r="C32" s="61">
        <f>'Расчет нормативной стоимости'!H$7</f>
        <v>265.49</v>
      </c>
      <c r="D32" s="62"/>
      <c r="E32" s="62"/>
      <c r="F32" s="63">
        <f t="shared" si="4"/>
        <v>0</v>
      </c>
      <c r="G32" s="117" t="s">
        <v>43</v>
      </c>
      <c r="H32" s="117" t="s">
        <v>43</v>
      </c>
    </row>
    <row r="33" spans="1:8" hidden="1" x14ac:dyDescent="0.25">
      <c r="A33" s="54" t="s">
        <v>12</v>
      </c>
      <c r="B33" s="61">
        <f>'Расчет номинала'!F12</f>
        <v>0</v>
      </c>
      <c r="C33" s="61">
        <f>'Расчет нормативной стоимости'!I$7</f>
        <v>0</v>
      </c>
      <c r="D33" s="62"/>
      <c r="E33" s="62"/>
      <c r="F33" s="63">
        <f t="shared" si="4"/>
        <v>0</v>
      </c>
      <c r="G33" s="117" t="s">
        <v>43</v>
      </c>
      <c r="H33" s="117" t="s">
        <v>43</v>
      </c>
    </row>
    <row r="34" spans="1:8" hidden="1" x14ac:dyDescent="0.25">
      <c r="A34" s="54" t="s">
        <v>13</v>
      </c>
      <c r="B34" s="61">
        <f>'Расчет номинала'!F13</f>
        <v>0</v>
      </c>
      <c r="C34" s="61">
        <f>'Расчет нормативной стоимости'!J$7</f>
        <v>0</v>
      </c>
      <c r="D34" s="62"/>
      <c r="E34" s="62"/>
      <c r="F34" s="63">
        <f t="shared" si="4"/>
        <v>0</v>
      </c>
      <c r="G34" s="117" t="s">
        <v>43</v>
      </c>
      <c r="H34" s="117" t="s">
        <v>43</v>
      </c>
    </row>
    <row r="35" spans="1:8" hidden="1" x14ac:dyDescent="0.25">
      <c r="A35" s="1" t="s">
        <v>57</v>
      </c>
      <c r="B35" s="61">
        <f>'Расчет номинала'!F14</f>
        <v>0</v>
      </c>
      <c r="C35" s="61">
        <f>'Расчет нормативной стоимости'!K$7</f>
        <v>265.49</v>
      </c>
      <c r="D35" s="62"/>
      <c r="E35" s="62"/>
      <c r="F35" s="63">
        <f t="shared" si="4"/>
        <v>0</v>
      </c>
      <c r="G35" s="117" t="s">
        <v>43</v>
      </c>
      <c r="H35" s="117" t="s">
        <v>43</v>
      </c>
    </row>
    <row r="36" spans="1:8" hidden="1" x14ac:dyDescent="0.25">
      <c r="A36" s="55" t="s">
        <v>47</v>
      </c>
      <c r="B36" s="56" t="s">
        <v>43</v>
      </c>
      <c r="C36" s="56" t="s">
        <v>43</v>
      </c>
      <c r="D36" s="64">
        <f t="shared" ref="D36:F36" si="5">SUM(D30:D35)</f>
        <v>0</v>
      </c>
      <c r="E36" s="64">
        <f t="shared" si="5"/>
        <v>0</v>
      </c>
      <c r="F36" s="65">
        <f t="shared" si="5"/>
        <v>0</v>
      </c>
      <c r="G36" s="117" t="s">
        <v>43</v>
      </c>
      <c r="H36" s="117" t="s">
        <v>43</v>
      </c>
    </row>
    <row r="37" spans="1:8" ht="47.25" hidden="1" x14ac:dyDescent="0.25">
      <c r="A37" s="116" t="s">
        <v>96</v>
      </c>
      <c r="B37" s="229" t="s">
        <v>97</v>
      </c>
      <c r="C37" s="230"/>
      <c r="D37" s="231"/>
      <c r="E37" s="121"/>
      <c r="F37" s="117" t="s">
        <v>43</v>
      </c>
      <c r="G37" s="117" t="s">
        <v>43</v>
      </c>
      <c r="H37" s="52" t="s">
        <v>102</v>
      </c>
    </row>
    <row r="38" spans="1:8" hidden="1" x14ac:dyDescent="0.25">
      <c r="A38" s="116" t="s">
        <v>92</v>
      </c>
      <c r="B38" s="232" t="s">
        <v>95</v>
      </c>
      <c r="C38" s="232"/>
      <c r="D38" s="120"/>
      <c r="E38" s="233" t="s">
        <v>93</v>
      </c>
      <c r="F38" s="234"/>
      <c r="G38" s="120"/>
      <c r="H38" s="118">
        <f>D28-G28</f>
        <v>0</v>
      </c>
    </row>
    <row r="39" spans="1:8" hidden="1" x14ac:dyDescent="0.25"/>
    <row r="40" spans="1:8" ht="62.25" hidden="1" customHeight="1" x14ac:dyDescent="0.25">
      <c r="A40" s="126" t="str">
        <f>'Расчет номинала'!H4</f>
        <v>Организация 4</v>
      </c>
      <c r="B40" s="227" t="s">
        <v>108</v>
      </c>
      <c r="C40" s="228"/>
      <c r="D40" s="63">
        <f>'Расчет номинала'!H$16</f>
        <v>0</v>
      </c>
      <c r="E40" s="227" t="s">
        <v>109</v>
      </c>
      <c r="F40" s="228"/>
      <c r="G40" s="63">
        <f>IF(D50=0,F48+E49,F48+D50+G50)</f>
        <v>0</v>
      </c>
      <c r="H40" s="124"/>
    </row>
    <row r="41" spans="1:8" ht="63" hidden="1" x14ac:dyDescent="0.25">
      <c r="A41" s="52" t="s">
        <v>26</v>
      </c>
      <c r="B41" s="52" t="s">
        <v>46</v>
      </c>
      <c r="C41" s="52" t="s">
        <v>49</v>
      </c>
      <c r="D41" s="53" t="s">
        <v>89</v>
      </c>
      <c r="E41" s="53" t="s">
        <v>90</v>
      </c>
      <c r="F41" s="115" t="s">
        <v>91</v>
      </c>
      <c r="G41" s="117" t="s">
        <v>43</v>
      </c>
      <c r="H41" s="117" t="s">
        <v>43</v>
      </c>
    </row>
    <row r="42" spans="1:8" hidden="1" x14ac:dyDescent="0.25">
      <c r="A42" s="54" t="s">
        <v>9</v>
      </c>
      <c r="B42" s="61">
        <f>'Расчет номинала'!H$9</f>
        <v>0</v>
      </c>
      <c r="C42" s="61">
        <f>'Расчет нормативной стоимости'!F$7</f>
        <v>265.49</v>
      </c>
      <c r="D42" s="62"/>
      <c r="E42" s="62"/>
      <c r="F42" s="63">
        <f>(D42+E42)*B42</f>
        <v>0</v>
      </c>
      <c r="G42" s="117" t="s">
        <v>43</v>
      </c>
      <c r="H42" s="117" t="s">
        <v>43</v>
      </c>
    </row>
    <row r="43" spans="1:8" hidden="1" x14ac:dyDescent="0.25">
      <c r="A43" s="54" t="s">
        <v>10</v>
      </c>
      <c r="B43" s="61">
        <f>'Расчет номинала'!H10</f>
        <v>0</v>
      </c>
      <c r="C43" s="61">
        <f>'Расчет нормативной стоимости'!G$7</f>
        <v>265.49</v>
      </c>
      <c r="D43" s="62"/>
      <c r="E43" s="62"/>
      <c r="F43" s="63">
        <f t="shared" ref="F43:F47" si="6">(D43+E43)*B43</f>
        <v>0</v>
      </c>
      <c r="G43" s="117" t="s">
        <v>43</v>
      </c>
      <c r="H43" s="117" t="s">
        <v>43</v>
      </c>
    </row>
    <row r="44" spans="1:8" hidden="1" x14ac:dyDescent="0.25">
      <c r="A44" s="54" t="s">
        <v>11</v>
      </c>
      <c r="B44" s="61">
        <f>'Расчет номинала'!H11</f>
        <v>0</v>
      </c>
      <c r="C44" s="61">
        <f>'Расчет нормативной стоимости'!H$7</f>
        <v>265.49</v>
      </c>
      <c r="D44" s="62"/>
      <c r="E44" s="62"/>
      <c r="F44" s="63">
        <f t="shared" si="6"/>
        <v>0</v>
      </c>
      <c r="G44" s="117" t="s">
        <v>43</v>
      </c>
      <c r="H44" s="117" t="s">
        <v>43</v>
      </c>
    </row>
    <row r="45" spans="1:8" hidden="1" x14ac:dyDescent="0.25">
      <c r="A45" s="54" t="s">
        <v>12</v>
      </c>
      <c r="B45" s="61">
        <f>'Расчет номинала'!H12</f>
        <v>0</v>
      </c>
      <c r="C45" s="61">
        <f>'Расчет нормативной стоимости'!I$7</f>
        <v>0</v>
      </c>
      <c r="D45" s="62"/>
      <c r="E45" s="62"/>
      <c r="F45" s="63">
        <f t="shared" si="6"/>
        <v>0</v>
      </c>
      <c r="G45" s="117" t="s">
        <v>43</v>
      </c>
      <c r="H45" s="117" t="s">
        <v>43</v>
      </c>
    </row>
    <row r="46" spans="1:8" hidden="1" x14ac:dyDescent="0.25">
      <c r="A46" s="54" t="s">
        <v>13</v>
      </c>
      <c r="B46" s="61">
        <f>'Расчет номинала'!H13</f>
        <v>0</v>
      </c>
      <c r="C46" s="61">
        <f>'Расчет нормативной стоимости'!J$7</f>
        <v>0</v>
      </c>
      <c r="D46" s="62"/>
      <c r="E46" s="62"/>
      <c r="F46" s="63">
        <f t="shared" si="6"/>
        <v>0</v>
      </c>
      <c r="G46" s="117" t="s">
        <v>43</v>
      </c>
      <c r="H46" s="117" t="s">
        <v>43</v>
      </c>
    </row>
    <row r="47" spans="1:8" hidden="1" x14ac:dyDescent="0.25">
      <c r="A47" s="1" t="s">
        <v>57</v>
      </c>
      <c r="B47" s="61">
        <f>'Расчет номинала'!H14</f>
        <v>0</v>
      </c>
      <c r="C47" s="61">
        <f>'Расчет нормативной стоимости'!K$7</f>
        <v>265.49</v>
      </c>
      <c r="D47" s="62"/>
      <c r="E47" s="62"/>
      <c r="F47" s="63">
        <f t="shared" si="6"/>
        <v>0</v>
      </c>
      <c r="G47" s="117" t="s">
        <v>43</v>
      </c>
      <c r="H47" s="117" t="s">
        <v>43</v>
      </c>
    </row>
    <row r="48" spans="1:8" hidden="1" x14ac:dyDescent="0.25">
      <c r="A48" s="55" t="s">
        <v>47</v>
      </c>
      <c r="B48" s="56" t="s">
        <v>43</v>
      </c>
      <c r="C48" s="56" t="s">
        <v>43</v>
      </c>
      <c r="D48" s="64">
        <f t="shared" ref="D48:F48" si="7">SUM(D42:D47)</f>
        <v>0</v>
      </c>
      <c r="E48" s="64">
        <f t="shared" si="7"/>
        <v>0</v>
      </c>
      <c r="F48" s="65">
        <f t="shared" si="7"/>
        <v>0</v>
      </c>
      <c r="G48" s="117" t="s">
        <v>43</v>
      </c>
      <c r="H48" s="117" t="s">
        <v>43</v>
      </c>
    </row>
    <row r="49" spans="1:8" ht="47.25" hidden="1" x14ac:dyDescent="0.25">
      <c r="A49" s="116" t="s">
        <v>96</v>
      </c>
      <c r="B49" s="229" t="s">
        <v>97</v>
      </c>
      <c r="C49" s="230"/>
      <c r="D49" s="231"/>
      <c r="E49" s="121"/>
      <c r="F49" s="117" t="s">
        <v>43</v>
      </c>
      <c r="G49" s="117" t="s">
        <v>43</v>
      </c>
      <c r="H49" s="52" t="s">
        <v>102</v>
      </c>
    </row>
    <row r="50" spans="1:8" hidden="1" x14ac:dyDescent="0.25">
      <c r="A50" s="116" t="s">
        <v>92</v>
      </c>
      <c r="B50" s="232" t="s">
        <v>95</v>
      </c>
      <c r="C50" s="232"/>
      <c r="D50" s="120"/>
      <c r="E50" s="233" t="s">
        <v>93</v>
      </c>
      <c r="F50" s="234"/>
      <c r="G50" s="120"/>
      <c r="H50" s="118">
        <f>D40-G40</f>
        <v>0</v>
      </c>
    </row>
    <row r="51" spans="1:8" hidden="1" x14ac:dyDescent="0.25"/>
    <row r="52" spans="1:8" ht="63" hidden="1" customHeight="1" x14ac:dyDescent="0.25">
      <c r="A52" s="126" t="str">
        <f>'Расчет номинала'!J4</f>
        <v>Организация 5</v>
      </c>
      <c r="B52" s="227" t="s">
        <v>108</v>
      </c>
      <c r="C52" s="228"/>
      <c r="D52" s="63">
        <f>'Расчет номинала'!J$16</f>
        <v>0</v>
      </c>
      <c r="E52" s="227" t="s">
        <v>109</v>
      </c>
      <c r="F52" s="228"/>
      <c r="G52" s="63">
        <f>IF(D62=0,F60+E61,F60+D62+G62)</f>
        <v>0</v>
      </c>
      <c r="H52" s="124"/>
    </row>
    <row r="53" spans="1:8" ht="63" hidden="1" x14ac:dyDescent="0.25">
      <c r="A53" s="52" t="s">
        <v>26</v>
      </c>
      <c r="B53" s="52" t="s">
        <v>46</v>
      </c>
      <c r="C53" s="52" t="s">
        <v>49</v>
      </c>
      <c r="D53" s="53" t="s">
        <v>89</v>
      </c>
      <c r="E53" s="53" t="s">
        <v>90</v>
      </c>
      <c r="F53" s="115" t="s">
        <v>91</v>
      </c>
      <c r="G53" s="117" t="s">
        <v>43</v>
      </c>
      <c r="H53" s="117" t="s">
        <v>43</v>
      </c>
    </row>
    <row r="54" spans="1:8" hidden="1" x14ac:dyDescent="0.25">
      <c r="A54" s="54" t="s">
        <v>9</v>
      </c>
      <c r="B54" s="61">
        <f>'Расчет номинала'!J$9</f>
        <v>0</v>
      </c>
      <c r="C54" s="61">
        <f>'Расчет нормативной стоимости'!F$7</f>
        <v>265.49</v>
      </c>
      <c r="D54" s="62"/>
      <c r="E54" s="62"/>
      <c r="F54" s="63">
        <f>(D54+E54)*B54</f>
        <v>0</v>
      </c>
      <c r="G54" s="117" t="s">
        <v>43</v>
      </c>
      <c r="H54" s="117" t="s">
        <v>43</v>
      </c>
    </row>
    <row r="55" spans="1:8" hidden="1" x14ac:dyDescent="0.25">
      <c r="A55" s="54" t="s">
        <v>10</v>
      </c>
      <c r="B55" s="61">
        <f>'Расчет номинала'!J10</f>
        <v>0</v>
      </c>
      <c r="C55" s="61">
        <f>'Расчет нормативной стоимости'!G$7</f>
        <v>265.49</v>
      </c>
      <c r="D55" s="62"/>
      <c r="E55" s="62"/>
      <c r="F55" s="63">
        <f t="shared" ref="F55:F59" si="8">(D55+E55)*B55</f>
        <v>0</v>
      </c>
      <c r="G55" s="117" t="s">
        <v>43</v>
      </c>
      <c r="H55" s="117" t="s">
        <v>43</v>
      </c>
    </row>
    <row r="56" spans="1:8" hidden="1" x14ac:dyDescent="0.25">
      <c r="A56" s="54" t="s">
        <v>11</v>
      </c>
      <c r="B56" s="61">
        <f>'Расчет номинала'!J11</f>
        <v>0</v>
      </c>
      <c r="C56" s="61">
        <f>'Расчет нормативной стоимости'!H$7</f>
        <v>265.49</v>
      </c>
      <c r="D56" s="62"/>
      <c r="E56" s="62"/>
      <c r="F56" s="63">
        <f t="shared" si="8"/>
        <v>0</v>
      </c>
      <c r="G56" s="117" t="s">
        <v>43</v>
      </c>
      <c r="H56" s="117" t="s">
        <v>43</v>
      </c>
    </row>
    <row r="57" spans="1:8" hidden="1" x14ac:dyDescent="0.25">
      <c r="A57" s="54" t="s">
        <v>12</v>
      </c>
      <c r="B57" s="61">
        <f>'Расчет номинала'!J12</f>
        <v>0</v>
      </c>
      <c r="C57" s="61">
        <f>'Расчет нормативной стоимости'!I$7</f>
        <v>0</v>
      </c>
      <c r="D57" s="62"/>
      <c r="E57" s="62"/>
      <c r="F57" s="63">
        <f t="shared" si="8"/>
        <v>0</v>
      </c>
      <c r="G57" s="117" t="s">
        <v>43</v>
      </c>
      <c r="H57" s="117" t="s">
        <v>43</v>
      </c>
    </row>
    <row r="58" spans="1:8" hidden="1" x14ac:dyDescent="0.25">
      <c r="A58" s="54" t="s">
        <v>13</v>
      </c>
      <c r="B58" s="61">
        <f>'Расчет номинала'!J13</f>
        <v>0</v>
      </c>
      <c r="C58" s="61">
        <f>'Расчет нормативной стоимости'!J$7</f>
        <v>0</v>
      </c>
      <c r="D58" s="62"/>
      <c r="E58" s="62"/>
      <c r="F58" s="63">
        <f t="shared" si="8"/>
        <v>0</v>
      </c>
      <c r="G58" s="117" t="s">
        <v>43</v>
      </c>
      <c r="H58" s="117" t="s">
        <v>43</v>
      </c>
    </row>
    <row r="59" spans="1:8" hidden="1" x14ac:dyDescent="0.25">
      <c r="A59" s="1" t="s">
        <v>57</v>
      </c>
      <c r="B59" s="61">
        <f>'Расчет номинала'!J14</f>
        <v>0</v>
      </c>
      <c r="C59" s="61">
        <f>'Расчет нормативной стоимости'!K$7</f>
        <v>265.49</v>
      </c>
      <c r="D59" s="62"/>
      <c r="E59" s="62"/>
      <c r="F59" s="63">
        <f t="shared" si="8"/>
        <v>0</v>
      </c>
      <c r="G59" s="117" t="s">
        <v>43</v>
      </c>
      <c r="H59" s="117" t="s">
        <v>43</v>
      </c>
    </row>
    <row r="60" spans="1:8" hidden="1" x14ac:dyDescent="0.25">
      <c r="A60" s="55" t="s">
        <v>47</v>
      </c>
      <c r="B60" s="56" t="s">
        <v>43</v>
      </c>
      <c r="C60" s="56" t="s">
        <v>43</v>
      </c>
      <c r="D60" s="64">
        <f t="shared" ref="D60:F60" si="9">SUM(D54:D59)</f>
        <v>0</v>
      </c>
      <c r="E60" s="64">
        <f t="shared" si="9"/>
        <v>0</v>
      </c>
      <c r="F60" s="65">
        <f t="shared" si="9"/>
        <v>0</v>
      </c>
      <c r="G60" s="117" t="s">
        <v>43</v>
      </c>
      <c r="H60" s="117" t="s">
        <v>43</v>
      </c>
    </row>
    <row r="61" spans="1:8" ht="47.25" hidden="1" x14ac:dyDescent="0.25">
      <c r="A61" s="116" t="s">
        <v>96</v>
      </c>
      <c r="B61" s="229" t="s">
        <v>97</v>
      </c>
      <c r="C61" s="230"/>
      <c r="D61" s="231"/>
      <c r="E61" s="121"/>
      <c r="F61" s="117" t="s">
        <v>43</v>
      </c>
      <c r="G61" s="117" t="s">
        <v>43</v>
      </c>
      <c r="H61" s="52" t="s">
        <v>102</v>
      </c>
    </row>
    <row r="62" spans="1:8" hidden="1" x14ac:dyDescent="0.25">
      <c r="A62" s="116" t="s">
        <v>92</v>
      </c>
      <c r="B62" s="232" t="s">
        <v>95</v>
      </c>
      <c r="C62" s="232"/>
      <c r="D62" s="120"/>
      <c r="E62" s="233" t="s">
        <v>93</v>
      </c>
      <c r="F62" s="234"/>
      <c r="G62" s="120"/>
      <c r="H62" s="118">
        <f>D52-G52</f>
        <v>0</v>
      </c>
    </row>
    <row r="63" spans="1:8" hidden="1" x14ac:dyDescent="0.25"/>
    <row r="64" spans="1:8" ht="63.75" hidden="1" customHeight="1" x14ac:dyDescent="0.25">
      <c r="A64" s="126" t="str">
        <f>'Расчет номинала'!L4</f>
        <v>Организация 6</v>
      </c>
      <c r="B64" s="227" t="s">
        <v>108</v>
      </c>
      <c r="C64" s="228"/>
      <c r="D64" s="63">
        <f>'Расчет номинала'!L$16</f>
        <v>0</v>
      </c>
      <c r="E64" s="227" t="s">
        <v>109</v>
      </c>
      <c r="F64" s="228"/>
      <c r="G64" s="63">
        <f>IF(D74=0,F72+E73,F72+D74+G74)</f>
        <v>0</v>
      </c>
      <c r="H64" s="124"/>
    </row>
    <row r="65" spans="1:8" ht="63" hidden="1" x14ac:dyDescent="0.25">
      <c r="A65" s="52" t="s">
        <v>26</v>
      </c>
      <c r="B65" s="52" t="s">
        <v>46</v>
      </c>
      <c r="C65" s="52" t="s">
        <v>49</v>
      </c>
      <c r="D65" s="53" t="s">
        <v>89</v>
      </c>
      <c r="E65" s="53" t="s">
        <v>90</v>
      </c>
      <c r="F65" s="115" t="s">
        <v>91</v>
      </c>
      <c r="G65" s="117" t="s">
        <v>43</v>
      </c>
      <c r="H65" s="117" t="s">
        <v>43</v>
      </c>
    </row>
    <row r="66" spans="1:8" hidden="1" x14ac:dyDescent="0.25">
      <c r="A66" s="54" t="s">
        <v>9</v>
      </c>
      <c r="B66" s="61">
        <f>'Расчет номинала'!L$9</f>
        <v>0</v>
      </c>
      <c r="C66" s="61">
        <f>'Расчет нормативной стоимости'!F$7</f>
        <v>265.49</v>
      </c>
      <c r="D66" s="62"/>
      <c r="E66" s="62"/>
      <c r="F66" s="63">
        <f>(D66+E66)*B66</f>
        <v>0</v>
      </c>
      <c r="G66" s="117" t="s">
        <v>43</v>
      </c>
      <c r="H66" s="117" t="s">
        <v>43</v>
      </c>
    </row>
    <row r="67" spans="1:8" hidden="1" x14ac:dyDescent="0.25">
      <c r="A67" s="54" t="s">
        <v>10</v>
      </c>
      <c r="B67" s="61">
        <f>'Расчет номинала'!L10</f>
        <v>0</v>
      </c>
      <c r="C67" s="61">
        <f>'Расчет нормативной стоимости'!G$7</f>
        <v>265.49</v>
      </c>
      <c r="D67" s="62"/>
      <c r="E67" s="62"/>
      <c r="F67" s="63">
        <f t="shared" ref="F67:F71" si="10">(D67+E67)*B67</f>
        <v>0</v>
      </c>
      <c r="G67" s="117" t="s">
        <v>43</v>
      </c>
      <c r="H67" s="117" t="s">
        <v>43</v>
      </c>
    </row>
    <row r="68" spans="1:8" hidden="1" x14ac:dyDescent="0.25">
      <c r="A68" s="54" t="s">
        <v>11</v>
      </c>
      <c r="B68" s="61">
        <f>'Расчет номинала'!L11</f>
        <v>0</v>
      </c>
      <c r="C68" s="61">
        <f>'Расчет нормативной стоимости'!H$7</f>
        <v>265.49</v>
      </c>
      <c r="D68" s="62"/>
      <c r="E68" s="62"/>
      <c r="F68" s="63">
        <f t="shared" si="10"/>
        <v>0</v>
      </c>
      <c r="G68" s="117" t="s">
        <v>43</v>
      </c>
      <c r="H68" s="117" t="s">
        <v>43</v>
      </c>
    </row>
    <row r="69" spans="1:8" hidden="1" x14ac:dyDescent="0.25">
      <c r="A69" s="54" t="s">
        <v>12</v>
      </c>
      <c r="B69" s="61">
        <f>'Расчет номинала'!L12</f>
        <v>0</v>
      </c>
      <c r="C69" s="61">
        <f>'Расчет нормативной стоимости'!I$7</f>
        <v>0</v>
      </c>
      <c r="D69" s="62"/>
      <c r="E69" s="62"/>
      <c r="F69" s="63">
        <f t="shared" si="10"/>
        <v>0</v>
      </c>
      <c r="G69" s="117" t="s">
        <v>43</v>
      </c>
      <c r="H69" s="117" t="s">
        <v>43</v>
      </c>
    </row>
    <row r="70" spans="1:8" hidden="1" x14ac:dyDescent="0.25">
      <c r="A70" s="54" t="s">
        <v>13</v>
      </c>
      <c r="B70" s="61">
        <f>'Расчет номинала'!L13</f>
        <v>0</v>
      </c>
      <c r="C70" s="61">
        <f>'Расчет нормативной стоимости'!J$7</f>
        <v>0</v>
      </c>
      <c r="D70" s="62"/>
      <c r="E70" s="62"/>
      <c r="F70" s="63">
        <f t="shared" si="10"/>
        <v>0</v>
      </c>
      <c r="G70" s="117" t="s">
        <v>43</v>
      </c>
      <c r="H70" s="117" t="s">
        <v>43</v>
      </c>
    </row>
    <row r="71" spans="1:8" hidden="1" x14ac:dyDescent="0.25">
      <c r="A71" s="1" t="s">
        <v>57</v>
      </c>
      <c r="B71" s="61">
        <f>'Расчет номинала'!L14</f>
        <v>0</v>
      </c>
      <c r="C71" s="61">
        <f>'Расчет нормативной стоимости'!K$7</f>
        <v>265.49</v>
      </c>
      <c r="D71" s="62"/>
      <c r="E71" s="62"/>
      <c r="F71" s="63">
        <f t="shared" si="10"/>
        <v>0</v>
      </c>
      <c r="G71" s="117" t="s">
        <v>43</v>
      </c>
      <c r="H71" s="117" t="s">
        <v>43</v>
      </c>
    </row>
    <row r="72" spans="1:8" hidden="1" x14ac:dyDescent="0.25">
      <c r="A72" s="55" t="s">
        <v>47</v>
      </c>
      <c r="B72" s="56" t="s">
        <v>43</v>
      </c>
      <c r="C72" s="56" t="s">
        <v>43</v>
      </c>
      <c r="D72" s="64">
        <f t="shared" ref="D72:F72" si="11">SUM(D66:D71)</f>
        <v>0</v>
      </c>
      <c r="E72" s="64">
        <f t="shared" si="11"/>
        <v>0</v>
      </c>
      <c r="F72" s="65">
        <f t="shared" si="11"/>
        <v>0</v>
      </c>
      <c r="G72" s="117" t="s">
        <v>43</v>
      </c>
      <c r="H72" s="117" t="s">
        <v>43</v>
      </c>
    </row>
    <row r="73" spans="1:8" ht="47.25" hidden="1" x14ac:dyDescent="0.25">
      <c r="A73" s="116" t="s">
        <v>96</v>
      </c>
      <c r="B73" s="229" t="s">
        <v>97</v>
      </c>
      <c r="C73" s="230"/>
      <c r="D73" s="231"/>
      <c r="E73" s="121"/>
      <c r="F73" s="117" t="s">
        <v>43</v>
      </c>
      <c r="G73" s="117" t="s">
        <v>43</v>
      </c>
      <c r="H73" s="52" t="s">
        <v>102</v>
      </c>
    </row>
    <row r="74" spans="1:8" hidden="1" x14ac:dyDescent="0.25">
      <c r="A74" s="116" t="s">
        <v>92</v>
      </c>
      <c r="B74" s="232" t="s">
        <v>95</v>
      </c>
      <c r="C74" s="232"/>
      <c r="D74" s="120"/>
      <c r="E74" s="233" t="s">
        <v>93</v>
      </c>
      <c r="F74" s="234"/>
      <c r="G74" s="120"/>
      <c r="H74" s="118">
        <f>D64-G64</f>
        <v>0</v>
      </c>
    </row>
    <row r="75" spans="1:8" hidden="1" x14ac:dyDescent="0.25"/>
    <row r="76" spans="1:8" ht="62.25" hidden="1" customHeight="1" x14ac:dyDescent="0.25">
      <c r="A76" s="126" t="str">
        <f>'Расчет номинала'!N4</f>
        <v>Организация 7</v>
      </c>
      <c r="B76" s="227" t="s">
        <v>108</v>
      </c>
      <c r="C76" s="228"/>
      <c r="D76" s="63">
        <f>'Расчет номинала'!N$16</f>
        <v>0</v>
      </c>
      <c r="E76" s="227" t="s">
        <v>109</v>
      </c>
      <c r="F76" s="228"/>
      <c r="G76" s="63">
        <f>IF(D86=0,F84+E85,F84+D86+G86)</f>
        <v>0</v>
      </c>
      <c r="H76" s="124"/>
    </row>
    <row r="77" spans="1:8" ht="63" hidden="1" x14ac:dyDescent="0.25">
      <c r="A77" s="52" t="s">
        <v>26</v>
      </c>
      <c r="B77" s="52" t="s">
        <v>46</v>
      </c>
      <c r="C77" s="52" t="s">
        <v>49</v>
      </c>
      <c r="D77" s="53" t="s">
        <v>89</v>
      </c>
      <c r="E77" s="53" t="s">
        <v>90</v>
      </c>
      <c r="F77" s="115" t="s">
        <v>91</v>
      </c>
      <c r="G77" s="117" t="s">
        <v>43</v>
      </c>
      <c r="H77" s="117" t="s">
        <v>43</v>
      </c>
    </row>
    <row r="78" spans="1:8" hidden="1" x14ac:dyDescent="0.25">
      <c r="A78" s="54" t="s">
        <v>9</v>
      </c>
      <c r="B78" s="61">
        <f>'Расчет номинала'!N$9</f>
        <v>0</v>
      </c>
      <c r="C78" s="61">
        <f>'Расчет нормативной стоимости'!F$7</f>
        <v>265.49</v>
      </c>
      <c r="D78" s="62"/>
      <c r="E78" s="62"/>
      <c r="F78" s="63">
        <f>(D78+E78)*B78</f>
        <v>0</v>
      </c>
      <c r="G78" s="117" t="s">
        <v>43</v>
      </c>
      <c r="H78" s="117" t="s">
        <v>43</v>
      </c>
    </row>
    <row r="79" spans="1:8" hidden="1" x14ac:dyDescent="0.25">
      <c r="A79" s="54" t="s">
        <v>10</v>
      </c>
      <c r="B79" s="61">
        <f>'Расчет номинала'!N10</f>
        <v>0</v>
      </c>
      <c r="C79" s="61">
        <f>'Расчет нормативной стоимости'!G$7</f>
        <v>265.49</v>
      </c>
      <c r="D79" s="62"/>
      <c r="E79" s="62"/>
      <c r="F79" s="63">
        <f t="shared" ref="F79:F83" si="12">(D79+E79)*B79</f>
        <v>0</v>
      </c>
      <c r="G79" s="117" t="s">
        <v>43</v>
      </c>
      <c r="H79" s="117" t="s">
        <v>43</v>
      </c>
    </row>
    <row r="80" spans="1:8" hidden="1" x14ac:dyDescent="0.25">
      <c r="A80" s="54" t="s">
        <v>11</v>
      </c>
      <c r="B80" s="61">
        <f>'Расчет номинала'!N11</f>
        <v>0</v>
      </c>
      <c r="C80" s="61">
        <f>'Расчет нормативной стоимости'!H$7</f>
        <v>265.49</v>
      </c>
      <c r="D80" s="62"/>
      <c r="E80" s="62"/>
      <c r="F80" s="63">
        <f t="shared" si="12"/>
        <v>0</v>
      </c>
      <c r="G80" s="117" t="s">
        <v>43</v>
      </c>
      <c r="H80" s="117" t="s">
        <v>43</v>
      </c>
    </row>
    <row r="81" spans="1:8" hidden="1" x14ac:dyDescent="0.25">
      <c r="A81" s="54" t="s">
        <v>12</v>
      </c>
      <c r="B81" s="61">
        <f>'Расчет номинала'!N12</f>
        <v>0</v>
      </c>
      <c r="C81" s="61">
        <f>'Расчет нормативной стоимости'!I$7</f>
        <v>0</v>
      </c>
      <c r="D81" s="62"/>
      <c r="E81" s="62"/>
      <c r="F81" s="63">
        <f t="shared" si="12"/>
        <v>0</v>
      </c>
      <c r="G81" s="117" t="s">
        <v>43</v>
      </c>
      <c r="H81" s="117" t="s">
        <v>43</v>
      </c>
    </row>
    <row r="82" spans="1:8" hidden="1" x14ac:dyDescent="0.25">
      <c r="A82" s="54" t="s">
        <v>13</v>
      </c>
      <c r="B82" s="61">
        <f>'Расчет номинала'!N13</f>
        <v>0</v>
      </c>
      <c r="C82" s="61">
        <f>'Расчет нормативной стоимости'!J$7</f>
        <v>0</v>
      </c>
      <c r="D82" s="62"/>
      <c r="E82" s="62"/>
      <c r="F82" s="63">
        <f t="shared" si="12"/>
        <v>0</v>
      </c>
      <c r="G82" s="117" t="s">
        <v>43</v>
      </c>
      <c r="H82" s="117" t="s">
        <v>43</v>
      </c>
    </row>
    <row r="83" spans="1:8" hidden="1" x14ac:dyDescent="0.25">
      <c r="A83" s="1" t="s">
        <v>57</v>
      </c>
      <c r="B83" s="61">
        <f>'Расчет номинала'!N14</f>
        <v>0</v>
      </c>
      <c r="C83" s="61">
        <f>'Расчет нормативной стоимости'!K$7</f>
        <v>265.49</v>
      </c>
      <c r="D83" s="62"/>
      <c r="E83" s="62"/>
      <c r="F83" s="63">
        <f t="shared" si="12"/>
        <v>0</v>
      </c>
      <c r="G83" s="117" t="s">
        <v>43</v>
      </c>
      <c r="H83" s="117" t="s">
        <v>43</v>
      </c>
    </row>
    <row r="84" spans="1:8" hidden="1" x14ac:dyDescent="0.25">
      <c r="A84" s="55" t="s">
        <v>47</v>
      </c>
      <c r="B84" s="56" t="s">
        <v>43</v>
      </c>
      <c r="C84" s="56" t="s">
        <v>43</v>
      </c>
      <c r="D84" s="64">
        <f t="shared" ref="D84:F84" si="13">SUM(D78:D83)</f>
        <v>0</v>
      </c>
      <c r="E84" s="64">
        <f t="shared" si="13"/>
        <v>0</v>
      </c>
      <c r="F84" s="65">
        <f t="shared" si="13"/>
        <v>0</v>
      </c>
      <c r="G84" s="117" t="s">
        <v>43</v>
      </c>
      <c r="H84" s="117" t="s">
        <v>43</v>
      </c>
    </row>
    <row r="85" spans="1:8" ht="47.25" hidden="1" x14ac:dyDescent="0.25">
      <c r="A85" s="116" t="s">
        <v>96</v>
      </c>
      <c r="B85" s="229" t="s">
        <v>97</v>
      </c>
      <c r="C85" s="230"/>
      <c r="D85" s="231"/>
      <c r="E85" s="121"/>
      <c r="F85" s="117" t="s">
        <v>43</v>
      </c>
      <c r="G85" s="117" t="s">
        <v>43</v>
      </c>
      <c r="H85" s="52" t="s">
        <v>102</v>
      </c>
    </row>
    <row r="86" spans="1:8" hidden="1" x14ac:dyDescent="0.25">
      <c r="A86" s="116" t="s">
        <v>92</v>
      </c>
      <c r="B86" s="232" t="s">
        <v>95</v>
      </c>
      <c r="C86" s="232"/>
      <c r="D86" s="120"/>
      <c r="E86" s="233" t="s">
        <v>93</v>
      </c>
      <c r="F86" s="234"/>
      <c r="G86" s="120"/>
      <c r="H86" s="118">
        <f>D76-G76</f>
        <v>0</v>
      </c>
    </row>
    <row r="87" spans="1:8" hidden="1" x14ac:dyDescent="0.25"/>
    <row r="88" spans="1:8" ht="67.5" hidden="1" customHeight="1" x14ac:dyDescent="0.25">
      <c r="A88" s="126" t="str">
        <f>'Расчет номинала'!P4</f>
        <v>Организация 8</v>
      </c>
      <c r="B88" s="227" t="s">
        <v>108</v>
      </c>
      <c r="C88" s="228"/>
      <c r="D88" s="63">
        <f>'Расчет номинала'!P$16</f>
        <v>0</v>
      </c>
      <c r="E88" s="227" t="s">
        <v>109</v>
      </c>
      <c r="F88" s="228"/>
      <c r="G88" s="63">
        <f>IF(D98=0,F96+E97,F96+D98+G98)</f>
        <v>0</v>
      </c>
      <c r="H88" s="124"/>
    </row>
    <row r="89" spans="1:8" ht="63" hidden="1" x14ac:dyDescent="0.25">
      <c r="A89" s="52" t="s">
        <v>26</v>
      </c>
      <c r="B89" s="52" t="s">
        <v>46</v>
      </c>
      <c r="C89" s="52" t="s">
        <v>49</v>
      </c>
      <c r="D89" s="53" t="s">
        <v>89</v>
      </c>
      <c r="E89" s="53" t="s">
        <v>90</v>
      </c>
      <c r="F89" s="115" t="s">
        <v>91</v>
      </c>
      <c r="G89" s="117" t="s">
        <v>43</v>
      </c>
      <c r="H89" s="117" t="s">
        <v>43</v>
      </c>
    </row>
    <row r="90" spans="1:8" hidden="1" x14ac:dyDescent="0.25">
      <c r="A90" s="54" t="s">
        <v>9</v>
      </c>
      <c r="B90" s="61">
        <f>'Расчет номинала'!P$9</f>
        <v>0</v>
      </c>
      <c r="C90" s="61">
        <f>'Расчет нормативной стоимости'!F$7</f>
        <v>265.49</v>
      </c>
      <c r="D90" s="62"/>
      <c r="E90" s="62"/>
      <c r="F90" s="63">
        <f>(D90+E90)*B90</f>
        <v>0</v>
      </c>
      <c r="G90" s="117" t="s">
        <v>43</v>
      </c>
      <c r="H90" s="117" t="s">
        <v>43</v>
      </c>
    </row>
    <row r="91" spans="1:8" hidden="1" x14ac:dyDescent="0.25">
      <c r="A91" s="54" t="s">
        <v>10</v>
      </c>
      <c r="B91" s="61">
        <f>'Расчет номинала'!P10</f>
        <v>0</v>
      </c>
      <c r="C91" s="61">
        <f>'Расчет нормативной стоимости'!G$7</f>
        <v>265.49</v>
      </c>
      <c r="D91" s="62"/>
      <c r="E91" s="62"/>
      <c r="F91" s="63">
        <f t="shared" ref="F91:F95" si="14">(D91+E91)*B91</f>
        <v>0</v>
      </c>
      <c r="G91" s="117" t="s">
        <v>43</v>
      </c>
      <c r="H91" s="117" t="s">
        <v>43</v>
      </c>
    </row>
    <row r="92" spans="1:8" hidden="1" x14ac:dyDescent="0.25">
      <c r="A92" s="54" t="s">
        <v>11</v>
      </c>
      <c r="B92" s="61">
        <f>'Расчет номинала'!P11</f>
        <v>0</v>
      </c>
      <c r="C92" s="61">
        <f>'Расчет нормативной стоимости'!H$7</f>
        <v>265.49</v>
      </c>
      <c r="D92" s="62"/>
      <c r="E92" s="62"/>
      <c r="F92" s="63">
        <f t="shared" si="14"/>
        <v>0</v>
      </c>
      <c r="G92" s="117" t="s">
        <v>43</v>
      </c>
      <c r="H92" s="117" t="s">
        <v>43</v>
      </c>
    </row>
    <row r="93" spans="1:8" hidden="1" x14ac:dyDescent="0.25">
      <c r="A93" s="54" t="s">
        <v>12</v>
      </c>
      <c r="B93" s="61">
        <f>'Расчет номинала'!P12</f>
        <v>0</v>
      </c>
      <c r="C93" s="61">
        <f>'Расчет нормативной стоимости'!I$7</f>
        <v>0</v>
      </c>
      <c r="D93" s="62"/>
      <c r="E93" s="62"/>
      <c r="F93" s="63">
        <f t="shared" si="14"/>
        <v>0</v>
      </c>
      <c r="G93" s="117" t="s">
        <v>43</v>
      </c>
      <c r="H93" s="117" t="s">
        <v>43</v>
      </c>
    </row>
    <row r="94" spans="1:8" hidden="1" x14ac:dyDescent="0.25">
      <c r="A94" s="54" t="s">
        <v>13</v>
      </c>
      <c r="B94" s="61">
        <f>'Расчет номинала'!P13</f>
        <v>0</v>
      </c>
      <c r="C94" s="61">
        <f>'Расчет нормативной стоимости'!J$7</f>
        <v>0</v>
      </c>
      <c r="D94" s="62"/>
      <c r="E94" s="62"/>
      <c r="F94" s="63">
        <f t="shared" si="14"/>
        <v>0</v>
      </c>
      <c r="G94" s="117" t="s">
        <v>43</v>
      </c>
      <c r="H94" s="117" t="s">
        <v>43</v>
      </c>
    </row>
    <row r="95" spans="1:8" hidden="1" x14ac:dyDescent="0.25">
      <c r="A95" s="1" t="s">
        <v>57</v>
      </c>
      <c r="B95" s="61">
        <f>'Расчет номинала'!P14</f>
        <v>0</v>
      </c>
      <c r="C95" s="61">
        <f>'Расчет нормативной стоимости'!K$7</f>
        <v>265.49</v>
      </c>
      <c r="D95" s="62"/>
      <c r="E95" s="62"/>
      <c r="F95" s="63">
        <f t="shared" si="14"/>
        <v>0</v>
      </c>
      <c r="G95" s="117" t="s">
        <v>43</v>
      </c>
      <c r="H95" s="117" t="s">
        <v>43</v>
      </c>
    </row>
    <row r="96" spans="1:8" hidden="1" x14ac:dyDescent="0.25">
      <c r="A96" s="55" t="s">
        <v>47</v>
      </c>
      <c r="B96" s="56" t="s">
        <v>43</v>
      </c>
      <c r="C96" s="56" t="s">
        <v>43</v>
      </c>
      <c r="D96" s="64">
        <f t="shared" ref="D96:F96" si="15">SUM(D90:D95)</f>
        <v>0</v>
      </c>
      <c r="E96" s="64">
        <f t="shared" si="15"/>
        <v>0</v>
      </c>
      <c r="F96" s="65">
        <f t="shared" si="15"/>
        <v>0</v>
      </c>
      <c r="G96" s="117" t="s">
        <v>43</v>
      </c>
      <c r="H96" s="117" t="s">
        <v>43</v>
      </c>
    </row>
    <row r="97" spans="1:8" ht="47.25" hidden="1" x14ac:dyDescent="0.25">
      <c r="A97" s="116" t="s">
        <v>96</v>
      </c>
      <c r="B97" s="229" t="s">
        <v>97</v>
      </c>
      <c r="C97" s="230"/>
      <c r="D97" s="231"/>
      <c r="E97" s="121"/>
      <c r="F97" s="117" t="s">
        <v>43</v>
      </c>
      <c r="G97" s="117" t="s">
        <v>43</v>
      </c>
      <c r="H97" s="52" t="s">
        <v>102</v>
      </c>
    </row>
    <row r="98" spans="1:8" hidden="1" x14ac:dyDescent="0.25">
      <c r="A98" s="116" t="s">
        <v>92</v>
      </c>
      <c r="B98" s="232" t="s">
        <v>95</v>
      </c>
      <c r="C98" s="232"/>
      <c r="D98" s="120"/>
      <c r="E98" s="233" t="s">
        <v>93</v>
      </c>
      <c r="F98" s="234"/>
      <c r="G98" s="120"/>
      <c r="H98" s="118">
        <f>D88-G88</f>
        <v>0</v>
      </c>
    </row>
    <row r="99" spans="1:8" hidden="1" x14ac:dyDescent="0.25"/>
    <row r="100" spans="1:8" ht="64.5" hidden="1" customHeight="1" x14ac:dyDescent="0.25">
      <c r="A100" s="126" t="str">
        <f>'Расчет номинала'!R4</f>
        <v>Организация 9</v>
      </c>
      <c r="B100" s="227" t="s">
        <v>108</v>
      </c>
      <c r="C100" s="228"/>
      <c r="D100" s="63">
        <f>'Расчет номинала'!R$16</f>
        <v>0</v>
      </c>
      <c r="E100" s="227" t="s">
        <v>109</v>
      </c>
      <c r="F100" s="228"/>
      <c r="G100" s="63">
        <f>IF(D110=0,F108+E109,F108+D110+G110)</f>
        <v>0</v>
      </c>
      <c r="H100" s="124"/>
    </row>
    <row r="101" spans="1:8" ht="63" hidden="1" x14ac:dyDescent="0.25">
      <c r="A101" s="52" t="s">
        <v>26</v>
      </c>
      <c r="B101" s="52" t="s">
        <v>46</v>
      </c>
      <c r="C101" s="52" t="s">
        <v>49</v>
      </c>
      <c r="D101" s="53" t="s">
        <v>89</v>
      </c>
      <c r="E101" s="53" t="s">
        <v>90</v>
      </c>
      <c r="F101" s="115" t="s">
        <v>91</v>
      </c>
      <c r="G101" s="117" t="s">
        <v>43</v>
      </c>
      <c r="H101" s="117" t="s">
        <v>43</v>
      </c>
    </row>
    <row r="102" spans="1:8" hidden="1" x14ac:dyDescent="0.25">
      <c r="A102" s="54" t="s">
        <v>9</v>
      </c>
      <c r="B102" s="61">
        <f>'Расчет номинала'!R$9</f>
        <v>0</v>
      </c>
      <c r="C102" s="61">
        <f>'Расчет нормативной стоимости'!F$7</f>
        <v>265.49</v>
      </c>
      <c r="D102" s="62"/>
      <c r="E102" s="62"/>
      <c r="F102" s="63">
        <f>(D102+E102)*B102</f>
        <v>0</v>
      </c>
      <c r="G102" s="117" t="s">
        <v>43</v>
      </c>
      <c r="H102" s="117" t="s">
        <v>43</v>
      </c>
    </row>
    <row r="103" spans="1:8" hidden="1" x14ac:dyDescent="0.25">
      <c r="A103" s="54" t="s">
        <v>10</v>
      </c>
      <c r="B103" s="61">
        <f>'Расчет номинала'!R10</f>
        <v>0</v>
      </c>
      <c r="C103" s="61">
        <f>'Расчет нормативной стоимости'!G$7</f>
        <v>265.49</v>
      </c>
      <c r="D103" s="62"/>
      <c r="E103" s="62"/>
      <c r="F103" s="63">
        <f t="shared" ref="F103:F107" si="16">(D103+E103)*B103</f>
        <v>0</v>
      </c>
      <c r="G103" s="117" t="s">
        <v>43</v>
      </c>
      <c r="H103" s="117" t="s">
        <v>43</v>
      </c>
    </row>
    <row r="104" spans="1:8" hidden="1" x14ac:dyDescent="0.25">
      <c r="A104" s="54" t="s">
        <v>11</v>
      </c>
      <c r="B104" s="61">
        <f>'Расчет номинала'!R11</f>
        <v>0</v>
      </c>
      <c r="C104" s="61">
        <f>'Расчет нормативной стоимости'!H$7</f>
        <v>265.49</v>
      </c>
      <c r="D104" s="62"/>
      <c r="E104" s="62"/>
      <c r="F104" s="63">
        <f t="shared" si="16"/>
        <v>0</v>
      </c>
      <c r="G104" s="117" t="s">
        <v>43</v>
      </c>
      <c r="H104" s="117" t="s">
        <v>43</v>
      </c>
    </row>
    <row r="105" spans="1:8" hidden="1" x14ac:dyDescent="0.25">
      <c r="A105" s="54" t="s">
        <v>12</v>
      </c>
      <c r="B105" s="61">
        <f>'Расчет номинала'!R12</f>
        <v>0</v>
      </c>
      <c r="C105" s="61">
        <f>'Расчет нормативной стоимости'!I$7</f>
        <v>0</v>
      </c>
      <c r="D105" s="62"/>
      <c r="E105" s="62"/>
      <c r="F105" s="63">
        <f t="shared" si="16"/>
        <v>0</v>
      </c>
      <c r="G105" s="117" t="s">
        <v>43</v>
      </c>
      <c r="H105" s="117" t="s">
        <v>43</v>
      </c>
    </row>
    <row r="106" spans="1:8" hidden="1" x14ac:dyDescent="0.25">
      <c r="A106" s="54" t="s">
        <v>13</v>
      </c>
      <c r="B106" s="61">
        <f>'Расчет номинала'!R13</f>
        <v>0</v>
      </c>
      <c r="C106" s="61">
        <f>'Расчет нормативной стоимости'!J$7</f>
        <v>0</v>
      </c>
      <c r="D106" s="62"/>
      <c r="E106" s="62"/>
      <c r="F106" s="63">
        <f t="shared" si="16"/>
        <v>0</v>
      </c>
      <c r="G106" s="117" t="s">
        <v>43</v>
      </c>
      <c r="H106" s="117" t="s">
        <v>43</v>
      </c>
    </row>
    <row r="107" spans="1:8" hidden="1" x14ac:dyDescent="0.25">
      <c r="A107" s="1" t="s">
        <v>57</v>
      </c>
      <c r="B107" s="61">
        <f>'Расчет номинала'!R14</f>
        <v>0</v>
      </c>
      <c r="C107" s="61">
        <f>'Расчет нормативной стоимости'!K$7</f>
        <v>265.49</v>
      </c>
      <c r="D107" s="62"/>
      <c r="E107" s="62"/>
      <c r="F107" s="63">
        <f t="shared" si="16"/>
        <v>0</v>
      </c>
      <c r="G107" s="117" t="s">
        <v>43</v>
      </c>
      <c r="H107" s="117" t="s">
        <v>43</v>
      </c>
    </row>
    <row r="108" spans="1:8" hidden="1" x14ac:dyDescent="0.25">
      <c r="A108" s="55" t="s">
        <v>47</v>
      </c>
      <c r="B108" s="56" t="s">
        <v>43</v>
      </c>
      <c r="C108" s="56" t="s">
        <v>43</v>
      </c>
      <c r="D108" s="64">
        <f t="shared" ref="D108:F108" si="17">SUM(D102:D107)</f>
        <v>0</v>
      </c>
      <c r="E108" s="64">
        <f t="shared" si="17"/>
        <v>0</v>
      </c>
      <c r="F108" s="65">
        <f t="shared" si="17"/>
        <v>0</v>
      </c>
      <c r="G108" s="117" t="s">
        <v>43</v>
      </c>
      <c r="H108" s="117" t="s">
        <v>43</v>
      </c>
    </row>
    <row r="109" spans="1:8" ht="47.25" hidden="1" x14ac:dyDescent="0.25">
      <c r="A109" s="116" t="s">
        <v>96</v>
      </c>
      <c r="B109" s="229" t="s">
        <v>97</v>
      </c>
      <c r="C109" s="230"/>
      <c r="D109" s="231"/>
      <c r="E109" s="121"/>
      <c r="F109" s="117" t="s">
        <v>43</v>
      </c>
      <c r="G109" s="117" t="s">
        <v>43</v>
      </c>
      <c r="H109" s="52" t="s">
        <v>102</v>
      </c>
    </row>
    <row r="110" spans="1:8" hidden="1" x14ac:dyDescent="0.25">
      <c r="A110" s="116" t="s">
        <v>92</v>
      </c>
      <c r="B110" s="232" t="s">
        <v>95</v>
      </c>
      <c r="C110" s="232"/>
      <c r="D110" s="120"/>
      <c r="E110" s="233" t="s">
        <v>93</v>
      </c>
      <c r="F110" s="234"/>
      <c r="G110" s="120"/>
      <c r="H110" s="118">
        <f>D100-G100</f>
        <v>0</v>
      </c>
    </row>
    <row r="111" spans="1:8" hidden="1" x14ac:dyDescent="0.25"/>
    <row r="112" spans="1:8" ht="65.25" hidden="1" customHeight="1" x14ac:dyDescent="0.25">
      <c r="A112" s="126" t="str">
        <f>'Расчет номинала'!T4</f>
        <v>Организация 10</v>
      </c>
      <c r="B112" s="227" t="s">
        <v>108</v>
      </c>
      <c r="C112" s="228"/>
      <c r="D112" s="63">
        <f>'Расчет номинала'!T$16</f>
        <v>0</v>
      </c>
      <c r="E112" s="227" t="s">
        <v>109</v>
      </c>
      <c r="F112" s="228"/>
      <c r="G112" s="63">
        <f>IF(D122=0,F120+E121,F120+D122+G122)</f>
        <v>0</v>
      </c>
      <c r="H112" s="124"/>
    </row>
    <row r="113" spans="1:8" ht="63" hidden="1" x14ac:dyDescent="0.25">
      <c r="A113" s="52" t="s">
        <v>26</v>
      </c>
      <c r="B113" s="52" t="s">
        <v>46</v>
      </c>
      <c r="C113" s="52" t="s">
        <v>49</v>
      </c>
      <c r="D113" s="53" t="s">
        <v>89</v>
      </c>
      <c r="E113" s="53" t="s">
        <v>90</v>
      </c>
      <c r="F113" s="115" t="s">
        <v>91</v>
      </c>
      <c r="G113" s="117" t="s">
        <v>43</v>
      </c>
      <c r="H113" s="117" t="s">
        <v>43</v>
      </c>
    </row>
    <row r="114" spans="1:8" hidden="1" x14ac:dyDescent="0.25">
      <c r="A114" s="54" t="s">
        <v>9</v>
      </c>
      <c r="B114" s="61">
        <f>'Расчет номинала'!T$9</f>
        <v>0</v>
      </c>
      <c r="C114" s="61">
        <f>'Расчет нормативной стоимости'!F$7</f>
        <v>265.49</v>
      </c>
      <c r="D114" s="62"/>
      <c r="E114" s="62"/>
      <c r="F114" s="63">
        <f>(D114+E114)*B114</f>
        <v>0</v>
      </c>
      <c r="G114" s="117" t="s">
        <v>43</v>
      </c>
      <c r="H114" s="117" t="s">
        <v>43</v>
      </c>
    </row>
    <row r="115" spans="1:8" hidden="1" x14ac:dyDescent="0.25">
      <c r="A115" s="54" t="s">
        <v>10</v>
      </c>
      <c r="B115" s="61">
        <f>'Расчет номинала'!T10</f>
        <v>0</v>
      </c>
      <c r="C115" s="61">
        <f>'Расчет нормативной стоимости'!G$7</f>
        <v>265.49</v>
      </c>
      <c r="D115" s="62"/>
      <c r="E115" s="62"/>
      <c r="F115" s="63">
        <f t="shared" ref="F115:F119" si="18">(D115+E115)*B115</f>
        <v>0</v>
      </c>
      <c r="G115" s="117" t="s">
        <v>43</v>
      </c>
      <c r="H115" s="117" t="s">
        <v>43</v>
      </c>
    </row>
    <row r="116" spans="1:8" hidden="1" x14ac:dyDescent="0.25">
      <c r="A116" s="54" t="s">
        <v>11</v>
      </c>
      <c r="B116" s="61">
        <f>'Расчет номинала'!T11</f>
        <v>0</v>
      </c>
      <c r="C116" s="61">
        <f>'Расчет нормативной стоимости'!H$7</f>
        <v>265.49</v>
      </c>
      <c r="D116" s="62"/>
      <c r="E116" s="62"/>
      <c r="F116" s="63">
        <f t="shared" si="18"/>
        <v>0</v>
      </c>
      <c r="G116" s="117" t="s">
        <v>43</v>
      </c>
      <c r="H116" s="117" t="s">
        <v>43</v>
      </c>
    </row>
    <row r="117" spans="1:8" hidden="1" x14ac:dyDescent="0.25">
      <c r="A117" s="54" t="s">
        <v>12</v>
      </c>
      <c r="B117" s="61">
        <f>'Расчет номинала'!T12</f>
        <v>0</v>
      </c>
      <c r="C117" s="61">
        <f>'Расчет нормативной стоимости'!I$7</f>
        <v>0</v>
      </c>
      <c r="D117" s="62"/>
      <c r="E117" s="62"/>
      <c r="F117" s="63">
        <f t="shared" si="18"/>
        <v>0</v>
      </c>
      <c r="G117" s="117" t="s">
        <v>43</v>
      </c>
      <c r="H117" s="117" t="s">
        <v>43</v>
      </c>
    </row>
    <row r="118" spans="1:8" hidden="1" x14ac:dyDescent="0.25">
      <c r="A118" s="54" t="s">
        <v>13</v>
      </c>
      <c r="B118" s="61">
        <f>'Расчет номинала'!T13</f>
        <v>0</v>
      </c>
      <c r="C118" s="61">
        <f>'Расчет нормативной стоимости'!J$7</f>
        <v>0</v>
      </c>
      <c r="D118" s="62"/>
      <c r="E118" s="62"/>
      <c r="F118" s="63">
        <f t="shared" si="18"/>
        <v>0</v>
      </c>
      <c r="G118" s="117" t="s">
        <v>43</v>
      </c>
      <c r="H118" s="117" t="s">
        <v>43</v>
      </c>
    </row>
    <row r="119" spans="1:8" hidden="1" x14ac:dyDescent="0.25">
      <c r="A119" s="1" t="s">
        <v>57</v>
      </c>
      <c r="B119" s="61">
        <f>'Расчет номинала'!T14</f>
        <v>0</v>
      </c>
      <c r="C119" s="61">
        <f>'Расчет нормативной стоимости'!K$7</f>
        <v>265.49</v>
      </c>
      <c r="D119" s="62"/>
      <c r="E119" s="62"/>
      <c r="F119" s="63">
        <f t="shared" si="18"/>
        <v>0</v>
      </c>
      <c r="G119" s="117" t="s">
        <v>43</v>
      </c>
      <c r="H119" s="117" t="s">
        <v>43</v>
      </c>
    </row>
    <row r="120" spans="1:8" hidden="1" x14ac:dyDescent="0.25">
      <c r="A120" s="55" t="s">
        <v>47</v>
      </c>
      <c r="B120" s="56" t="s">
        <v>43</v>
      </c>
      <c r="C120" s="56" t="s">
        <v>43</v>
      </c>
      <c r="D120" s="64">
        <f t="shared" ref="D120:F120" si="19">SUM(D114:D119)</f>
        <v>0</v>
      </c>
      <c r="E120" s="64">
        <f t="shared" si="19"/>
        <v>0</v>
      </c>
      <c r="F120" s="65">
        <f t="shared" si="19"/>
        <v>0</v>
      </c>
      <c r="G120" s="117" t="s">
        <v>43</v>
      </c>
      <c r="H120" s="117" t="s">
        <v>43</v>
      </c>
    </row>
    <row r="121" spans="1:8" ht="47.25" hidden="1" x14ac:dyDescent="0.25">
      <c r="A121" s="116" t="s">
        <v>96</v>
      </c>
      <c r="B121" s="229" t="s">
        <v>97</v>
      </c>
      <c r="C121" s="230"/>
      <c r="D121" s="231"/>
      <c r="E121" s="121"/>
      <c r="F121" s="117" t="s">
        <v>43</v>
      </c>
      <c r="G121" s="117" t="s">
        <v>43</v>
      </c>
      <c r="H121" s="52" t="s">
        <v>102</v>
      </c>
    </row>
    <row r="122" spans="1:8" hidden="1" x14ac:dyDescent="0.25">
      <c r="A122" s="116" t="s">
        <v>92</v>
      </c>
      <c r="B122" s="232" t="s">
        <v>95</v>
      </c>
      <c r="C122" s="232"/>
      <c r="D122" s="120"/>
      <c r="E122" s="233" t="s">
        <v>93</v>
      </c>
      <c r="F122" s="234"/>
      <c r="G122" s="120"/>
      <c r="H122" s="118">
        <f>D112-G112</f>
        <v>0</v>
      </c>
    </row>
    <row r="123" spans="1:8" hidden="1" x14ac:dyDescent="0.25"/>
    <row r="124" spans="1:8" ht="65.25" hidden="1" customHeight="1" x14ac:dyDescent="0.25">
      <c r="A124" s="126" t="str">
        <f>'Расчет номинала'!V4</f>
        <v>Организация 11</v>
      </c>
      <c r="B124" s="227" t="s">
        <v>108</v>
      </c>
      <c r="C124" s="228"/>
      <c r="D124" s="63">
        <f>'Расчет номинала'!V$16</f>
        <v>0</v>
      </c>
      <c r="E124" s="227" t="s">
        <v>109</v>
      </c>
      <c r="F124" s="228"/>
      <c r="G124" s="63">
        <f>IF(D134=0,F132+E133,F132+D134+G134)</f>
        <v>0</v>
      </c>
      <c r="H124" s="124"/>
    </row>
    <row r="125" spans="1:8" ht="63" hidden="1" x14ac:dyDescent="0.25">
      <c r="A125" s="52" t="s">
        <v>26</v>
      </c>
      <c r="B125" s="52" t="s">
        <v>46</v>
      </c>
      <c r="C125" s="52" t="s">
        <v>49</v>
      </c>
      <c r="D125" s="53" t="s">
        <v>89</v>
      </c>
      <c r="E125" s="53" t="s">
        <v>90</v>
      </c>
      <c r="F125" s="115" t="s">
        <v>91</v>
      </c>
      <c r="G125" s="117" t="s">
        <v>43</v>
      </c>
      <c r="H125" s="117" t="s">
        <v>43</v>
      </c>
    </row>
    <row r="126" spans="1:8" hidden="1" x14ac:dyDescent="0.25">
      <c r="A126" s="54" t="s">
        <v>9</v>
      </c>
      <c r="B126" s="61">
        <f>'Расчет номинала'!V$9</f>
        <v>0</v>
      </c>
      <c r="C126" s="61">
        <f>'Расчет нормативной стоимости'!F$7</f>
        <v>265.49</v>
      </c>
      <c r="D126" s="62"/>
      <c r="E126" s="62"/>
      <c r="F126" s="63">
        <f>(D126+E126)*B126</f>
        <v>0</v>
      </c>
      <c r="G126" s="117" t="s">
        <v>43</v>
      </c>
      <c r="H126" s="117" t="s">
        <v>43</v>
      </c>
    </row>
    <row r="127" spans="1:8" hidden="1" x14ac:dyDescent="0.25">
      <c r="A127" s="54" t="s">
        <v>10</v>
      </c>
      <c r="B127" s="61">
        <f>'Расчет номинала'!V10</f>
        <v>0</v>
      </c>
      <c r="C127" s="61">
        <f>'Расчет нормативной стоимости'!G$7</f>
        <v>265.49</v>
      </c>
      <c r="D127" s="62"/>
      <c r="E127" s="62"/>
      <c r="F127" s="63">
        <f t="shared" ref="F127:F131" si="20">(D127+E127)*B127</f>
        <v>0</v>
      </c>
      <c r="G127" s="117" t="s">
        <v>43</v>
      </c>
      <c r="H127" s="117" t="s">
        <v>43</v>
      </c>
    </row>
    <row r="128" spans="1:8" hidden="1" x14ac:dyDescent="0.25">
      <c r="A128" s="54" t="s">
        <v>11</v>
      </c>
      <c r="B128" s="61">
        <f>'Расчет номинала'!V11</f>
        <v>0</v>
      </c>
      <c r="C128" s="61">
        <f>'Расчет нормативной стоимости'!H$7</f>
        <v>265.49</v>
      </c>
      <c r="D128" s="62"/>
      <c r="E128" s="62"/>
      <c r="F128" s="63">
        <f t="shared" si="20"/>
        <v>0</v>
      </c>
      <c r="G128" s="117" t="s">
        <v>43</v>
      </c>
      <c r="H128" s="117" t="s">
        <v>43</v>
      </c>
    </row>
    <row r="129" spans="1:8" hidden="1" x14ac:dyDescent="0.25">
      <c r="A129" s="54" t="s">
        <v>12</v>
      </c>
      <c r="B129" s="61">
        <f>'Расчет номинала'!V12</f>
        <v>0</v>
      </c>
      <c r="C129" s="61">
        <f>'Расчет нормативной стоимости'!I$7</f>
        <v>0</v>
      </c>
      <c r="D129" s="62"/>
      <c r="E129" s="62"/>
      <c r="F129" s="63">
        <f t="shared" si="20"/>
        <v>0</v>
      </c>
      <c r="G129" s="117" t="s">
        <v>43</v>
      </c>
      <c r="H129" s="117" t="s">
        <v>43</v>
      </c>
    </row>
    <row r="130" spans="1:8" hidden="1" x14ac:dyDescent="0.25">
      <c r="A130" s="54" t="s">
        <v>13</v>
      </c>
      <c r="B130" s="61">
        <f>'Расчет номинала'!V13</f>
        <v>0</v>
      </c>
      <c r="C130" s="61">
        <f>'Расчет нормативной стоимости'!J$7</f>
        <v>0</v>
      </c>
      <c r="D130" s="62"/>
      <c r="E130" s="62"/>
      <c r="F130" s="63">
        <f t="shared" si="20"/>
        <v>0</v>
      </c>
      <c r="G130" s="117" t="s">
        <v>43</v>
      </c>
      <c r="H130" s="117" t="s">
        <v>43</v>
      </c>
    </row>
    <row r="131" spans="1:8" hidden="1" x14ac:dyDescent="0.25">
      <c r="A131" s="1" t="s">
        <v>57</v>
      </c>
      <c r="B131" s="61">
        <f>'Расчет номинала'!V14</f>
        <v>0</v>
      </c>
      <c r="C131" s="61">
        <f>'Расчет нормативной стоимости'!K$7</f>
        <v>265.49</v>
      </c>
      <c r="D131" s="62"/>
      <c r="E131" s="62"/>
      <c r="F131" s="63">
        <f t="shared" si="20"/>
        <v>0</v>
      </c>
      <c r="G131" s="117" t="s">
        <v>43</v>
      </c>
      <c r="H131" s="117" t="s">
        <v>43</v>
      </c>
    </row>
    <row r="132" spans="1:8" hidden="1" x14ac:dyDescent="0.25">
      <c r="A132" s="55" t="s">
        <v>47</v>
      </c>
      <c r="B132" s="56" t="s">
        <v>43</v>
      </c>
      <c r="C132" s="56" t="s">
        <v>43</v>
      </c>
      <c r="D132" s="64">
        <f t="shared" ref="D132:F132" si="21">SUM(D126:D131)</f>
        <v>0</v>
      </c>
      <c r="E132" s="64">
        <f t="shared" si="21"/>
        <v>0</v>
      </c>
      <c r="F132" s="65">
        <f t="shared" si="21"/>
        <v>0</v>
      </c>
      <c r="G132" s="117" t="s">
        <v>43</v>
      </c>
      <c r="H132" s="117" t="s">
        <v>43</v>
      </c>
    </row>
    <row r="133" spans="1:8" ht="47.25" hidden="1" x14ac:dyDescent="0.25">
      <c r="A133" s="116" t="s">
        <v>96</v>
      </c>
      <c r="B133" s="229" t="s">
        <v>97</v>
      </c>
      <c r="C133" s="230"/>
      <c r="D133" s="231"/>
      <c r="E133" s="121"/>
      <c r="F133" s="117" t="s">
        <v>43</v>
      </c>
      <c r="G133" s="117" t="s">
        <v>43</v>
      </c>
      <c r="H133" s="52" t="s">
        <v>102</v>
      </c>
    </row>
    <row r="134" spans="1:8" hidden="1" x14ac:dyDescent="0.25">
      <c r="A134" s="116" t="s">
        <v>92</v>
      </c>
      <c r="B134" s="232" t="s">
        <v>95</v>
      </c>
      <c r="C134" s="232"/>
      <c r="D134" s="120"/>
      <c r="E134" s="233" t="s">
        <v>93</v>
      </c>
      <c r="F134" s="234"/>
      <c r="G134" s="120"/>
      <c r="H134" s="118">
        <f>D124-G124</f>
        <v>0</v>
      </c>
    </row>
    <row r="135" spans="1:8" hidden="1" x14ac:dyDescent="0.25"/>
    <row r="136" spans="1:8" ht="63.75" hidden="1" customHeight="1" x14ac:dyDescent="0.25">
      <c r="A136" s="126" t="str">
        <f>'Расчет номинала'!X4</f>
        <v>Организация 12</v>
      </c>
      <c r="B136" s="227" t="s">
        <v>108</v>
      </c>
      <c r="C136" s="228"/>
      <c r="D136" s="63">
        <f>'Расчет номинала'!X$16</f>
        <v>0</v>
      </c>
      <c r="E136" s="227" t="s">
        <v>109</v>
      </c>
      <c r="F136" s="228"/>
      <c r="G136" s="63">
        <f>IF(D146=0,F144+E145,F144+D146+G146)</f>
        <v>0</v>
      </c>
      <c r="H136" s="124"/>
    </row>
    <row r="137" spans="1:8" ht="63" hidden="1" x14ac:dyDescent="0.25">
      <c r="A137" s="52" t="s">
        <v>26</v>
      </c>
      <c r="B137" s="52" t="s">
        <v>46</v>
      </c>
      <c r="C137" s="52" t="s">
        <v>49</v>
      </c>
      <c r="D137" s="53" t="s">
        <v>89</v>
      </c>
      <c r="E137" s="53" t="s">
        <v>90</v>
      </c>
      <c r="F137" s="115" t="s">
        <v>91</v>
      </c>
      <c r="G137" s="117" t="s">
        <v>43</v>
      </c>
      <c r="H137" s="117" t="s">
        <v>43</v>
      </c>
    </row>
    <row r="138" spans="1:8" hidden="1" x14ac:dyDescent="0.25">
      <c r="A138" s="54" t="s">
        <v>9</v>
      </c>
      <c r="B138" s="61">
        <f>'Расчет номинала'!X$9</f>
        <v>0</v>
      </c>
      <c r="C138" s="61">
        <f>'Расчет нормативной стоимости'!F$7</f>
        <v>265.49</v>
      </c>
      <c r="D138" s="62"/>
      <c r="E138" s="62"/>
      <c r="F138" s="63">
        <f>(D138+E138)*B138</f>
        <v>0</v>
      </c>
      <c r="G138" s="117" t="s">
        <v>43</v>
      </c>
      <c r="H138" s="117" t="s">
        <v>43</v>
      </c>
    </row>
    <row r="139" spans="1:8" hidden="1" x14ac:dyDescent="0.25">
      <c r="A139" s="54" t="s">
        <v>10</v>
      </c>
      <c r="B139" s="61">
        <f>'Расчет номинала'!X10</f>
        <v>0</v>
      </c>
      <c r="C139" s="61">
        <f>'Расчет нормативной стоимости'!G$7</f>
        <v>265.49</v>
      </c>
      <c r="D139" s="62"/>
      <c r="E139" s="62"/>
      <c r="F139" s="63">
        <f t="shared" ref="F139:F143" si="22">(D139+E139)*B139</f>
        <v>0</v>
      </c>
      <c r="G139" s="117" t="s">
        <v>43</v>
      </c>
      <c r="H139" s="117" t="s">
        <v>43</v>
      </c>
    </row>
    <row r="140" spans="1:8" hidden="1" x14ac:dyDescent="0.25">
      <c r="A140" s="54" t="s">
        <v>11</v>
      </c>
      <c r="B140" s="61">
        <f>'Расчет номинала'!X11</f>
        <v>0</v>
      </c>
      <c r="C140" s="61">
        <f>'Расчет нормативной стоимости'!H$7</f>
        <v>265.49</v>
      </c>
      <c r="D140" s="62"/>
      <c r="E140" s="62"/>
      <c r="F140" s="63">
        <f t="shared" si="22"/>
        <v>0</v>
      </c>
      <c r="G140" s="117" t="s">
        <v>43</v>
      </c>
      <c r="H140" s="117" t="s">
        <v>43</v>
      </c>
    </row>
    <row r="141" spans="1:8" hidden="1" x14ac:dyDescent="0.25">
      <c r="A141" s="54" t="s">
        <v>12</v>
      </c>
      <c r="B141" s="61">
        <f>'Расчет номинала'!X12</f>
        <v>0</v>
      </c>
      <c r="C141" s="61">
        <f>'Расчет нормативной стоимости'!I$7</f>
        <v>0</v>
      </c>
      <c r="D141" s="62"/>
      <c r="E141" s="62"/>
      <c r="F141" s="63">
        <f t="shared" si="22"/>
        <v>0</v>
      </c>
      <c r="G141" s="117" t="s">
        <v>43</v>
      </c>
      <c r="H141" s="117" t="s">
        <v>43</v>
      </c>
    </row>
    <row r="142" spans="1:8" hidden="1" x14ac:dyDescent="0.25">
      <c r="A142" s="54" t="s">
        <v>13</v>
      </c>
      <c r="B142" s="61">
        <f>'Расчет номинала'!X13</f>
        <v>0</v>
      </c>
      <c r="C142" s="61">
        <f>'Расчет нормативной стоимости'!J$7</f>
        <v>0</v>
      </c>
      <c r="D142" s="62"/>
      <c r="E142" s="62"/>
      <c r="F142" s="63">
        <f t="shared" si="22"/>
        <v>0</v>
      </c>
      <c r="G142" s="117" t="s">
        <v>43</v>
      </c>
      <c r="H142" s="117" t="s">
        <v>43</v>
      </c>
    </row>
    <row r="143" spans="1:8" hidden="1" x14ac:dyDescent="0.25">
      <c r="A143" s="1" t="s">
        <v>57</v>
      </c>
      <c r="B143" s="61">
        <f>'Расчет номинала'!X14</f>
        <v>0</v>
      </c>
      <c r="C143" s="61">
        <f>'Расчет нормативной стоимости'!K$7</f>
        <v>265.49</v>
      </c>
      <c r="D143" s="62"/>
      <c r="E143" s="62"/>
      <c r="F143" s="63">
        <f t="shared" si="22"/>
        <v>0</v>
      </c>
      <c r="G143" s="117" t="s">
        <v>43</v>
      </c>
      <c r="H143" s="117" t="s">
        <v>43</v>
      </c>
    </row>
    <row r="144" spans="1:8" hidden="1" x14ac:dyDescent="0.25">
      <c r="A144" s="55" t="s">
        <v>47</v>
      </c>
      <c r="B144" s="56" t="s">
        <v>43</v>
      </c>
      <c r="C144" s="56" t="s">
        <v>43</v>
      </c>
      <c r="D144" s="64">
        <f t="shared" ref="D144:F144" si="23">SUM(D138:D143)</f>
        <v>0</v>
      </c>
      <c r="E144" s="64">
        <f t="shared" si="23"/>
        <v>0</v>
      </c>
      <c r="F144" s="65">
        <f t="shared" si="23"/>
        <v>0</v>
      </c>
      <c r="G144" s="117" t="s">
        <v>43</v>
      </c>
      <c r="H144" s="117" t="s">
        <v>43</v>
      </c>
    </row>
    <row r="145" spans="1:8" ht="47.25" hidden="1" x14ac:dyDescent="0.25">
      <c r="A145" s="116" t="s">
        <v>96</v>
      </c>
      <c r="B145" s="229" t="s">
        <v>97</v>
      </c>
      <c r="C145" s="230"/>
      <c r="D145" s="231"/>
      <c r="E145" s="121"/>
      <c r="F145" s="117" t="s">
        <v>43</v>
      </c>
      <c r="G145" s="117" t="s">
        <v>43</v>
      </c>
      <c r="H145" s="52" t="s">
        <v>102</v>
      </c>
    </row>
    <row r="146" spans="1:8" hidden="1" x14ac:dyDescent="0.25">
      <c r="A146" s="116" t="s">
        <v>92</v>
      </c>
      <c r="B146" s="232" t="s">
        <v>95</v>
      </c>
      <c r="C146" s="232"/>
      <c r="D146" s="120"/>
      <c r="E146" s="233" t="s">
        <v>93</v>
      </c>
      <c r="F146" s="234"/>
      <c r="G146" s="120"/>
      <c r="H146" s="118">
        <f>D136-G136</f>
        <v>0</v>
      </c>
    </row>
    <row r="147" spans="1:8" hidden="1" x14ac:dyDescent="0.25"/>
    <row r="148" spans="1:8" ht="62.25" hidden="1" customHeight="1" x14ac:dyDescent="0.25">
      <c r="A148" s="126" t="str">
        <f>'Расчет номинала'!Z4</f>
        <v>Организация 13</v>
      </c>
      <c r="B148" s="227" t="s">
        <v>108</v>
      </c>
      <c r="C148" s="228"/>
      <c r="D148" s="63">
        <f>'Расчет номинала'!Z$16</f>
        <v>0</v>
      </c>
      <c r="E148" s="227" t="s">
        <v>109</v>
      </c>
      <c r="F148" s="228"/>
      <c r="G148" s="63">
        <f>IF(D158=0,F156+E157,F156+D158+G158)</f>
        <v>0</v>
      </c>
      <c r="H148" s="124"/>
    </row>
    <row r="149" spans="1:8" ht="63" hidden="1" x14ac:dyDescent="0.25">
      <c r="A149" s="52" t="s">
        <v>26</v>
      </c>
      <c r="B149" s="52" t="s">
        <v>46</v>
      </c>
      <c r="C149" s="52" t="s">
        <v>49</v>
      </c>
      <c r="D149" s="53" t="s">
        <v>89</v>
      </c>
      <c r="E149" s="53" t="s">
        <v>90</v>
      </c>
      <c r="F149" s="115" t="s">
        <v>91</v>
      </c>
      <c r="G149" s="117" t="s">
        <v>43</v>
      </c>
      <c r="H149" s="117" t="s">
        <v>43</v>
      </c>
    </row>
    <row r="150" spans="1:8" hidden="1" x14ac:dyDescent="0.25">
      <c r="A150" s="54" t="s">
        <v>9</v>
      </c>
      <c r="B150" s="61">
        <f>'Расчет номинала'!Z$9</f>
        <v>0</v>
      </c>
      <c r="C150" s="61">
        <f>'Расчет нормативной стоимости'!F$7</f>
        <v>265.49</v>
      </c>
      <c r="D150" s="62"/>
      <c r="E150" s="62"/>
      <c r="F150" s="63">
        <f>(D150+E150)*B150</f>
        <v>0</v>
      </c>
      <c r="G150" s="117" t="s">
        <v>43</v>
      </c>
      <c r="H150" s="117" t="s">
        <v>43</v>
      </c>
    </row>
    <row r="151" spans="1:8" hidden="1" x14ac:dyDescent="0.25">
      <c r="A151" s="54" t="s">
        <v>10</v>
      </c>
      <c r="B151" s="61">
        <f>'Расчет номинала'!Z10</f>
        <v>0</v>
      </c>
      <c r="C151" s="61">
        <f>'Расчет нормативной стоимости'!G$7</f>
        <v>265.49</v>
      </c>
      <c r="D151" s="62"/>
      <c r="E151" s="62"/>
      <c r="F151" s="63">
        <f t="shared" ref="F151:F155" si="24">(D151+E151)*B151</f>
        <v>0</v>
      </c>
      <c r="G151" s="117" t="s">
        <v>43</v>
      </c>
      <c r="H151" s="117" t="s">
        <v>43</v>
      </c>
    </row>
    <row r="152" spans="1:8" hidden="1" x14ac:dyDescent="0.25">
      <c r="A152" s="54" t="s">
        <v>11</v>
      </c>
      <c r="B152" s="61">
        <f>'Расчет номинала'!Z11</f>
        <v>0</v>
      </c>
      <c r="C152" s="61">
        <f>'Расчет нормативной стоимости'!H$7</f>
        <v>265.49</v>
      </c>
      <c r="D152" s="62"/>
      <c r="E152" s="62"/>
      <c r="F152" s="63">
        <f t="shared" si="24"/>
        <v>0</v>
      </c>
      <c r="G152" s="117" t="s">
        <v>43</v>
      </c>
      <c r="H152" s="117" t="s">
        <v>43</v>
      </c>
    </row>
    <row r="153" spans="1:8" hidden="1" x14ac:dyDescent="0.25">
      <c r="A153" s="54" t="s">
        <v>12</v>
      </c>
      <c r="B153" s="61">
        <f>'Расчет номинала'!Z12</f>
        <v>0</v>
      </c>
      <c r="C153" s="61">
        <f>'Расчет нормативной стоимости'!I$7</f>
        <v>0</v>
      </c>
      <c r="D153" s="62"/>
      <c r="E153" s="62"/>
      <c r="F153" s="63">
        <f t="shared" si="24"/>
        <v>0</v>
      </c>
      <c r="G153" s="117" t="s">
        <v>43</v>
      </c>
      <c r="H153" s="117" t="s">
        <v>43</v>
      </c>
    </row>
    <row r="154" spans="1:8" hidden="1" x14ac:dyDescent="0.25">
      <c r="A154" s="54" t="s">
        <v>13</v>
      </c>
      <c r="B154" s="61">
        <f>'Расчет номинала'!Z13</f>
        <v>0</v>
      </c>
      <c r="C154" s="61">
        <f>'Расчет нормативной стоимости'!J$7</f>
        <v>0</v>
      </c>
      <c r="D154" s="62"/>
      <c r="E154" s="62"/>
      <c r="F154" s="63">
        <f t="shared" si="24"/>
        <v>0</v>
      </c>
      <c r="G154" s="117" t="s">
        <v>43</v>
      </c>
      <c r="H154" s="117" t="s">
        <v>43</v>
      </c>
    </row>
    <row r="155" spans="1:8" hidden="1" x14ac:dyDescent="0.25">
      <c r="A155" s="1" t="s">
        <v>57</v>
      </c>
      <c r="B155" s="61">
        <f>'Расчет номинала'!Z14</f>
        <v>0</v>
      </c>
      <c r="C155" s="61">
        <f>'Расчет нормативной стоимости'!K$7</f>
        <v>265.49</v>
      </c>
      <c r="D155" s="62"/>
      <c r="E155" s="62"/>
      <c r="F155" s="63">
        <f t="shared" si="24"/>
        <v>0</v>
      </c>
      <c r="G155" s="117" t="s">
        <v>43</v>
      </c>
      <c r="H155" s="117" t="s">
        <v>43</v>
      </c>
    </row>
    <row r="156" spans="1:8" hidden="1" x14ac:dyDescent="0.25">
      <c r="A156" s="55" t="s">
        <v>47</v>
      </c>
      <c r="B156" s="56" t="s">
        <v>43</v>
      </c>
      <c r="C156" s="56" t="s">
        <v>43</v>
      </c>
      <c r="D156" s="64">
        <f t="shared" ref="D156:F156" si="25">SUM(D150:D155)</f>
        <v>0</v>
      </c>
      <c r="E156" s="64">
        <f t="shared" si="25"/>
        <v>0</v>
      </c>
      <c r="F156" s="65">
        <f t="shared" si="25"/>
        <v>0</v>
      </c>
      <c r="G156" s="117" t="s">
        <v>43</v>
      </c>
      <c r="H156" s="117" t="s">
        <v>43</v>
      </c>
    </row>
    <row r="157" spans="1:8" ht="47.25" hidden="1" x14ac:dyDescent="0.25">
      <c r="A157" s="116" t="s">
        <v>96</v>
      </c>
      <c r="B157" s="229" t="s">
        <v>97</v>
      </c>
      <c r="C157" s="230"/>
      <c r="D157" s="231"/>
      <c r="E157" s="121"/>
      <c r="F157" s="117" t="s">
        <v>43</v>
      </c>
      <c r="G157" s="117" t="s">
        <v>43</v>
      </c>
      <c r="H157" s="52" t="s">
        <v>102</v>
      </c>
    </row>
    <row r="158" spans="1:8" hidden="1" x14ac:dyDescent="0.25">
      <c r="A158" s="116" t="s">
        <v>92</v>
      </c>
      <c r="B158" s="232" t="s">
        <v>95</v>
      </c>
      <c r="C158" s="232"/>
      <c r="D158" s="120"/>
      <c r="E158" s="233" t="s">
        <v>93</v>
      </c>
      <c r="F158" s="234"/>
      <c r="G158" s="120"/>
      <c r="H158" s="118">
        <f>D148-G148</f>
        <v>0</v>
      </c>
    </row>
    <row r="159" spans="1:8" hidden="1" x14ac:dyDescent="0.25"/>
    <row r="160" spans="1:8" ht="60.75" hidden="1" customHeight="1" x14ac:dyDescent="0.25">
      <c r="A160" s="126" t="str">
        <f>'Расчет номинала'!AB4</f>
        <v>Организация 14</v>
      </c>
      <c r="B160" s="227" t="s">
        <v>108</v>
      </c>
      <c r="C160" s="228"/>
      <c r="D160" s="63">
        <f>'Расчет номинала'!AB$16</f>
        <v>0</v>
      </c>
      <c r="E160" s="227" t="s">
        <v>109</v>
      </c>
      <c r="F160" s="228"/>
      <c r="G160" s="63">
        <f>IF(D170=0,F168+E169,F168+D170+G170)</f>
        <v>0</v>
      </c>
      <c r="H160" s="124"/>
    </row>
    <row r="161" spans="1:8" ht="63" hidden="1" x14ac:dyDescent="0.25">
      <c r="A161" s="52" t="s">
        <v>26</v>
      </c>
      <c r="B161" s="52" t="s">
        <v>46</v>
      </c>
      <c r="C161" s="52" t="s">
        <v>49</v>
      </c>
      <c r="D161" s="53" t="s">
        <v>89</v>
      </c>
      <c r="E161" s="53" t="s">
        <v>90</v>
      </c>
      <c r="F161" s="115" t="s">
        <v>91</v>
      </c>
      <c r="G161" s="117" t="s">
        <v>43</v>
      </c>
      <c r="H161" s="117" t="s">
        <v>43</v>
      </c>
    </row>
    <row r="162" spans="1:8" hidden="1" x14ac:dyDescent="0.25">
      <c r="A162" s="54" t="s">
        <v>9</v>
      </c>
      <c r="B162" s="61">
        <f>'Расчет номинала'!AB$9</f>
        <v>0</v>
      </c>
      <c r="C162" s="61">
        <f>'Расчет нормативной стоимости'!F$7</f>
        <v>265.49</v>
      </c>
      <c r="D162" s="62"/>
      <c r="E162" s="62"/>
      <c r="F162" s="63">
        <f>(D162+E162)*B162</f>
        <v>0</v>
      </c>
      <c r="G162" s="117" t="s">
        <v>43</v>
      </c>
      <c r="H162" s="117" t="s">
        <v>43</v>
      </c>
    </row>
    <row r="163" spans="1:8" hidden="1" x14ac:dyDescent="0.25">
      <c r="A163" s="54" t="s">
        <v>10</v>
      </c>
      <c r="B163" s="61">
        <f>'Расчет номинала'!AB10</f>
        <v>0</v>
      </c>
      <c r="C163" s="61">
        <f>'Расчет нормативной стоимости'!G$7</f>
        <v>265.49</v>
      </c>
      <c r="D163" s="62"/>
      <c r="E163" s="62"/>
      <c r="F163" s="63">
        <f t="shared" ref="F163:F167" si="26">(D163+E163)*B163</f>
        <v>0</v>
      </c>
      <c r="G163" s="117" t="s">
        <v>43</v>
      </c>
      <c r="H163" s="117" t="s">
        <v>43</v>
      </c>
    </row>
    <row r="164" spans="1:8" hidden="1" x14ac:dyDescent="0.25">
      <c r="A164" s="54" t="s">
        <v>11</v>
      </c>
      <c r="B164" s="61">
        <f>'Расчет номинала'!AB11</f>
        <v>0</v>
      </c>
      <c r="C164" s="61">
        <f>'Расчет нормативной стоимости'!H$7</f>
        <v>265.49</v>
      </c>
      <c r="D164" s="62"/>
      <c r="E164" s="62"/>
      <c r="F164" s="63">
        <f t="shared" si="26"/>
        <v>0</v>
      </c>
      <c r="G164" s="117" t="s">
        <v>43</v>
      </c>
      <c r="H164" s="117" t="s">
        <v>43</v>
      </c>
    </row>
    <row r="165" spans="1:8" hidden="1" x14ac:dyDescent="0.25">
      <c r="A165" s="54" t="s">
        <v>12</v>
      </c>
      <c r="B165" s="61">
        <f>'Расчет номинала'!AB12</f>
        <v>0</v>
      </c>
      <c r="C165" s="61">
        <f>'Расчет нормативной стоимости'!I$7</f>
        <v>0</v>
      </c>
      <c r="D165" s="62"/>
      <c r="E165" s="62"/>
      <c r="F165" s="63">
        <f t="shared" si="26"/>
        <v>0</v>
      </c>
      <c r="G165" s="117" t="s">
        <v>43</v>
      </c>
      <c r="H165" s="117" t="s">
        <v>43</v>
      </c>
    </row>
    <row r="166" spans="1:8" hidden="1" x14ac:dyDescent="0.25">
      <c r="A166" s="54" t="s">
        <v>13</v>
      </c>
      <c r="B166" s="61">
        <f>'Расчет номинала'!AB13</f>
        <v>0</v>
      </c>
      <c r="C166" s="61">
        <f>'Расчет нормативной стоимости'!J$7</f>
        <v>0</v>
      </c>
      <c r="D166" s="62"/>
      <c r="E166" s="62"/>
      <c r="F166" s="63">
        <f t="shared" si="26"/>
        <v>0</v>
      </c>
      <c r="G166" s="117" t="s">
        <v>43</v>
      </c>
      <c r="H166" s="117" t="s">
        <v>43</v>
      </c>
    </row>
    <row r="167" spans="1:8" hidden="1" x14ac:dyDescent="0.25">
      <c r="A167" s="1" t="s">
        <v>57</v>
      </c>
      <c r="B167" s="61">
        <f>'Расчет номинала'!AB14</f>
        <v>0</v>
      </c>
      <c r="C167" s="61">
        <f>'Расчет нормативной стоимости'!K$7</f>
        <v>265.49</v>
      </c>
      <c r="D167" s="62"/>
      <c r="E167" s="62"/>
      <c r="F167" s="63">
        <f t="shared" si="26"/>
        <v>0</v>
      </c>
      <c r="G167" s="117" t="s">
        <v>43</v>
      </c>
      <c r="H167" s="117" t="s">
        <v>43</v>
      </c>
    </row>
    <row r="168" spans="1:8" hidden="1" x14ac:dyDescent="0.25">
      <c r="A168" s="55" t="s">
        <v>47</v>
      </c>
      <c r="B168" s="56" t="s">
        <v>43</v>
      </c>
      <c r="C168" s="56" t="s">
        <v>43</v>
      </c>
      <c r="D168" s="64">
        <f t="shared" ref="D168:F168" si="27">SUM(D162:D167)</f>
        <v>0</v>
      </c>
      <c r="E168" s="64">
        <f t="shared" si="27"/>
        <v>0</v>
      </c>
      <c r="F168" s="65">
        <f t="shared" si="27"/>
        <v>0</v>
      </c>
      <c r="G168" s="117" t="s">
        <v>43</v>
      </c>
      <c r="H168" s="117" t="s">
        <v>43</v>
      </c>
    </row>
    <row r="169" spans="1:8" ht="47.25" hidden="1" x14ac:dyDescent="0.25">
      <c r="A169" s="116" t="s">
        <v>96</v>
      </c>
      <c r="B169" s="229" t="s">
        <v>97</v>
      </c>
      <c r="C169" s="230"/>
      <c r="D169" s="231"/>
      <c r="E169" s="121"/>
      <c r="F169" s="117" t="s">
        <v>43</v>
      </c>
      <c r="G169" s="117" t="s">
        <v>43</v>
      </c>
      <c r="H169" s="52" t="s">
        <v>102</v>
      </c>
    </row>
    <row r="170" spans="1:8" hidden="1" x14ac:dyDescent="0.25">
      <c r="A170" s="116" t="s">
        <v>92</v>
      </c>
      <c r="B170" s="232" t="s">
        <v>95</v>
      </c>
      <c r="C170" s="232"/>
      <c r="D170" s="120"/>
      <c r="E170" s="233" t="s">
        <v>93</v>
      </c>
      <c r="F170" s="234"/>
      <c r="G170" s="120"/>
      <c r="H170" s="118">
        <f>D160-G160</f>
        <v>0</v>
      </c>
    </row>
    <row r="171" spans="1:8" hidden="1" x14ac:dyDescent="0.25"/>
    <row r="172" spans="1:8" ht="63" hidden="1" customHeight="1" x14ac:dyDescent="0.25">
      <c r="A172" s="126" t="str">
        <f>'Расчет номинала'!AD4</f>
        <v>Организация 15</v>
      </c>
      <c r="B172" s="227" t="s">
        <v>108</v>
      </c>
      <c r="C172" s="228"/>
      <c r="D172" s="63">
        <f>'Расчет номинала'!AD$16</f>
        <v>0</v>
      </c>
      <c r="E172" s="227" t="s">
        <v>109</v>
      </c>
      <c r="F172" s="228"/>
      <c r="G172" s="63">
        <f>IF(D182=0,F180+E181,F180+D182+G182)</f>
        <v>0</v>
      </c>
      <c r="H172" s="124"/>
    </row>
    <row r="173" spans="1:8" ht="63" hidden="1" x14ac:dyDescent="0.25">
      <c r="A173" s="52" t="s">
        <v>26</v>
      </c>
      <c r="B173" s="52" t="s">
        <v>46</v>
      </c>
      <c r="C173" s="52" t="s">
        <v>49</v>
      </c>
      <c r="D173" s="53" t="s">
        <v>89</v>
      </c>
      <c r="E173" s="53" t="s">
        <v>90</v>
      </c>
      <c r="F173" s="115" t="s">
        <v>91</v>
      </c>
      <c r="G173" s="117" t="s">
        <v>43</v>
      </c>
      <c r="H173" s="117" t="s">
        <v>43</v>
      </c>
    </row>
    <row r="174" spans="1:8" hidden="1" x14ac:dyDescent="0.25">
      <c r="A174" s="54" t="s">
        <v>9</v>
      </c>
      <c r="B174" s="61">
        <f>'Расчет номинала'!AD$9</f>
        <v>0</v>
      </c>
      <c r="C174" s="61">
        <f>'Расчет нормативной стоимости'!F$7</f>
        <v>265.49</v>
      </c>
      <c r="D174" s="62"/>
      <c r="E174" s="62"/>
      <c r="F174" s="63">
        <f>(D174+E174)*B174</f>
        <v>0</v>
      </c>
      <c r="G174" s="117" t="s">
        <v>43</v>
      </c>
      <c r="H174" s="117" t="s">
        <v>43</v>
      </c>
    </row>
    <row r="175" spans="1:8" hidden="1" x14ac:dyDescent="0.25">
      <c r="A175" s="54" t="s">
        <v>10</v>
      </c>
      <c r="B175" s="61">
        <f>'Расчет номинала'!AD10</f>
        <v>0</v>
      </c>
      <c r="C175" s="61">
        <f>'Расчет нормативной стоимости'!G$7</f>
        <v>265.49</v>
      </c>
      <c r="D175" s="62"/>
      <c r="E175" s="62"/>
      <c r="F175" s="63">
        <f t="shared" ref="F175:F179" si="28">(D175+E175)*B175</f>
        <v>0</v>
      </c>
      <c r="G175" s="117" t="s">
        <v>43</v>
      </c>
      <c r="H175" s="117" t="s">
        <v>43</v>
      </c>
    </row>
    <row r="176" spans="1:8" hidden="1" x14ac:dyDescent="0.25">
      <c r="A176" s="54" t="s">
        <v>11</v>
      </c>
      <c r="B176" s="61">
        <f>'Расчет номинала'!AD11</f>
        <v>0</v>
      </c>
      <c r="C176" s="61">
        <f>'Расчет нормативной стоимости'!H$7</f>
        <v>265.49</v>
      </c>
      <c r="D176" s="62"/>
      <c r="E176" s="62"/>
      <c r="F176" s="63">
        <f t="shared" si="28"/>
        <v>0</v>
      </c>
      <c r="G176" s="117" t="s">
        <v>43</v>
      </c>
      <c r="H176" s="117" t="s">
        <v>43</v>
      </c>
    </row>
    <row r="177" spans="1:8" hidden="1" x14ac:dyDescent="0.25">
      <c r="A177" s="54" t="s">
        <v>12</v>
      </c>
      <c r="B177" s="61">
        <f>'Расчет номинала'!AD12</f>
        <v>0</v>
      </c>
      <c r="C177" s="61">
        <f>'Расчет нормативной стоимости'!I$7</f>
        <v>0</v>
      </c>
      <c r="D177" s="62"/>
      <c r="E177" s="62"/>
      <c r="F177" s="63">
        <f t="shared" si="28"/>
        <v>0</v>
      </c>
      <c r="G177" s="117" t="s">
        <v>43</v>
      </c>
      <c r="H177" s="117" t="s">
        <v>43</v>
      </c>
    </row>
    <row r="178" spans="1:8" hidden="1" x14ac:dyDescent="0.25">
      <c r="A178" s="54" t="s">
        <v>13</v>
      </c>
      <c r="B178" s="61">
        <f>'Расчет номинала'!AD13</f>
        <v>0</v>
      </c>
      <c r="C178" s="61">
        <f>'Расчет нормативной стоимости'!J$7</f>
        <v>0</v>
      </c>
      <c r="D178" s="62"/>
      <c r="E178" s="62"/>
      <c r="F178" s="63">
        <f t="shared" si="28"/>
        <v>0</v>
      </c>
      <c r="G178" s="117" t="s">
        <v>43</v>
      </c>
      <c r="H178" s="117" t="s">
        <v>43</v>
      </c>
    </row>
    <row r="179" spans="1:8" hidden="1" x14ac:dyDescent="0.25">
      <c r="A179" s="1" t="s">
        <v>57</v>
      </c>
      <c r="B179" s="61">
        <f>'Расчет номинала'!AD14</f>
        <v>0</v>
      </c>
      <c r="C179" s="61">
        <f>'Расчет нормативной стоимости'!K$7</f>
        <v>265.49</v>
      </c>
      <c r="D179" s="62"/>
      <c r="E179" s="62"/>
      <c r="F179" s="63">
        <f t="shared" si="28"/>
        <v>0</v>
      </c>
      <c r="G179" s="117" t="s">
        <v>43</v>
      </c>
      <c r="H179" s="117" t="s">
        <v>43</v>
      </c>
    </row>
    <row r="180" spans="1:8" hidden="1" x14ac:dyDescent="0.25">
      <c r="A180" s="55" t="s">
        <v>47</v>
      </c>
      <c r="B180" s="56" t="s">
        <v>43</v>
      </c>
      <c r="C180" s="56" t="s">
        <v>43</v>
      </c>
      <c r="D180" s="64">
        <f t="shared" ref="D180:F180" si="29">SUM(D174:D179)</f>
        <v>0</v>
      </c>
      <c r="E180" s="64">
        <f t="shared" si="29"/>
        <v>0</v>
      </c>
      <c r="F180" s="65">
        <f t="shared" si="29"/>
        <v>0</v>
      </c>
      <c r="G180" s="117" t="s">
        <v>43</v>
      </c>
      <c r="H180" s="117" t="s">
        <v>43</v>
      </c>
    </row>
    <row r="181" spans="1:8" ht="47.25" hidden="1" x14ac:dyDescent="0.25">
      <c r="A181" s="116" t="s">
        <v>96</v>
      </c>
      <c r="B181" s="229" t="s">
        <v>97</v>
      </c>
      <c r="C181" s="230"/>
      <c r="D181" s="231"/>
      <c r="E181" s="121"/>
      <c r="F181" s="117" t="s">
        <v>43</v>
      </c>
      <c r="G181" s="117" t="s">
        <v>43</v>
      </c>
      <c r="H181" s="52" t="s">
        <v>102</v>
      </c>
    </row>
    <row r="182" spans="1:8" hidden="1" x14ac:dyDescent="0.25">
      <c r="A182" s="116" t="s">
        <v>92</v>
      </c>
      <c r="B182" s="232" t="s">
        <v>95</v>
      </c>
      <c r="C182" s="232"/>
      <c r="D182" s="120"/>
      <c r="E182" s="233" t="s">
        <v>93</v>
      </c>
      <c r="F182" s="234"/>
      <c r="G182" s="120"/>
      <c r="H182" s="118">
        <f>D172-G172</f>
        <v>0</v>
      </c>
    </row>
    <row r="184" spans="1:8" x14ac:dyDescent="0.25">
      <c r="E184" s="29">
        <f>E24+E12</f>
        <v>111648</v>
      </c>
    </row>
  </sheetData>
  <mergeCells count="78">
    <mergeCell ref="E14:F14"/>
    <mergeCell ref="F1:G1"/>
    <mergeCell ref="F2:G2"/>
    <mergeCell ref="E4:F4"/>
    <mergeCell ref="B1:C1"/>
    <mergeCell ref="B4:C4"/>
    <mergeCell ref="B14:C14"/>
    <mergeCell ref="B13:D13"/>
    <mergeCell ref="B16:C16"/>
    <mergeCell ref="E16:F16"/>
    <mergeCell ref="B25:D25"/>
    <mergeCell ref="B26:C26"/>
    <mergeCell ref="E26:F26"/>
    <mergeCell ref="B28:C28"/>
    <mergeCell ref="E28:F28"/>
    <mergeCell ref="B37:D37"/>
    <mergeCell ref="B38:C38"/>
    <mergeCell ref="E38:F38"/>
    <mergeCell ref="B40:C40"/>
    <mergeCell ref="E40:F40"/>
    <mergeCell ref="B49:D49"/>
    <mergeCell ref="B50:C50"/>
    <mergeCell ref="E50:F50"/>
    <mergeCell ref="B52:C52"/>
    <mergeCell ref="E52:F52"/>
    <mergeCell ref="B61:D61"/>
    <mergeCell ref="B62:C62"/>
    <mergeCell ref="E62:F62"/>
    <mergeCell ref="B64:C64"/>
    <mergeCell ref="E64:F64"/>
    <mergeCell ref="B73:D73"/>
    <mergeCell ref="B74:C74"/>
    <mergeCell ref="E74:F74"/>
    <mergeCell ref="B76:C76"/>
    <mergeCell ref="E76:F76"/>
    <mergeCell ref="B85:D85"/>
    <mergeCell ref="B86:C86"/>
    <mergeCell ref="E86:F86"/>
    <mergeCell ref="B88:C88"/>
    <mergeCell ref="E88:F88"/>
    <mergeCell ref="B97:D97"/>
    <mergeCell ref="B98:C98"/>
    <mergeCell ref="E98:F98"/>
    <mergeCell ref="B100:C100"/>
    <mergeCell ref="E100:F100"/>
    <mergeCell ref="B109:D109"/>
    <mergeCell ref="B110:C110"/>
    <mergeCell ref="E110:F110"/>
    <mergeCell ref="B112:C112"/>
    <mergeCell ref="E112:F112"/>
    <mergeCell ref="B121:D121"/>
    <mergeCell ref="B122:C122"/>
    <mergeCell ref="E122:F122"/>
    <mergeCell ref="B124:C124"/>
    <mergeCell ref="E124:F124"/>
    <mergeCell ref="B133:D133"/>
    <mergeCell ref="B134:C134"/>
    <mergeCell ref="E134:F134"/>
    <mergeCell ref="B136:C136"/>
    <mergeCell ref="E136:F136"/>
    <mergeCell ref="B145:D145"/>
    <mergeCell ref="B146:C146"/>
    <mergeCell ref="E146:F146"/>
    <mergeCell ref="B148:C148"/>
    <mergeCell ref="E148:F148"/>
    <mergeCell ref="B157:D157"/>
    <mergeCell ref="B158:C158"/>
    <mergeCell ref="E158:F158"/>
    <mergeCell ref="B160:C160"/>
    <mergeCell ref="E160:F160"/>
    <mergeCell ref="B169:D169"/>
    <mergeCell ref="B170:C170"/>
    <mergeCell ref="E170:F170"/>
    <mergeCell ref="B172:C172"/>
    <mergeCell ref="E172:F172"/>
    <mergeCell ref="B181:D181"/>
    <mergeCell ref="B182:C182"/>
    <mergeCell ref="E182:F18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1" manualBreakCount="1">
    <brk id="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4"/>
  <sheetViews>
    <sheetView showZeros="0" view="pageBreakPreview" topLeftCell="A4" zoomScaleNormal="100" zoomScaleSheetLayoutView="100" workbookViewId="0">
      <selection activeCell="P23" sqref="P23:P24"/>
    </sheetView>
  </sheetViews>
  <sheetFormatPr defaultColWidth="10.875" defaultRowHeight="15.75" x14ac:dyDescent="0.25"/>
  <cols>
    <col min="1" max="1" width="31.875" style="164" customWidth="1"/>
    <col min="2" max="3" width="14.125" style="164" customWidth="1"/>
    <col min="4" max="4" width="21.625" style="164" customWidth="1"/>
    <col min="5" max="6" width="13.375" style="164" customWidth="1"/>
    <col min="7" max="7" width="14.875" style="164" customWidth="1"/>
    <col min="8" max="8" width="15" style="164" hidden="1" customWidth="1"/>
    <col min="9" max="9" width="15.375" style="164" hidden="1" customWidth="1"/>
    <col min="10" max="10" width="20" style="164" hidden="1" customWidth="1"/>
    <col min="11" max="11" width="16.75" style="146" hidden="1" customWidth="1"/>
    <col min="12" max="15" width="0" style="164" hidden="1" customWidth="1"/>
    <col min="16" max="16384" width="10.875" style="164"/>
  </cols>
  <sheetData>
    <row r="1" spans="1:13" ht="47.25" hidden="1" x14ac:dyDescent="0.25">
      <c r="A1" s="48" t="s">
        <v>0</v>
      </c>
      <c r="B1" s="237" t="str">
        <f>'Расчет номинала'!A2</f>
        <v>ГО ВИЛЮЧИНСК</v>
      </c>
      <c r="C1" s="237"/>
      <c r="D1" s="166" t="s">
        <v>94</v>
      </c>
      <c r="E1" s="166"/>
      <c r="F1" s="166"/>
      <c r="G1" s="59">
        <f>'Расчет номинала'!G2</f>
        <v>3400000</v>
      </c>
      <c r="H1" s="235" t="s">
        <v>110</v>
      </c>
      <c r="I1" s="235"/>
      <c r="J1" s="165" t="s">
        <v>98</v>
      </c>
      <c r="K1" s="145"/>
      <c r="L1" s="119"/>
    </row>
    <row r="2" spans="1:13" hidden="1" x14ac:dyDescent="0.25">
      <c r="B2" s="51"/>
      <c r="C2" s="51"/>
      <c r="D2" s="51"/>
      <c r="E2" s="51"/>
      <c r="F2" s="51"/>
      <c r="G2" s="114"/>
      <c r="H2" s="236">
        <f>G1-(J14+J26+J38+J50+J62+J74+J86+J98+J110+J122+J134+J146+J158+J170+J182)</f>
        <v>41021256.700000003</v>
      </c>
      <c r="I2" s="236"/>
      <c r="J2" s="125">
        <f>G1-H2</f>
        <v>-37621256.700000003</v>
      </c>
    </row>
    <row r="3" spans="1:13" hidden="1" x14ac:dyDescent="0.25"/>
    <row r="4" spans="1:13" ht="66" customHeight="1" x14ac:dyDescent="0.25">
      <c r="A4" s="126" t="str">
        <f>'Расчет номинала'!B4</f>
        <v>муниципальное бюджетное учреждение дополнительного образования "Центр развития творчества детей и юношества"</v>
      </c>
      <c r="B4" s="227" t="s">
        <v>108</v>
      </c>
      <c r="C4" s="228"/>
      <c r="D4" s="63">
        <f>'Расчет номинала'!B$16</f>
        <v>46278492</v>
      </c>
      <c r="E4" s="168"/>
      <c r="F4" s="168"/>
      <c r="G4" s="227" t="s">
        <v>109</v>
      </c>
      <c r="H4" s="228"/>
      <c r="I4" s="63">
        <f>IF(D14=0,H12+G13,H12+D14+I14)</f>
        <v>63671354.219999999</v>
      </c>
    </row>
    <row r="5" spans="1:13" s="18" customFormat="1" ht="67.5" customHeight="1" x14ac:dyDescent="0.25">
      <c r="A5" s="52" t="s">
        <v>26</v>
      </c>
      <c r="B5" s="52" t="s">
        <v>46</v>
      </c>
      <c r="C5" s="52" t="s">
        <v>49</v>
      </c>
      <c r="D5" s="53" t="s">
        <v>89</v>
      </c>
      <c r="E5" s="53" t="s">
        <v>237</v>
      </c>
      <c r="F5" s="53" t="s">
        <v>238</v>
      </c>
      <c r="G5" s="53" t="s">
        <v>103</v>
      </c>
      <c r="H5" s="115" t="s">
        <v>104</v>
      </c>
      <c r="I5" s="117" t="s">
        <v>43</v>
      </c>
      <c r="J5" s="117" t="s">
        <v>43</v>
      </c>
    </row>
    <row r="6" spans="1:13" x14ac:dyDescent="0.25">
      <c r="A6" s="54" t="s">
        <v>9</v>
      </c>
      <c r="B6" s="61">
        <f>'Расчет номинала'!B9</f>
        <v>351.5</v>
      </c>
      <c r="C6" s="61">
        <f>'Расчет нормативной стоимости'!F$7</f>
        <v>265.49</v>
      </c>
      <c r="D6" s="62">
        <v>25868</v>
      </c>
      <c r="E6" s="62">
        <f>D6-F6-G6</f>
        <v>17484</v>
      </c>
      <c r="F6" s="62">
        <f>'Сходимость модели ПФ'!O11+'Сходимость модели ПФ'!O12+'Сходимость модели ПФ'!O13+'Сходимость модели ПФ'!O14+'Сходимость модели ПФ'!O15+'Сходимость модели ПФ'!O16+'Сходимость модели ПФ'!O17</f>
        <v>1920</v>
      </c>
      <c r="G6" s="62">
        <v>6464</v>
      </c>
      <c r="H6" s="63">
        <f>(D6+G6)*B6</f>
        <v>11364698</v>
      </c>
      <c r="I6" s="117" t="s">
        <v>43</v>
      </c>
      <c r="J6" s="117" t="s">
        <v>43</v>
      </c>
    </row>
    <row r="7" spans="1:13" x14ac:dyDescent="0.25">
      <c r="A7" s="54" t="s">
        <v>10</v>
      </c>
      <c r="B7" s="61">
        <f>'Расчет номинала'!B10</f>
        <v>220.52</v>
      </c>
      <c r="C7" s="61">
        <f>'Расчет нормативной стоимости'!G$7</f>
        <v>265.49</v>
      </c>
      <c r="D7" s="62">
        <v>3046</v>
      </c>
      <c r="E7" s="62">
        <f t="shared" ref="E7:E11" si="0">D7-F7-G7</f>
        <v>1382</v>
      </c>
      <c r="F7" s="62">
        <f>'Сходимость модели ПФ'!O3</f>
        <v>704</v>
      </c>
      <c r="G7" s="62">
        <v>960</v>
      </c>
      <c r="H7" s="63">
        <f t="shared" ref="H7:H11" si="1">(D7+G7)*B7</f>
        <v>883403.12</v>
      </c>
      <c r="I7" s="117" t="s">
        <v>43</v>
      </c>
      <c r="J7" s="117" t="s">
        <v>43</v>
      </c>
    </row>
    <row r="8" spans="1:13" ht="21" customHeight="1" x14ac:dyDescent="0.25">
      <c r="A8" s="54" t="s">
        <v>11</v>
      </c>
      <c r="B8" s="61">
        <f>'Расчет номинала'!B11</f>
        <v>307.13</v>
      </c>
      <c r="C8" s="61">
        <f>'Расчет нормативной стоимости'!H$7</f>
        <v>265.49</v>
      </c>
      <c r="D8" s="62">
        <v>66118</v>
      </c>
      <c r="E8" s="62">
        <f t="shared" si="0"/>
        <v>36806</v>
      </c>
      <c r="F8" s="62">
        <f>'Сходимость модели ПФ'!O6+'Сходимость модели ПФ'!O7+'Сходимость модели ПФ'!O8+'Сходимость модели ПФ'!O9+'Сходимость модели ПФ'!O10</f>
        <v>2624</v>
      </c>
      <c r="G8" s="62">
        <v>26688</v>
      </c>
      <c r="H8" s="63">
        <f t="shared" si="1"/>
        <v>28503506.780000001</v>
      </c>
      <c r="I8" s="117" t="s">
        <v>43</v>
      </c>
      <c r="J8" s="117" t="s">
        <v>43</v>
      </c>
      <c r="K8" s="146" t="s">
        <v>217</v>
      </c>
    </row>
    <row r="9" spans="1:13" x14ac:dyDescent="0.25">
      <c r="A9" s="54" t="s">
        <v>12</v>
      </c>
      <c r="B9" s="61">
        <f>'Расчет номинала'!B12</f>
        <v>0</v>
      </c>
      <c r="C9" s="61">
        <f>'Расчет нормативной стоимости'!I$7</f>
        <v>0</v>
      </c>
      <c r="D9" s="62">
        <v>0</v>
      </c>
      <c r="E9" s="62">
        <f t="shared" si="0"/>
        <v>0</v>
      </c>
      <c r="F9" s="62"/>
      <c r="G9" s="62">
        <v>0</v>
      </c>
      <c r="H9" s="63">
        <f>(D9+G9)*B9</f>
        <v>0</v>
      </c>
      <c r="I9" s="117" t="s">
        <v>43</v>
      </c>
      <c r="J9" s="117" t="s">
        <v>43</v>
      </c>
    </row>
    <row r="10" spans="1:13" x14ac:dyDescent="0.25">
      <c r="A10" s="54" t="s">
        <v>13</v>
      </c>
      <c r="B10" s="61">
        <f>'Расчет номинала'!B13</f>
        <v>0</v>
      </c>
      <c r="C10" s="61">
        <f>'Расчет нормативной стоимости'!J$7</f>
        <v>0</v>
      </c>
      <c r="D10" s="62">
        <v>0</v>
      </c>
      <c r="E10" s="62">
        <f t="shared" si="0"/>
        <v>0</v>
      </c>
      <c r="F10" s="62"/>
      <c r="G10" s="62">
        <v>0</v>
      </c>
      <c r="H10" s="63">
        <f t="shared" si="1"/>
        <v>0</v>
      </c>
      <c r="I10" s="117" t="s">
        <v>43</v>
      </c>
      <c r="J10" s="117" t="s">
        <v>43</v>
      </c>
    </row>
    <row r="11" spans="1:13" ht="23.25" customHeight="1" x14ac:dyDescent="0.25">
      <c r="A11" s="1" t="s">
        <v>57</v>
      </c>
      <c r="B11" s="61">
        <f>'Расчет номинала'!B14</f>
        <v>313.77999999999997</v>
      </c>
      <c r="C11" s="61">
        <f>'Расчет нормативной стоимости'!K$7</f>
        <v>265.49</v>
      </c>
      <c r="D11" s="62">
        <v>51652</v>
      </c>
      <c r="E11" s="62">
        <f t="shared" si="0"/>
        <v>29108</v>
      </c>
      <c r="F11" s="62">
        <f>'Сходимость модели ПФ'!O2+'Сходимость модели ПФ'!O4+'Сходимость модели ПФ'!O5</f>
        <v>1152</v>
      </c>
      <c r="G11" s="62">
        <v>21392</v>
      </c>
      <c r="H11" s="63">
        <f t="shared" si="1"/>
        <v>22919746.32</v>
      </c>
      <c r="I11" s="117" t="s">
        <v>43</v>
      </c>
      <c r="J11" s="117" t="s">
        <v>43</v>
      </c>
      <c r="K11" s="146" t="s">
        <v>217</v>
      </c>
    </row>
    <row r="12" spans="1:13" x14ac:dyDescent="0.25">
      <c r="A12" s="55" t="s">
        <v>47</v>
      </c>
      <c r="B12" s="56" t="s">
        <v>43</v>
      </c>
      <c r="C12" s="56" t="s">
        <v>43</v>
      </c>
      <c r="D12" s="64">
        <f t="shared" ref="D12:F12" si="2">SUM(D6:D11)</f>
        <v>146684</v>
      </c>
      <c r="E12" s="64">
        <f t="shared" si="2"/>
        <v>84780</v>
      </c>
      <c r="F12" s="64">
        <f t="shared" si="2"/>
        <v>6400</v>
      </c>
      <c r="G12" s="64">
        <f>SUM(G6:G11)</f>
        <v>55504</v>
      </c>
      <c r="H12" s="65">
        <f>SUM(H6:H11)</f>
        <v>63671354.219999999</v>
      </c>
      <c r="I12" s="117" t="s">
        <v>43</v>
      </c>
      <c r="J12" s="117" t="s">
        <v>43</v>
      </c>
      <c r="M12" s="29">
        <f>D12-G12</f>
        <v>91180</v>
      </c>
    </row>
    <row r="13" spans="1:13" ht="49.5" customHeight="1" x14ac:dyDescent="0.25">
      <c r="A13" s="116" t="s">
        <v>96</v>
      </c>
      <c r="B13" s="229" t="s">
        <v>97</v>
      </c>
      <c r="C13" s="230"/>
      <c r="D13" s="231"/>
      <c r="E13" s="167"/>
      <c r="F13" s="167"/>
      <c r="G13" s="121"/>
      <c r="H13" s="117" t="s">
        <v>43</v>
      </c>
      <c r="I13" s="117" t="s">
        <v>43</v>
      </c>
      <c r="J13" s="52" t="s">
        <v>102</v>
      </c>
    </row>
    <row r="14" spans="1:13" ht="33" customHeight="1" x14ac:dyDescent="0.25">
      <c r="A14" s="116" t="s">
        <v>92</v>
      </c>
      <c r="B14" s="232" t="s">
        <v>95</v>
      </c>
      <c r="C14" s="232"/>
      <c r="D14" s="120"/>
      <c r="E14" s="169"/>
      <c r="F14" s="169"/>
      <c r="G14" s="233" t="s">
        <v>93</v>
      </c>
      <c r="H14" s="234"/>
      <c r="I14" s="120"/>
      <c r="J14" s="118">
        <f>D4-I4</f>
        <v>-17392862.219999999</v>
      </c>
      <c r="K14" s="147">
        <f>J14/G12</f>
        <v>-313.36</v>
      </c>
    </row>
    <row r="15" spans="1:13" s="7" customFormat="1" ht="33" customHeight="1" x14ac:dyDescent="0.25">
      <c r="K15" s="144" t="s">
        <v>218</v>
      </c>
    </row>
    <row r="16" spans="1:13" ht="66.75" customHeight="1" x14ac:dyDescent="0.25">
      <c r="A16" s="126" t="str">
        <f>'Расчет номинала'!D4</f>
        <v>муниципальное бюджетное учреждение дополнительного образования "Дом детского творчества"</v>
      </c>
      <c r="B16" s="227" t="s">
        <v>108</v>
      </c>
      <c r="C16" s="228"/>
      <c r="D16" s="63">
        <f>'Расчет номинала'!D$16</f>
        <v>48862390</v>
      </c>
      <c r="E16" s="168"/>
      <c r="F16" s="168"/>
      <c r="G16" s="227" t="s">
        <v>109</v>
      </c>
      <c r="H16" s="228"/>
      <c r="I16" s="63">
        <f>IF(D26=0,H24+G25,H24+D26+I26)</f>
        <v>69090784.480000004</v>
      </c>
    </row>
    <row r="17" spans="1:14" ht="60.75" customHeight="1" x14ac:dyDescent="0.25">
      <c r="A17" s="52" t="s">
        <v>26</v>
      </c>
      <c r="B17" s="52" t="s">
        <v>46</v>
      </c>
      <c r="C17" s="52" t="s">
        <v>49</v>
      </c>
      <c r="D17" s="53" t="s">
        <v>89</v>
      </c>
      <c r="E17" s="53" t="s">
        <v>237</v>
      </c>
      <c r="F17" s="53" t="s">
        <v>238</v>
      </c>
      <c r="G17" s="53" t="s">
        <v>90</v>
      </c>
      <c r="H17" s="115" t="s">
        <v>91</v>
      </c>
      <c r="I17" s="117" t="s">
        <v>43</v>
      </c>
      <c r="J17" s="117" t="s">
        <v>43</v>
      </c>
    </row>
    <row r="18" spans="1:14" x14ac:dyDescent="0.25">
      <c r="A18" s="54" t="s">
        <v>9</v>
      </c>
      <c r="B18" s="61">
        <f>'Расчет номинала'!D9</f>
        <v>348.33</v>
      </c>
      <c r="C18" s="61">
        <f>'Расчет нормативной стоимости'!F$7</f>
        <v>265.49</v>
      </c>
      <c r="D18" s="62">
        <f>'Расчет номинала'!E9</f>
        <v>9792</v>
      </c>
      <c r="E18" s="62">
        <f>D18-F18-G18</f>
        <v>5440</v>
      </c>
      <c r="F18" s="62">
        <v>576</v>
      </c>
      <c r="G18" s="62">
        <v>3776</v>
      </c>
      <c r="H18" s="63">
        <f>(D18+G18)*B18</f>
        <v>4726141.4400000004</v>
      </c>
      <c r="I18" s="117" t="s">
        <v>43</v>
      </c>
      <c r="J18" s="117" t="s">
        <v>43</v>
      </c>
      <c r="M18" s="164">
        <f>288*2</f>
        <v>576</v>
      </c>
    </row>
    <row r="19" spans="1:14" x14ac:dyDescent="0.25">
      <c r="A19" s="54" t="s">
        <v>10</v>
      </c>
      <c r="B19" s="61">
        <f>'Расчет номинала'!D10</f>
        <v>316.85000000000002</v>
      </c>
      <c r="C19" s="61">
        <f>'Расчет нормативной стоимости'!G$7</f>
        <v>265.49</v>
      </c>
      <c r="D19" s="62">
        <f>'Расчет номинала'!E10</f>
        <v>24624</v>
      </c>
      <c r="E19" s="62">
        <f t="shared" ref="E19:E23" si="3">D19-F19-G19</f>
        <v>13680</v>
      </c>
      <c r="F19" s="62">
        <v>960</v>
      </c>
      <c r="G19" s="62">
        <v>9984</v>
      </c>
      <c r="H19" s="63">
        <f t="shared" ref="H19:H23" si="4">(D19+G19)*B19</f>
        <v>10965544.800000001</v>
      </c>
      <c r="I19" s="117" t="s">
        <v>43</v>
      </c>
      <c r="J19" s="117" t="s">
        <v>43</v>
      </c>
      <c r="M19" s="164">
        <f>480*2</f>
        <v>960</v>
      </c>
    </row>
    <row r="20" spans="1:14" ht="21.75" customHeight="1" x14ac:dyDescent="0.25">
      <c r="A20" s="54" t="s">
        <v>11</v>
      </c>
      <c r="B20" s="61">
        <f>'Расчет номинала'!D11</f>
        <v>359.52</v>
      </c>
      <c r="C20" s="61">
        <f>'Расчет нормативной стоимости'!H$7</f>
        <v>265.49</v>
      </c>
      <c r="D20" s="62">
        <f>'Расчет номинала'!E11</f>
        <v>43524</v>
      </c>
      <c r="E20" s="62">
        <f t="shared" si="3"/>
        <v>23028</v>
      </c>
      <c r="F20" s="62">
        <v>1664</v>
      </c>
      <c r="G20" s="62">
        <v>18832</v>
      </c>
      <c r="H20" s="63">
        <f>(D20+G20)*B20</f>
        <v>22418229.120000001</v>
      </c>
      <c r="I20" s="117" t="s">
        <v>43</v>
      </c>
      <c r="J20" s="117" t="s">
        <v>43</v>
      </c>
      <c r="K20" s="146" t="s">
        <v>217</v>
      </c>
      <c r="M20" s="164">
        <f>832*2</f>
        <v>1664</v>
      </c>
    </row>
    <row r="21" spans="1:14" x14ac:dyDescent="0.25">
      <c r="A21" s="54" t="s">
        <v>12</v>
      </c>
      <c r="B21" s="61">
        <f>'Расчет номинала'!D12</f>
        <v>0</v>
      </c>
      <c r="C21" s="61">
        <f>'Расчет нормативной стоимости'!I$7</f>
        <v>0</v>
      </c>
      <c r="D21" s="62">
        <f>'Расчет номинала'!E12</f>
        <v>0</v>
      </c>
      <c r="E21" s="62"/>
      <c r="F21" s="62"/>
      <c r="G21" s="62">
        <v>0</v>
      </c>
      <c r="H21" s="63">
        <f t="shared" si="4"/>
        <v>0</v>
      </c>
      <c r="I21" s="117" t="s">
        <v>43</v>
      </c>
      <c r="J21" s="117" t="s">
        <v>43</v>
      </c>
    </row>
    <row r="22" spans="1:14" x14ac:dyDescent="0.25">
      <c r="A22" s="54" t="s">
        <v>13</v>
      </c>
      <c r="B22" s="61">
        <f>'Расчет номинала'!D13</f>
        <v>0</v>
      </c>
      <c r="C22" s="61">
        <f>'Расчет нормативной стоимости'!J$7</f>
        <v>0</v>
      </c>
      <c r="D22" s="62">
        <f>'Расчет номинала'!E13</f>
        <v>0</v>
      </c>
      <c r="E22" s="62"/>
      <c r="F22" s="62"/>
      <c r="G22" s="62">
        <v>0</v>
      </c>
      <c r="H22" s="63">
        <f t="shared" si="4"/>
        <v>0</v>
      </c>
      <c r="I22" s="117" t="s">
        <v>43</v>
      </c>
      <c r="J22" s="117" t="s">
        <v>43</v>
      </c>
    </row>
    <row r="23" spans="1:14" ht="24" customHeight="1" x14ac:dyDescent="0.25">
      <c r="A23" s="1" t="s">
        <v>57</v>
      </c>
      <c r="B23" s="61">
        <f>'Расчет номинала'!D14</f>
        <v>416.32</v>
      </c>
      <c r="C23" s="61">
        <f>'Расчет нормативной стоимости'!K$7</f>
        <v>265.49</v>
      </c>
      <c r="D23" s="62">
        <f>'Расчет номинала'!E14</f>
        <v>52848</v>
      </c>
      <c r="E23" s="62">
        <f t="shared" si="3"/>
        <v>28720</v>
      </c>
      <c r="F23" s="62">
        <v>2560</v>
      </c>
      <c r="G23" s="62">
        <v>21568</v>
      </c>
      <c r="H23" s="63">
        <f t="shared" si="4"/>
        <v>30980869.120000001</v>
      </c>
      <c r="I23" s="117" t="s">
        <v>43</v>
      </c>
      <c r="J23" s="117" t="s">
        <v>43</v>
      </c>
      <c r="K23" s="146" t="s">
        <v>217</v>
      </c>
      <c r="M23" s="164">
        <f>1280*2</f>
        <v>2560</v>
      </c>
    </row>
    <row r="24" spans="1:14" x14ac:dyDescent="0.25">
      <c r="A24" s="55" t="s">
        <v>47</v>
      </c>
      <c r="B24" s="56" t="s">
        <v>43</v>
      </c>
      <c r="C24" s="56" t="s">
        <v>43</v>
      </c>
      <c r="D24" s="64">
        <f t="shared" ref="D24:G24" si="5">SUM(D18:D23)</f>
        <v>130788</v>
      </c>
      <c r="E24" s="64">
        <f t="shared" si="5"/>
        <v>70868</v>
      </c>
      <c r="F24" s="64">
        <f t="shared" si="5"/>
        <v>5760</v>
      </c>
      <c r="G24" s="64">
        <f t="shared" si="5"/>
        <v>54160</v>
      </c>
      <c r="H24" s="65">
        <f>SUM(H18:H23)</f>
        <v>69090784.480000004</v>
      </c>
      <c r="I24" s="117" t="s">
        <v>43</v>
      </c>
      <c r="J24" s="117" t="s">
        <v>43</v>
      </c>
      <c r="M24" s="164">
        <f>SUM(M18:M23)</f>
        <v>5760</v>
      </c>
      <c r="N24" s="29">
        <f>D24-G24</f>
        <v>76628</v>
      </c>
    </row>
    <row r="25" spans="1:14" ht="47.25" x14ac:dyDescent="0.25">
      <c r="A25" s="116" t="s">
        <v>96</v>
      </c>
      <c r="B25" s="229" t="s">
        <v>97</v>
      </c>
      <c r="C25" s="230"/>
      <c r="D25" s="231"/>
      <c r="E25" s="167"/>
      <c r="F25" s="167"/>
      <c r="G25" s="121"/>
      <c r="H25" s="117" t="s">
        <v>43</v>
      </c>
      <c r="I25" s="117" t="s">
        <v>43</v>
      </c>
      <c r="J25" s="52" t="s">
        <v>102</v>
      </c>
    </row>
    <row r="26" spans="1:14" ht="48" customHeight="1" x14ac:dyDescent="0.25">
      <c r="A26" s="116" t="s">
        <v>92</v>
      </c>
      <c r="B26" s="232" t="s">
        <v>95</v>
      </c>
      <c r="C26" s="232"/>
      <c r="D26" s="120"/>
      <c r="E26" s="169"/>
      <c r="F26" s="169"/>
      <c r="G26" s="233" t="s">
        <v>93</v>
      </c>
      <c r="H26" s="234"/>
      <c r="I26" s="120"/>
      <c r="J26" s="118">
        <f>D16-I16</f>
        <v>-20228394.48</v>
      </c>
      <c r="K26" s="147">
        <f>J26/G24</f>
        <v>-373.49</v>
      </c>
    </row>
    <row r="27" spans="1:14" x14ac:dyDescent="0.25">
      <c r="J27" s="34">
        <f>J26+J14</f>
        <v>-37621256.700000003</v>
      </c>
      <c r="K27" s="144" t="s">
        <v>218</v>
      </c>
    </row>
    <row r="28" spans="1:14" ht="60" hidden="1" customHeight="1" x14ac:dyDescent="0.25">
      <c r="A28" s="126" t="str">
        <f>'Расчет номинала'!F4</f>
        <v>Организация 3</v>
      </c>
      <c r="B28" s="227" t="s">
        <v>108</v>
      </c>
      <c r="C28" s="228"/>
      <c r="D28" s="63">
        <f>'Расчет номинала'!F$16</f>
        <v>0</v>
      </c>
      <c r="E28" s="168"/>
      <c r="F28" s="168"/>
      <c r="G28" s="227" t="s">
        <v>109</v>
      </c>
      <c r="H28" s="228"/>
      <c r="I28" s="63">
        <f>IF(D38=0,H36+G37,H36+D38+I38)</f>
        <v>0</v>
      </c>
    </row>
    <row r="29" spans="1:14" ht="63" hidden="1" x14ac:dyDescent="0.25">
      <c r="A29" s="52" t="s">
        <v>26</v>
      </c>
      <c r="B29" s="52" t="s">
        <v>46</v>
      </c>
      <c r="C29" s="52" t="s">
        <v>49</v>
      </c>
      <c r="D29" s="53" t="s">
        <v>89</v>
      </c>
      <c r="E29" s="53"/>
      <c r="F29" s="53"/>
      <c r="G29" s="53" t="s">
        <v>90</v>
      </c>
      <c r="H29" s="115" t="s">
        <v>91</v>
      </c>
      <c r="I29" s="117" t="s">
        <v>43</v>
      </c>
      <c r="J29" s="117" t="s">
        <v>43</v>
      </c>
    </row>
    <row r="30" spans="1:14" hidden="1" x14ac:dyDescent="0.25">
      <c r="A30" s="54" t="s">
        <v>9</v>
      </c>
      <c r="B30" s="61">
        <f>'Расчет номинала'!F9</f>
        <v>0</v>
      </c>
      <c r="C30" s="61">
        <f>'Расчет нормативной стоимости'!F$7</f>
        <v>265.49</v>
      </c>
      <c r="D30" s="62"/>
      <c r="E30" s="62"/>
      <c r="F30" s="62"/>
      <c r="G30" s="62"/>
      <c r="H30" s="63">
        <f>(D30+G30)*B30</f>
        <v>0</v>
      </c>
      <c r="I30" s="117" t="s">
        <v>43</v>
      </c>
      <c r="J30" s="117" t="s">
        <v>43</v>
      </c>
    </row>
    <row r="31" spans="1:14" hidden="1" x14ac:dyDescent="0.25">
      <c r="A31" s="54" t="s">
        <v>10</v>
      </c>
      <c r="B31" s="61">
        <f>'Расчет номинала'!F10</f>
        <v>0</v>
      </c>
      <c r="C31" s="61">
        <f>'Расчет нормативной стоимости'!G$7</f>
        <v>265.49</v>
      </c>
      <c r="D31" s="62"/>
      <c r="E31" s="62"/>
      <c r="F31" s="62"/>
      <c r="G31" s="62"/>
      <c r="H31" s="63">
        <f t="shared" ref="H31:H35" si="6">(D31+G31)*B31</f>
        <v>0</v>
      </c>
      <c r="I31" s="117" t="s">
        <v>43</v>
      </c>
      <c r="J31" s="117" t="s">
        <v>43</v>
      </c>
    </row>
    <row r="32" spans="1:14" hidden="1" x14ac:dyDescent="0.25">
      <c r="A32" s="54" t="s">
        <v>11</v>
      </c>
      <c r="B32" s="61">
        <f>'Расчет номинала'!F11</f>
        <v>0</v>
      </c>
      <c r="C32" s="61">
        <f>'Расчет нормативной стоимости'!H$7</f>
        <v>265.49</v>
      </c>
      <c r="D32" s="62"/>
      <c r="E32" s="62"/>
      <c r="F32" s="62"/>
      <c r="G32" s="62"/>
      <c r="H32" s="63">
        <f t="shared" si="6"/>
        <v>0</v>
      </c>
      <c r="I32" s="117" t="s">
        <v>43</v>
      </c>
      <c r="J32" s="117" t="s">
        <v>43</v>
      </c>
    </row>
    <row r="33" spans="1:10" hidden="1" x14ac:dyDescent="0.25">
      <c r="A33" s="54" t="s">
        <v>12</v>
      </c>
      <c r="B33" s="61">
        <f>'Расчет номинала'!F12</f>
        <v>0</v>
      </c>
      <c r="C33" s="61">
        <f>'Расчет нормативной стоимости'!I$7</f>
        <v>0</v>
      </c>
      <c r="D33" s="62"/>
      <c r="E33" s="62"/>
      <c r="F33" s="62"/>
      <c r="G33" s="62"/>
      <c r="H33" s="63">
        <f t="shared" si="6"/>
        <v>0</v>
      </c>
      <c r="I33" s="117" t="s">
        <v>43</v>
      </c>
      <c r="J33" s="117" t="s">
        <v>43</v>
      </c>
    </row>
    <row r="34" spans="1:10" hidden="1" x14ac:dyDescent="0.25">
      <c r="A34" s="54" t="s">
        <v>13</v>
      </c>
      <c r="B34" s="61">
        <f>'Расчет номинала'!F13</f>
        <v>0</v>
      </c>
      <c r="C34" s="61">
        <f>'Расчет нормативной стоимости'!J$7</f>
        <v>0</v>
      </c>
      <c r="D34" s="62"/>
      <c r="E34" s="62"/>
      <c r="F34" s="62"/>
      <c r="G34" s="62"/>
      <c r="H34" s="63">
        <f t="shared" si="6"/>
        <v>0</v>
      </c>
      <c r="I34" s="117" t="s">
        <v>43</v>
      </c>
      <c r="J34" s="117" t="s">
        <v>43</v>
      </c>
    </row>
    <row r="35" spans="1:10" hidden="1" x14ac:dyDescent="0.25">
      <c r="A35" s="1" t="s">
        <v>57</v>
      </c>
      <c r="B35" s="61">
        <f>'Расчет номинала'!F14</f>
        <v>0</v>
      </c>
      <c r="C35" s="61">
        <f>'Расчет нормативной стоимости'!K$7</f>
        <v>265.49</v>
      </c>
      <c r="D35" s="62"/>
      <c r="E35" s="62"/>
      <c r="F35" s="62"/>
      <c r="G35" s="62"/>
      <c r="H35" s="63">
        <f t="shared" si="6"/>
        <v>0</v>
      </c>
      <c r="I35" s="117" t="s">
        <v>43</v>
      </c>
      <c r="J35" s="117" t="s">
        <v>43</v>
      </c>
    </row>
    <row r="36" spans="1:10" hidden="1" x14ac:dyDescent="0.25">
      <c r="A36" s="55" t="s">
        <v>47</v>
      </c>
      <c r="B36" s="56" t="s">
        <v>43</v>
      </c>
      <c r="C36" s="56" t="s">
        <v>43</v>
      </c>
      <c r="D36" s="64">
        <f t="shared" ref="D36:H36" si="7">SUM(D30:D35)</f>
        <v>0</v>
      </c>
      <c r="E36" s="64"/>
      <c r="F36" s="64"/>
      <c r="G36" s="64">
        <f t="shared" si="7"/>
        <v>0</v>
      </c>
      <c r="H36" s="65">
        <f t="shared" si="7"/>
        <v>0</v>
      </c>
      <c r="I36" s="117" t="s">
        <v>43</v>
      </c>
      <c r="J36" s="117" t="s">
        <v>43</v>
      </c>
    </row>
    <row r="37" spans="1:10" ht="47.25" hidden="1" x14ac:dyDescent="0.25">
      <c r="A37" s="116" t="s">
        <v>96</v>
      </c>
      <c r="B37" s="229" t="s">
        <v>97</v>
      </c>
      <c r="C37" s="230"/>
      <c r="D37" s="231"/>
      <c r="E37" s="167"/>
      <c r="F37" s="167"/>
      <c r="G37" s="121"/>
      <c r="H37" s="117" t="s">
        <v>43</v>
      </c>
      <c r="I37" s="117" t="s">
        <v>43</v>
      </c>
      <c r="J37" s="52" t="s">
        <v>102</v>
      </c>
    </row>
    <row r="38" spans="1:10" hidden="1" x14ac:dyDescent="0.25">
      <c r="A38" s="116" t="s">
        <v>92</v>
      </c>
      <c r="B38" s="232" t="s">
        <v>95</v>
      </c>
      <c r="C38" s="232"/>
      <c r="D38" s="120"/>
      <c r="E38" s="169"/>
      <c r="F38" s="169"/>
      <c r="G38" s="233" t="s">
        <v>93</v>
      </c>
      <c r="H38" s="234"/>
      <c r="I38" s="120"/>
      <c r="J38" s="118">
        <f>D28-I28</f>
        <v>0</v>
      </c>
    </row>
    <row r="39" spans="1:10" hidden="1" x14ac:dyDescent="0.25"/>
    <row r="40" spans="1:10" ht="62.25" hidden="1" customHeight="1" x14ac:dyDescent="0.25">
      <c r="A40" s="126" t="str">
        <f>'Расчет номинала'!H4</f>
        <v>Организация 4</v>
      </c>
      <c r="B40" s="227" t="s">
        <v>108</v>
      </c>
      <c r="C40" s="228"/>
      <c r="D40" s="63">
        <f>'Расчет номинала'!H$16</f>
        <v>0</v>
      </c>
      <c r="E40" s="168"/>
      <c r="F40" s="168"/>
      <c r="G40" s="227" t="s">
        <v>109</v>
      </c>
      <c r="H40" s="228"/>
      <c r="I40" s="63">
        <f>IF(D50=0,H48+G49,H48+D50+I50)</f>
        <v>0</v>
      </c>
    </row>
    <row r="41" spans="1:10" ht="63" hidden="1" x14ac:dyDescent="0.25">
      <c r="A41" s="52" t="s">
        <v>26</v>
      </c>
      <c r="B41" s="52" t="s">
        <v>46</v>
      </c>
      <c r="C41" s="52" t="s">
        <v>49</v>
      </c>
      <c r="D41" s="53" t="s">
        <v>89</v>
      </c>
      <c r="E41" s="53"/>
      <c r="F41" s="53"/>
      <c r="G41" s="53" t="s">
        <v>90</v>
      </c>
      <c r="H41" s="115" t="s">
        <v>91</v>
      </c>
      <c r="I41" s="117" t="s">
        <v>43</v>
      </c>
      <c r="J41" s="117" t="s">
        <v>43</v>
      </c>
    </row>
    <row r="42" spans="1:10" hidden="1" x14ac:dyDescent="0.25">
      <c r="A42" s="54" t="s">
        <v>9</v>
      </c>
      <c r="B42" s="61">
        <f>'Расчет номинала'!H$9</f>
        <v>0</v>
      </c>
      <c r="C42" s="61">
        <f>'Расчет нормативной стоимости'!F$7</f>
        <v>265.49</v>
      </c>
      <c r="D42" s="62"/>
      <c r="E42" s="62"/>
      <c r="F42" s="62"/>
      <c r="G42" s="62"/>
      <c r="H42" s="63">
        <f>(D42+G42)*B42</f>
        <v>0</v>
      </c>
      <c r="I42" s="117" t="s">
        <v>43</v>
      </c>
      <c r="J42" s="117" t="s">
        <v>43</v>
      </c>
    </row>
    <row r="43" spans="1:10" hidden="1" x14ac:dyDescent="0.25">
      <c r="A43" s="54" t="s">
        <v>10</v>
      </c>
      <c r="B43" s="61">
        <f>'Расчет номинала'!H10</f>
        <v>0</v>
      </c>
      <c r="C43" s="61">
        <f>'Расчет нормативной стоимости'!G$7</f>
        <v>265.49</v>
      </c>
      <c r="D43" s="62"/>
      <c r="E43" s="62"/>
      <c r="F43" s="62"/>
      <c r="G43" s="62"/>
      <c r="H43" s="63">
        <f t="shared" ref="H43:H47" si="8">(D43+G43)*B43</f>
        <v>0</v>
      </c>
      <c r="I43" s="117" t="s">
        <v>43</v>
      </c>
      <c r="J43" s="117" t="s">
        <v>43</v>
      </c>
    </row>
    <row r="44" spans="1:10" hidden="1" x14ac:dyDescent="0.25">
      <c r="A44" s="54" t="s">
        <v>11</v>
      </c>
      <c r="B44" s="61">
        <f>'Расчет номинала'!H11</f>
        <v>0</v>
      </c>
      <c r="C44" s="61">
        <f>'Расчет нормативной стоимости'!H$7</f>
        <v>265.49</v>
      </c>
      <c r="D44" s="62"/>
      <c r="E44" s="62"/>
      <c r="F44" s="62"/>
      <c r="G44" s="62"/>
      <c r="H44" s="63">
        <f t="shared" si="8"/>
        <v>0</v>
      </c>
      <c r="I44" s="117" t="s">
        <v>43</v>
      </c>
      <c r="J44" s="117" t="s">
        <v>43</v>
      </c>
    </row>
    <row r="45" spans="1:10" hidden="1" x14ac:dyDescent="0.25">
      <c r="A45" s="54" t="s">
        <v>12</v>
      </c>
      <c r="B45" s="61">
        <f>'Расчет номинала'!H12</f>
        <v>0</v>
      </c>
      <c r="C45" s="61">
        <f>'Расчет нормативной стоимости'!I$7</f>
        <v>0</v>
      </c>
      <c r="D45" s="62"/>
      <c r="E45" s="62"/>
      <c r="F45" s="62"/>
      <c r="G45" s="62"/>
      <c r="H45" s="63">
        <f t="shared" si="8"/>
        <v>0</v>
      </c>
      <c r="I45" s="117" t="s">
        <v>43</v>
      </c>
      <c r="J45" s="117" t="s">
        <v>43</v>
      </c>
    </row>
    <row r="46" spans="1:10" hidden="1" x14ac:dyDescent="0.25">
      <c r="A46" s="54" t="s">
        <v>13</v>
      </c>
      <c r="B46" s="61">
        <f>'Расчет номинала'!H13</f>
        <v>0</v>
      </c>
      <c r="C46" s="61">
        <f>'Расчет нормативной стоимости'!J$7</f>
        <v>0</v>
      </c>
      <c r="D46" s="62"/>
      <c r="E46" s="62"/>
      <c r="F46" s="62"/>
      <c r="G46" s="62"/>
      <c r="H46" s="63">
        <f t="shared" si="8"/>
        <v>0</v>
      </c>
      <c r="I46" s="117" t="s">
        <v>43</v>
      </c>
      <c r="J46" s="117" t="s">
        <v>43</v>
      </c>
    </row>
    <row r="47" spans="1:10" hidden="1" x14ac:dyDescent="0.25">
      <c r="A47" s="1" t="s">
        <v>57</v>
      </c>
      <c r="B47" s="61">
        <f>'Расчет номинала'!H14</f>
        <v>0</v>
      </c>
      <c r="C47" s="61">
        <f>'Расчет нормативной стоимости'!K$7</f>
        <v>265.49</v>
      </c>
      <c r="D47" s="62"/>
      <c r="E47" s="62"/>
      <c r="F47" s="62"/>
      <c r="G47" s="62"/>
      <c r="H47" s="63">
        <f t="shared" si="8"/>
        <v>0</v>
      </c>
      <c r="I47" s="117" t="s">
        <v>43</v>
      </c>
      <c r="J47" s="117" t="s">
        <v>43</v>
      </c>
    </row>
    <row r="48" spans="1:10" hidden="1" x14ac:dyDescent="0.25">
      <c r="A48" s="55" t="s">
        <v>47</v>
      </c>
      <c r="B48" s="56" t="s">
        <v>43</v>
      </c>
      <c r="C48" s="56" t="s">
        <v>43</v>
      </c>
      <c r="D48" s="64">
        <f t="shared" ref="D48:H48" si="9">SUM(D42:D47)</f>
        <v>0</v>
      </c>
      <c r="E48" s="64"/>
      <c r="F48" s="64"/>
      <c r="G48" s="64">
        <f t="shared" si="9"/>
        <v>0</v>
      </c>
      <c r="H48" s="65">
        <f t="shared" si="9"/>
        <v>0</v>
      </c>
      <c r="I48" s="117" t="s">
        <v>43</v>
      </c>
      <c r="J48" s="117" t="s">
        <v>43</v>
      </c>
    </row>
    <row r="49" spans="1:10" ht="47.25" hidden="1" x14ac:dyDescent="0.25">
      <c r="A49" s="116" t="s">
        <v>96</v>
      </c>
      <c r="B49" s="229" t="s">
        <v>97</v>
      </c>
      <c r="C49" s="230"/>
      <c r="D49" s="231"/>
      <c r="E49" s="167"/>
      <c r="F49" s="167"/>
      <c r="G49" s="121"/>
      <c r="H49" s="117" t="s">
        <v>43</v>
      </c>
      <c r="I49" s="117" t="s">
        <v>43</v>
      </c>
      <c r="J49" s="52" t="s">
        <v>102</v>
      </c>
    </row>
    <row r="50" spans="1:10" hidden="1" x14ac:dyDescent="0.25">
      <c r="A50" s="116" t="s">
        <v>92</v>
      </c>
      <c r="B50" s="232" t="s">
        <v>95</v>
      </c>
      <c r="C50" s="232"/>
      <c r="D50" s="120"/>
      <c r="E50" s="169"/>
      <c r="F50" s="169"/>
      <c r="G50" s="233" t="s">
        <v>93</v>
      </c>
      <c r="H50" s="234"/>
      <c r="I50" s="120"/>
      <c r="J50" s="118">
        <f>D40-I40</f>
        <v>0</v>
      </c>
    </row>
    <row r="51" spans="1:10" hidden="1" x14ac:dyDescent="0.25"/>
    <row r="52" spans="1:10" ht="63" hidden="1" customHeight="1" x14ac:dyDescent="0.25">
      <c r="A52" s="126" t="str">
        <f>'Расчет номинала'!J4</f>
        <v>Организация 5</v>
      </c>
      <c r="B52" s="227" t="s">
        <v>108</v>
      </c>
      <c r="C52" s="228"/>
      <c r="D52" s="63">
        <f>'Расчет номинала'!J$16</f>
        <v>0</v>
      </c>
      <c r="E52" s="168"/>
      <c r="F52" s="168"/>
      <c r="G52" s="227" t="s">
        <v>109</v>
      </c>
      <c r="H52" s="228"/>
      <c r="I52" s="63">
        <f>IF(D62=0,H60+G61,H60+D62+I62)</f>
        <v>0</v>
      </c>
    </row>
    <row r="53" spans="1:10" ht="63" hidden="1" x14ac:dyDescent="0.25">
      <c r="A53" s="52" t="s">
        <v>26</v>
      </c>
      <c r="B53" s="52" t="s">
        <v>46</v>
      </c>
      <c r="C53" s="52" t="s">
        <v>49</v>
      </c>
      <c r="D53" s="53" t="s">
        <v>89</v>
      </c>
      <c r="E53" s="53"/>
      <c r="F53" s="53"/>
      <c r="G53" s="53" t="s">
        <v>90</v>
      </c>
      <c r="H53" s="115" t="s">
        <v>91</v>
      </c>
      <c r="I53" s="117" t="s">
        <v>43</v>
      </c>
      <c r="J53" s="117" t="s">
        <v>43</v>
      </c>
    </row>
    <row r="54" spans="1:10" hidden="1" x14ac:dyDescent="0.25">
      <c r="A54" s="54" t="s">
        <v>9</v>
      </c>
      <c r="B54" s="61">
        <f>'Расчет номинала'!J$9</f>
        <v>0</v>
      </c>
      <c r="C54" s="61">
        <f>'Расчет нормативной стоимости'!F$7</f>
        <v>265.49</v>
      </c>
      <c r="D54" s="62"/>
      <c r="E54" s="62"/>
      <c r="F54" s="62"/>
      <c r="G54" s="62"/>
      <c r="H54" s="63">
        <f>(D54+G54)*B54</f>
        <v>0</v>
      </c>
      <c r="I54" s="117" t="s">
        <v>43</v>
      </c>
      <c r="J54" s="117" t="s">
        <v>43</v>
      </c>
    </row>
    <row r="55" spans="1:10" hidden="1" x14ac:dyDescent="0.25">
      <c r="A55" s="54" t="s">
        <v>10</v>
      </c>
      <c r="B55" s="61">
        <f>'Расчет номинала'!J10</f>
        <v>0</v>
      </c>
      <c r="C55" s="61">
        <f>'Расчет нормативной стоимости'!G$7</f>
        <v>265.49</v>
      </c>
      <c r="D55" s="62"/>
      <c r="E55" s="62"/>
      <c r="F55" s="62"/>
      <c r="G55" s="62"/>
      <c r="H55" s="63">
        <f t="shared" ref="H55:H59" si="10">(D55+G55)*B55</f>
        <v>0</v>
      </c>
      <c r="I55" s="117" t="s">
        <v>43</v>
      </c>
      <c r="J55" s="117" t="s">
        <v>43</v>
      </c>
    </row>
    <row r="56" spans="1:10" hidden="1" x14ac:dyDescent="0.25">
      <c r="A56" s="54" t="s">
        <v>11</v>
      </c>
      <c r="B56" s="61">
        <f>'Расчет номинала'!J11</f>
        <v>0</v>
      </c>
      <c r="C56" s="61">
        <f>'Расчет нормативной стоимости'!H$7</f>
        <v>265.49</v>
      </c>
      <c r="D56" s="62"/>
      <c r="E56" s="62"/>
      <c r="F56" s="62"/>
      <c r="G56" s="62"/>
      <c r="H56" s="63">
        <f t="shared" si="10"/>
        <v>0</v>
      </c>
      <c r="I56" s="117" t="s">
        <v>43</v>
      </c>
      <c r="J56" s="117" t="s">
        <v>43</v>
      </c>
    </row>
    <row r="57" spans="1:10" hidden="1" x14ac:dyDescent="0.25">
      <c r="A57" s="54" t="s">
        <v>12</v>
      </c>
      <c r="B57" s="61">
        <f>'Расчет номинала'!J12</f>
        <v>0</v>
      </c>
      <c r="C57" s="61">
        <f>'Расчет нормативной стоимости'!I$7</f>
        <v>0</v>
      </c>
      <c r="D57" s="62"/>
      <c r="E57" s="62"/>
      <c r="F57" s="62"/>
      <c r="G57" s="62"/>
      <c r="H57" s="63">
        <f t="shared" si="10"/>
        <v>0</v>
      </c>
      <c r="I57" s="117" t="s">
        <v>43</v>
      </c>
      <c r="J57" s="117" t="s">
        <v>43</v>
      </c>
    </row>
    <row r="58" spans="1:10" hidden="1" x14ac:dyDescent="0.25">
      <c r="A58" s="54" t="s">
        <v>13</v>
      </c>
      <c r="B58" s="61">
        <f>'Расчет номинала'!J13</f>
        <v>0</v>
      </c>
      <c r="C58" s="61">
        <f>'Расчет нормативной стоимости'!J$7</f>
        <v>0</v>
      </c>
      <c r="D58" s="62"/>
      <c r="E58" s="62"/>
      <c r="F58" s="62"/>
      <c r="G58" s="62"/>
      <c r="H58" s="63">
        <f t="shared" si="10"/>
        <v>0</v>
      </c>
      <c r="I58" s="117" t="s">
        <v>43</v>
      </c>
      <c r="J58" s="117" t="s">
        <v>43</v>
      </c>
    </row>
    <row r="59" spans="1:10" hidden="1" x14ac:dyDescent="0.25">
      <c r="A59" s="1" t="s">
        <v>57</v>
      </c>
      <c r="B59" s="61">
        <f>'Расчет номинала'!J14</f>
        <v>0</v>
      </c>
      <c r="C59" s="61">
        <f>'Расчет нормативной стоимости'!K$7</f>
        <v>265.49</v>
      </c>
      <c r="D59" s="62"/>
      <c r="E59" s="62"/>
      <c r="F59" s="62"/>
      <c r="G59" s="62"/>
      <c r="H59" s="63">
        <f t="shared" si="10"/>
        <v>0</v>
      </c>
      <c r="I59" s="117" t="s">
        <v>43</v>
      </c>
      <c r="J59" s="117" t="s">
        <v>43</v>
      </c>
    </row>
    <row r="60" spans="1:10" hidden="1" x14ac:dyDescent="0.25">
      <c r="A60" s="55" t="s">
        <v>47</v>
      </c>
      <c r="B60" s="56" t="s">
        <v>43</v>
      </c>
      <c r="C60" s="56" t="s">
        <v>43</v>
      </c>
      <c r="D60" s="64">
        <f t="shared" ref="D60:H60" si="11">SUM(D54:D59)</f>
        <v>0</v>
      </c>
      <c r="E60" s="64"/>
      <c r="F60" s="64"/>
      <c r="G60" s="64">
        <f t="shared" si="11"/>
        <v>0</v>
      </c>
      <c r="H60" s="65">
        <f t="shared" si="11"/>
        <v>0</v>
      </c>
      <c r="I60" s="117" t="s">
        <v>43</v>
      </c>
      <c r="J60" s="117" t="s">
        <v>43</v>
      </c>
    </row>
    <row r="61" spans="1:10" ht="47.25" hidden="1" x14ac:dyDescent="0.25">
      <c r="A61" s="116" t="s">
        <v>96</v>
      </c>
      <c r="B61" s="229" t="s">
        <v>97</v>
      </c>
      <c r="C61" s="230"/>
      <c r="D61" s="231"/>
      <c r="E61" s="167"/>
      <c r="F61" s="167"/>
      <c r="G61" s="121"/>
      <c r="H61" s="117" t="s">
        <v>43</v>
      </c>
      <c r="I61" s="117" t="s">
        <v>43</v>
      </c>
      <c r="J61" s="52" t="s">
        <v>102</v>
      </c>
    </row>
    <row r="62" spans="1:10" hidden="1" x14ac:dyDescent="0.25">
      <c r="A62" s="116" t="s">
        <v>92</v>
      </c>
      <c r="B62" s="232" t="s">
        <v>95</v>
      </c>
      <c r="C62" s="232"/>
      <c r="D62" s="120"/>
      <c r="E62" s="169"/>
      <c r="F62" s="169"/>
      <c r="G62" s="233" t="s">
        <v>93</v>
      </c>
      <c r="H62" s="234"/>
      <c r="I62" s="120"/>
      <c r="J62" s="118">
        <f>D52-I52</f>
        <v>0</v>
      </c>
    </row>
    <row r="63" spans="1:10" hidden="1" x14ac:dyDescent="0.25"/>
    <row r="64" spans="1:10" ht="63.75" hidden="1" customHeight="1" x14ac:dyDescent="0.25">
      <c r="A64" s="126" t="str">
        <f>'Расчет номинала'!L4</f>
        <v>Организация 6</v>
      </c>
      <c r="B64" s="227" t="s">
        <v>108</v>
      </c>
      <c r="C64" s="228"/>
      <c r="D64" s="63">
        <f>'Расчет номинала'!L$16</f>
        <v>0</v>
      </c>
      <c r="E64" s="168"/>
      <c r="F64" s="168"/>
      <c r="G64" s="227" t="s">
        <v>109</v>
      </c>
      <c r="H64" s="228"/>
      <c r="I64" s="63">
        <f>IF(D74=0,H72+G73,H72+D74+I74)</f>
        <v>0</v>
      </c>
    </row>
    <row r="65" spans="1:10" ht="63" hidden="1" x14ac:dyDescent="0.25">
      <c r="A65" s="52" t="s">
        <v>26</v>
      </c>
      <c r="B65" s="52" t="s">
        <v>46</v>
      </c>
      <c r="C65" s="52" t="s">
        <v>49</v>
      </c>
      <c r="D65" s="53" t="s">
        <v>89</v>
      </c>
      <c r="E65" s="53"/>
      <c r="F65" s="53"/>
      <c r="G65" s="53" t="s">
        <v>90</v>
      </c>
      <c r="H65" s="115" t="s">
        <v>91</v>
      </c>
      <c r="I65" s="117" t="s">
        <v>43</v>
      </c>
      <c r="J65" s="117" t="s">
        <v>43</v>
      </c>
    </row>
    <row r="66" spans="1:10" hidden="1" x14ac:dyDescent="0.25">
      <c r="A66" s="54" t="s">
        <v>9</v>
      </c>
      <c r="B66" s="61">
        <f>'Расчет номинала'!L$9</f>
        <v>0</v>
      </c>
      <c r="C66" s="61">
        <f>'Расчет нормативной стоимости'!F$7</f>
        <v>265.49</v>
      </c>
      <c r="D66" s="62"/>
      <c r="E66" s="62"/>
      <c r="F66" s="62"/>
      <c r="G66" s="62"/>
      <c r="H66" s="63">
        <f>(D66+G66)*B66</f>
        <v>0</v>
      </c>
      <c r="I66" s="117" t="s">
        <v>43</v>
      </c>
      <c r="J66" s="117" t="s">
        <v>43</v>
      </c>
    </row>
    <row r="67" spans="1:10" hidden="1" x14ac:dyDescent="0.25">
      <c r="A67" s="54" t="s">
        <v>10</v>
      </c>
      <c r="B67" s="61">
        <f>'Расчет номинала'!L10</f>
        <v>0</v>
      </c>
      <c r="C67" s="61">
        <f>'Расчет нормативной стоимости'!G$7</f>
        <v>265.49</v>
      </c>
      <c r="D67" s="62"/>
      <c r="E67" s="62"/>
      <c r="F67" s="62"/>
      <c r="G67" s="62"/>
      <c r="H67" s="63">
        <f t="shared" ref="H67:H71" si="12">(D67+G67)*B67</f>
        <v>0</v>
      </c>
      <c r="I67" s="117" t="s">
        <v>43</v>
      </c>
      <c r="J67" s="117" t="s">
        <v>43</v>
      </c>
    </row>
    <row r="68" spans="1:10" hidden="1" x14ac:dyDescent="0.25">
      <c r="A68" s="54" t="s">
        <v>11</v>
      </c>
      <c r="B68" s="61">
        <f>'Расчет номинала'!L11</f>
        <v>0</v>
      </c>
      <c r="C68" s="61">
        <f>'Расчет нормативной стоимости'!H$7</f>
        <v>265.49</v>
      </c>
      <c r="D68" s="62"/>
      <c r="E68" s="62"/>
      <c r="F68" s="62"/>
      <c r="G68" s="62"/>
      <c r="H68" s="63">
        <f t="shared" si="12"/>
        <v>0</v>
      </c>
      <c r="I68" s="117" t="s">
        <v>43</v>
      </c>
      <c r="J68" s="117" t="s">
        <v>43</v>
      </c>
    </row>
    <row r="69" spans="1:10" hidden="1" x14ac:dyDescent="0.25">
      <c r="A69" s="54" t="s">
        <v>12</v>
      </c>
      <c r="B69" s="61">
        <f>'Расчет номинала'!L12</f>
        <v>0</v>
      </c>
      <c r="C69" s="61">
        <f>'Расчет нормативной стоимости'!I$7</f>
        <v>0</v>
      </c>
      <c r="D69" s="62"/>
      <c r="E69" s="62"/>
      <c r="F69" s="62"/>
      <c r="G69" s="62"/>
      <c r="H69" s="63">
        <f t="shared" si="12"/>
        <v>0</v>
      </c>
      <c r="I69" s="117" t="s">
        <v>43</v>
      </c>
      <c r="J69" s="117" t="s">
        <v>43</v>
      </c>
    </row>
    <row r="70" spans="1:10" hidden="1" x14ac:dyDescent="0.25">
      <c r="A70" s="54" t="s">
        <v>13</v>
      </c>
      <c r="B70" s="61">
        <f>'Расчет номинала'!L13</f>
        <v>0</v>
      </c>
      <c r="C70" s="61">
        <f>'Расчет нормативной стоимости'!J$7</f>
        <v>0</v>
      </c>
      <c r="D70" s="62"/>
      <c r="E70" s="62"/>
      <c r="F70" s="62"/>
      <c r="G70" s="62"/>
      <c r="H70" s="63">
        <f t="shared" si="12"/>
        <v>0</v>
      </c>
      <c r="I70" s="117" t="s">
        <v>43</v>
      </c>
      <c r="J70" s="117" t="s">
        <v>43</v>
      </c>
    </row>
    <row r="71" spans="1:10" hidden="1" x14ac:dyDescent="0.25">
      <c r="A71" s="1" t="s">
        <v>57</v>
      </c>
      <c r="B71" s="61">
        <f>'Расчет номинала'!L14</f>
        <v>0</v>
      </c>
      <c r="C71" s="61">
        <f>'Расчет нормативной стоимости'!K$7</f>
        <v>265.49</v>
      </c>
      <c r="D71" s="62"/>
      <c r="E71" s="62"/>
      <c r="F71" s="62"/>
      <c r="G71" s="62"/>
      <c r="H71" s="63">
        <f t="shared" si="12"/>
        <v>0</v>
      </c>
      <c r="I71" s="117" t="s">
        <v>43</v>
      </c>
      <c r="J71" s="117" t="s">
        <v>43</v>
      </c>
    </row>
    <row r="72" spans="1:10" hidden="1" x14ac:dyDescent="0.25">
      <c r="A72" s="55" t="s">
        <v>47</v>
      </c>
      <c r="B72" s="56" t="s">
        <v>43</v>
      </c>
      <c r="C72" s="56" t="s">
        <v>43</v>
      </c>
      <c r="D72" s="64">
        <f t="shared" ref="D72:H72" si="13">SUM(D66:D71)</f>
        <v>0</v>
      </c>
      <c r="E72" s="64"/>
      <c r="F72" s="64"/>
      <c r="G72" s="64">
        <f t="shared" si="13"/>
        <v>0</v>
      </c>
      <c r="H72" s="65">
        <f t="shared" si="13"/>
        <v>0</v>
      </c>
      <c r="I72" s="117" t="s">
        <v>43</v>
      </c>
      <c r="J72" s="117" t="s">
        <v>43</v>
      </c>
    </row>
    <row r="73" spans="1:10" ht="47.25" hidden="1" x14ac:dyDescent="0.25">
      <c r="A73" s="116" t="s">
        <v>96</v>
      </c>
      <c r="B73" s="229" t="s">
        <v>97</v>
      </c>
      <c r="C73" s="230"/>
      <c r="D73" s="231"/>
      <c r="E73" s="167"/>
      <c r="F73" s="167"/>
      <c r="G73" s="121"/>
      <c r="H73" s="117" t="s">
        <v>43</v>
      </c>
      <c r="I73" s="117" t="s">
        <v>43</v>
      </c>
      <c r="J73" s="52" t="s">
        <v>102</v>
      </c>
    </row>
    <row r="74" spans="1:10" hidden="1" x14ac:dyDescent="0.25">
      <c r="A74" s="116" t="s">
        <v>92</v>
      </c>
      <c r="B74" s="232" t="s">
        <v>95</v>
      </c>
      <c r="C74" s="232"/>
      <c r="D74" s="120"/>
      <c r="E74" s="169"/>
      <c r="F74" s="169"/>
      <c r="G74" s="233" t="s">
        <v>93</v>
      </c>
      <c r="H74" s="234"/>
      <c r="I74" s="120"/>
      <c r="J74" s="118">
        <f>D64-I64</f>
        <v>0</v>
      </c>
    </row>
    <row r="75" spans="1:10" hidden="1" x14ac:dyDescent="0.25"/>
    <row r="76" spans="1:10" ht="62.25" hidden="1" customHeight="1" x14ac:dyDescent="0.25">
      <c r="A76" s="126" t="str">
        <f>'Расчет номинала'!N4</f>
        <v>Организация 7</v>
      </c>
      <c r="B76" s="227" t="s">
        <v>108</v>
      </c>
      <c r="C76" s="228"/>
      <c r="D76" s="63">
        <f>'Расчет номинала'!N$16</f>
        <v>0</v>
      </c>
      <c r="E76" s="168"/>
      <c r="F76" s="168"/>
      <c r="G76" s="227" t="s">
        <v>109</v>
      </c>
      <c r="H76" s="228"/>
      <c r="I76" s="63">
        <f>IF(D86=0,H84+G85,H84+D86+I86)</f>
        <v>0</v>
      </c>
    </row>
    <row r="77" spans="1:10" ht="63" hidden="1" x14ac:dyDescent="0.25">
      <c r="A77" s="52" t="s">
        <v>26</v>
      </c>
      <c r="B77" s="52" t="s">
        <v>46</v>
      </c>
      <c r="C77" s="52" t="s">
        <v>49</v>
      </c>
      <c r="D77" s="53" t="s">
        <v>89</v>
      </c>
      <c r="E77" s="53"/>
      <c r="F77" s="53"/>
      <c r="G77" s="53" t="s">
        <v>90</v>
      </c>
      <c r="H77" s="115" t="s">
        <v>91</v>
      </c>
      <c r="I77" s="117" t="s">
        <v>43</v>
      </c>
      <c r="J77" s="117" t="s">
        <v>43</v>
      </c>
    </row>
    <row r="78" spans="1:10" hidden="1" x14ac:dyDescent="0.25">
      <c r="A78" s="54" t="s">
        <v>9</v>
      </c>
      <c r="B78" s="61">
        <f>'Расчет номинала'!N$9</f>
        <v>0</v>
      </c>
      <c r="C78" s="61">
        <f>'Расчет нормативной стоимости'!F$7</f>
        <v>265.49</v>
      </c>
      <c r="D78" s="62"/>
      <c r="E78" s="62"/>
      <c r="F78" s="62"/>
      <c r="G78" s="62"/>
      <c r="H78" s="63">
        <f>(D78+G78)*B78</f>
        <v>0</v>
      </c>
      <c r="I78" s="117" t="s">
        <v>43</v>
      </c>
      <c r="J78" s="117" t="s">
        <v>43</v>
      </c>
    </row>
    <row r="79" spans="1:10" hidden="1" x14ac:dyDescent="0.25">
      <c r="A79" s="54" t="s">
        <v>10</v>
      </c>
      <c r="B79" s="61">
        <f>'Расчет номинала'!N10</f>
        <v>0</v>
      </c>
      <c r="C79" s="61">
        <f>'Расчет нормативной стоимости'!G$7</f>
        <v>265.49</v>
      </c>
      <c r="D79" s="62"/>
      <c r="E79" s="62"/>
      <c r="F79" s="62"/>
      <c r="G79" s="62"/>
      <c r="H79" s="63">
        <f t="shared" ref="H79:H83" si="14">(D79+G79)*B79</f>
        <v>0</v>
      </c>
      <c r="I79" s="117" t="s">
        <v>43</v>
      </c>
      <c r="J79" s="117" t="s">
        <v>43</v>
      </c>
    </row>
    <row r="80" spans="1:10" hidden="1" x14ac:dyDescent="0.25">
      <c r="A80" s="54" t="s">
        <v>11</v>
      </c>
      <c r="B80" s="61">
        <f>'Расчет номинала'!N11</f>
        <v>0</v>
      </c>
      <c r="C80" s="61">
        <f>'Расчет нормативной стоимости'!H$7</f>
        <v>265.49</v>
      </c>
      <c r="D80" s="62"/>
      <c r="E80" s="62"/>
      <c r="F80" s="62"/>
      <c r="G80" s="62"/>
      <c r="H80" s="63">
        <f t="shared" si="14"/>
        <v>0</v>
      </c>
      <c r="I80" s="117" t="s">
        <v>43</v>
      </c>
      <c r="J80" s="117" t="s">
        <v>43</v>
      </c>
    </row>
    <row r="81" spans="1:10" hidden="1" x14ac:dyDescent="0.25">
      <c r="A81" s="54" t="s">
        <v>12</v>
      </c>
      <c r="B81" s="61">
        <f>'Расчет номинала'!N12</f>
        <v>0</v>
      </c>
      <c r="C81" s="61">
        <f>'Расчет нормативной стоимости'!I$7</f>
        <v>0</v>
      </c>
      <c r="D81" s="62"/>
      <c r="E81" s="62"/>
      <c r="F81" s="62"/>
      <c r="G81" s="62"/>
      <c r="H81" s="63">
        <f t="shared" si="14"/>
        <v>0</v>
      </c>
      <c r="I81" s="117" t="s">
        <v>43</v>
      </c>
      <c r="J81" s="117" t="s">
        <v>43</v>
      </c>
    </row>
    <row r="82" spans="1:10" hidden="1" x14ac:dyDescent="0.25">
      <c r="A82" s="54" t="s">
        <v>13</v>
      </c>
      <c r="B82" s="61">
        <f>'Расчет номинала'!N13</f>
        <v>0</v>
      </c>
      <c r="C82" s="61">
        <f>'Расчет нормативной стоимости'!J$7</f>
        <v>0</v>
      </c>
      <c r="D82" s="62"/>
      <c r="E82" s="62"/>
      <c r="F82" s="62"/>
      <c r="G82" s="62"/>
      <c r="H82" s="63">
        <f t="shared" si="14"/>
        <v>0</v>
      </c>
      <c r="I82" s="117" t="s">
        <v>43</v>
      </c>
      <c r="J82" s="117" t="s">
        <v>43</v>
      </c>
    </row>
    <row r="83" spans="1:10" hidden="1" x14ac:dyDescent="0.25">
      <c r="A83" s="1" t="s">
        <v>57</v>
      </c>
      <c r="B83" s="61">
        <f>'Расчет номинала'!N14</f>
        <v>0</v>
      </c>
      <c r="C83" s="61">
        <f>'Расчет нормативной стоимости'!K$7</f>
        <v>265.49</v>
      </c>
      <c r="D83" s="62"/>
      <c r="E83" s="62"/>
      <c r="F83" s="62"/>
      <c r="G83" s="62"/>
      <c r="H83" s="63">
        <f t="shared" si="14"/>
        <v>0</v>
      </c>
      <c r="I83" s="117" t="s">
        <v>43</v>
      </c>
      <c r="J83" s="117" t="s">
        <v>43</v>
      </c>
    </row>
    <row r="84" spans="1:10" hidden="1" x14ac:dyDescent="0.25">
      <c r="A84" s="55" t="s">
        <v>47</v>
      </c>
      <c r="B84" s="56" t="s">
        <v>43</v>
      </c>
      <c r="C84" s="56" t="s">
        <v>43</v>
      </c>
      <c r="D84" s="64">
        <f t="shared" ref="D84:H84" si="15">SUM(D78:D83)</f>
        <v>0</v>
      </c>
      <c r="E84" s="64"/>
      <c r="F84" s="64"/>
      <c r="G84" s="64">
        <f t="shared" si="15"/>
        <v>0</v>
      </c>
      <c r="H84" s="65">
        <f t="shared" si="15"/>
        <v>0</v>
      </c>
      <c r="I84" s="117" t="s">
        <v>43</v>
      </c>
      <c r="J84" s="117" t="s">
        <v>43</v>
      </c>
    </row>
    <row r="85" spans="1:10" ht="47.25" hidden="1" x14ac:dyDescent="0.25">
      <c r="A85" s="116" t="s">
        <v>96</v>
      </c>
      <c r="B85" s="229" t="s">
        <v>97</v>
      </c>
      <c r="C85" s="230"/>
      <c r="D85" s="231"/>
      <c r="E85" s="167"/>
      <c r="F85" s="167"/>
      <c r="G85" s="121"/>
      <c r="H85" s="117" t="s">
        <v>43</v>
      </c>
      <c r="I85" s="117" t="s">
        <v>43</v>
      </c>
      <c r="J85" s="52" t="s">
        <v>102</v>
      </c>
    </row>
    <row r="86" spans="1:10" hidden="1" x14ac:dyDescent="0.25">
      <c r="A86" s="116" t="s">
        <v>92</v>
      </c>
      <c r="B86" s="232" t="s">
        <v>95</v>
      </c>
      <c r="C86" s="232"/>
      <c r="D86" s="120"/>
      <c r="E86" s="169"/>
      <c r="F86" s="169"/>
      <c r="G86" s="233" t="s">
        <v>93</v>
      </c>
      <c r="H86" s="234"/>
      <c r="I86" s="120"/>
      <c r="J86" s="118">
        <f>D76-I76</f>
        <v>0</v>
      </c>
    </row>
    <row r="87" spans="1:10" hidden="1" x14ac:dyDescent="0.25"/>
    <row r="88" spans="1:10" ht="67.5" hidden="1" customHeight="1" x14ac:dyDescent="0.25">
      <c r="A88" s="126" t="str">
        <f>'Расчет номинала'!P4</f>
        <v>Организация 8</v>
      </c>
      <c r="B88" s="227" t="s">
        <v>108</v>
      </c>
      <c r="C88" s="228"/>
      <c r="D88" s="63">
        <f>'Расчет номинала'!P$16</f>
        <v>0</v>
      </c>
      <c r="E88" s="168"/>
      <c r="F88" s="168"/>
      <c r="G88" s="227" t="s">
        <v>109</v>
      </c>
      <c r="H88" s="228"/>
      <c r="I88" s="63">
        <f>IF(D98=0,H96+G97,H96+D98+I98)</f>
        <v>0</v>
      </c>
    </row>
    <row r="89" spans="1:10" ht="63" hidden="1" x14ac:dyDescent="0.25">
      <c r="A89" s="52" t="s">
        <v>26</v>
      </c>
      <c r="B89" s="52" t="s">
        <v>46</v>
      </c>
      <c r="C89" s="52" t="s">
        <v>49</v>
      </c>
      <c r="D89" s="53" t="s">
        <v>89</v>
      </c>
      <c r="E89" s="53"/>
      <c r="F89" s="53"/>
      <c r="G89" s="53" t="s">
        <v>90</v>
      </c>
      <c r="H89" s="115" t="s">
        <v>91</v>
      </c>
      <c r="I89" s="117" t="s">
        <v>43</v>
      </c>
      <c r="J89" s="117" t="s">
        <v>43</v>
      </c>
    </row>
    <row r="90" spans="1:10" hidden="1" x14ac:dyDescent="0.25">
      <c r="A90" s="54" t="s">
        <v>9</v>
      </c>
      <c r="B90" s="61">
        <f>'Расчет номинала'!P$9</f>
        <v>0</v>
      </c>
      <c r="C90" s="61">
        <f>'Расчет нормативной стоимости'!F$7</f>
        <v>265.49</v>
      </c>
      <c r="D90" s="62"/>
      <c r="E90" s="62"/>
      <c r="F90" s="62"/>
      <c r="G90" s="62"/>
      <c r="H90" s="63">
        <f>(D90+G90)*B90</f>
        <v>0</v>
      </c>
      <c r="I90" s="117" t="s">
        <v>43</v>
      </c>
      <c r="J90" s="117" t="s">
        <v>43</v>
      </c>
    </row>
    <row r="91" spans="1:10" hidden="1" x14ac:dyDescent="0.25">
      <c r="A91" s="54" t="s">
        <v>10</v>
      </c>
      <c r="B91" s="61">
        <f>'Расчет номинала'!P10</f>
        <v>0</v>
      </c>
      <c r="C91" s="61">
        <f>'Расчет нормативной стоимости'!G$7</f>
        <v>265.49</v>
      </c>
      <c r="D91" s="62"/>
      <c r="E91" s="62"/>
      <c r="F91" s="62"/>
      <c r="G91" s="62"/>
      <c r="H91" s="63">
        <f t="shared" ref="H91:H95" si="16">(D91+G91)*B91</f>
        <v>0</v>
      </c>
      <c r="I91" s="117" t="s">
        <v>43</v>
      </c>
      <c r="J91" s="117" t="s">
        <v>43</v>
      </c>
    </row>
    <row r="92" spans="1:10" hidden="1" x14ac:dyDescent="0.25">
      <c r="A92" s="54" t="s">
        <v>11</v>
      </c>
      <c r="B92" s="61">
        <f>'Расчет номинала'!P11</f>
        <v>0</v>
      </c>
      <c r="C92" s="61">
        <f>'Расчет нормативной стоимости'!H$7</f>
        <v>265.49</v>
      </c>
      <c r="D92" s="62"/>
      <c r="E92" s="62"/>
      <c r="F92" s="62"/>
      <c r="G92" s="62"/>
      <c r="H92" s="63">
        <f t="shared" si="16"/>
        <v>0</v>
      </c>
      <c r="I92" s="117" t="s">
        <v>43</v>
      </c>
      <c r="J92" s="117" t="s">
        <v>43</v>
      </c>
    </row>
    <row r="93" spans="1:10" hidden="1" x14ac:dyDescent="0.25">
      <c r="A93" s="54" t="s">
        <v>12</v>
      </c>
      <c r="B93" s="61">
        <f>'Расчет номинала'!P12</f>
        <v>0</v>
      </c>
      <c r="C93" s="61">
        <f>'Расчет нормативной стоимости'!I$7</f>
        <v>0</v>
      </c>
      <c r="D93" s="62"/>
      <c r="E93" s="62"/>
      <c r="F93" s="62"/>
      <c r="G93" s="62"/>
      <c r="H93" s="63">
        <f t="shared" si="16"/>
        <v>0</v>
      </c>
      <c r="I93" s="117" t="s">
        <v>43</v>
      </c>
      <c r="J93" s="117" t="s">
        <v>43</v>
      </c>
    </row>
    <row r="94" spans="1:10" hidden="1" x14ac:dyDescent="0.25">
      <c r="A94" s="54" t="s">
        <v>13</v>
      </c>
      <c r="B94" s="61">
        <f>'Расчет номинала'!P13</f>
        <v>0</v>
      </c>
      <c r="C94" s="61">
        <f>'Расчет нормативной стоимости'!J$7</f>
        <v>0</v>
      </c>
      <c r="D94" s="62"/>
      <c r="E94" s="62"/>
      <c r="F94" s="62"/>
      <c r="G94" s="62"/>
      <c r="H94" s="63">
        <f t="shared" si="16"/>
        <v>0</v>
      </c>
      <c r="I94" s="117" t="s">
        <v>43</v>
      </c>
      <c r="J94" s="117" t="s">
        <v>43</v>
      </c>
    </row>
    <row r="95" spans="1:10" hidden="1" x14ac:dyDescent="0.25">
      <c r="A95" s="1" t="s">
        <v>57</v>
      </c>
      <c r="B95" s="61">
        <f>'Расчет номинала'!P14</f>
        <v>0</v>
      </c>
      <c r="C95" s="61">
        <f>'Расчет нормативной стоимости'!K$7</f>
        <v>265.49</v>
      </c>
      <c r="D95" s="62"/>
      <c r="E95" s="62"/>
      <c r="F95" s="62"/>
      <c r="G95" s="62"/>
      <c r="H95" s="63">
        <f t="shared" si="16"/>
        <v>0</v>
      </c>
      <c r="I95" s="117" t="s">
        <v>43</v>
      </c>
      <c r="J95" s="117" t="s">
        <v>43</v>
      </c>
    </row>
    <row r="96" spans="1:10" hidden="1" x14ac:dyDescent="0.25">
      <c r="A96" s="55" t="s">
        <v>47</v>
      </c>
      <c r="B96" s="56" t="s">
        <v>43</v>
      </c>
      <c r="C96" s="56" t="s">
        <v>43</v>
      </c>
      <c r="D96" s="64">
        <f t="shared" ref="D96:H96" si="17">SUM(D90:D95)</f>
        <v>0</v>
      </c>
      <c r="E96" s="64"/>
      <c r="F96" s="64"/>
      <c r="G96" s="64">
        <f t="shared" si="17"/>
        <v>0</v>
      </c>
      <c r="H96" s="65">
        <f t="shared" si="17"/>
        <v>0</v>
      </c>
      <c r="I96" s="117" t="s">
        <v>43</v>
      </c>
      <c r="J96" s="117" t="s">
        <v>43</v>
      </c>
    </row>
    <row r="97" spans="1:10" ht="47.25" hidden="1" x14ac:dyDescent="0.25">
      <c r="A97" s="116" t="s">
        <v>96</v>
      </c>
      <c r="B97" s="229" t="s">
        <v>97</v>
      </c>
      <c r="C97" s="230"/>
      <c r="D97" s="231"/>
      <c r="E97" s="167"/>
      <c r="F97" s="167"/>
      <c r="G97" s="121"/>
      <c r="H97" s="117" t="s">
        <v>43</v>
      </c>
      <c r="I97" s="117" t="s">
        <v>43</v>
      </c>
      <c r="J97" s="52" t="s">
        <v>102</v>
      </c>
    </row>
    <row r="98" spans="1:10" hidden="1" x14ac:dyDescent="0.25">
      <c r="A98" s="116" t="s">
        <v>92</v>
      </c>
      <c r="B98" s="232" t="s">
        <v>95</v>
      </c>
      <c r="C98" s="232"/>
      <c r="D98" s="120"/>
      <c r="E98" s="169"/>
      <c r="F98" s="169"/>
      <c r="G98" s="233" t="s">
        <v>93</v>
      </c>
      <c r="H98" s="234"/>
      <c r="I98" s="120"/>
      <c r="J98" s="118">
        <f>D88-I88</f>
        <v>0</v>
      </c>
    </row>
    <row r="99" spans="1:10" hidden="1" x14ac:dyDescent="0.25"/>
    <row r="100" spans="1:10" ht="64.5" hidden="1" customHeight="1" x14ac:dyDescent="0.25">
      <c r="A100" s="126" t="str">
        <f>'Расчет номинала'!R4</f>
        <v>Организация 9</v>
      </c>
      <c r="B100" s="227" t="s">
        <v>108</v>
      </c>
      <c r="C100" s="228"/>
      <c r="D100" s="63">
        <f>'Расчет номинала'!R$16</f>
        <v>0</v>
      </c>
      <c r="E100" s="168"/>
      <c r="F100" s="168"/>
      <c r="G100" s="227" t="s">
        <v>109</v>
      </c>
      <c r="H100" s="228"/>
      <c r="I100" s="63">
        <f>IF(D110=0,H108+G109,H108+D110+I110)</f>
        <v>0</v>
      </c>
    </row>
    <row r="101" spans="1:10" ht="63" hidden="1" x14ac:dyDescent="0.25">
      <c r="A101" s="52" t="s">
        <v>26</v>
      </c>
      <c r="B101" s="52" t="s">
        <v>46</v>
      </c>
      <c r="C101" s="52" t="s">
        <v>49</v>
      </c>
      <c r="D101" s="53" t="s">
        <v>89</v>
      </c>
      <c r="E101" s="53"/>
      <c r="F101" s="53"/>
      <c r="G101" s="53" t="s">
        <v>90</v>
      </c>
      <c r="H101" s="115" t="s">
        <v>91</v>
      </c>
      <c r="I101" s="117" t="s">
        <v>43</v>
      </c>
      <c r="J101" s="117" t="s">
        <v>43</v>
      </c>
    </row>
    <row r="102" spans="1:10" hidden="1" x14ac:dyDescent="0.25">
      <c r="A102" s="54" t="s">
        <v>9</v>
      </c>
      <c r="B102" s="61">
        <f>'Расчет номинала'!R$9</f>
        <v>0</v>
      </c>
      <c r="C102" s="61">
        <f>'Расчет нормативной стоимости'!F$7</f>
        <v>265.49</v>
      </c>
      <c r="D102" s="62"/>
      <c r="E102" s="62"/>
      <c r="F102" s="62"/>
      <c r="G102" s="62"/>
      <c r="H102" s="63">
        <f>(D102+G102)*B102</f>
        <v>0</v>
      </c>
      <c r="I102" s="117" t="s">
        <v>43</v>
      </c>
      <c r="J102" s="117" t="s">
        <v>43</v>
      </c>
    </row>
    <row r="103" spans="1:10" hidden="1" x14ac:dyDescent="0.25">
      <c r="A103" s="54" t="s">
        <v>10</v>
      </c>
      <c r="B103" s="61">
        <f>'Расчет номинала'!R10</f>
        <v>0</v>
      </c>
      <c r="C103" s="61">
        <f>'Расчет нормативной стоимости'!G$7</f>
        <v>265.49</v>
      </c>
      <c r="D103" s="62"/>
      <c r="E103" s="62"/>
      <c r="F103" s="62"/>
      <c r="G103" s="62"/>
      <c r="H103" s="63">
        <f t="shared" ref="H103:H107" si="18">(D103+G103)*B103</f>
        <v>0</v>
      </c>
      <c r="I103" s="117" t="s">
        <v>43</v>
      </c>
      <c r="J103" s="117" t="s">
        <v>43</v>
      </c>
    </row>
    <row r="104" spans="1:10" hidden="1" x14ac:dyDescent="0.25">
      <c r="A104" s="54" t="s">
        <v>11</v>
      </c>
      <c r="B104" s="61">
        <f>'Расчет номинала'!R11</f>
        <v>0</v>
      </c>
      <c r="C104" s="61">
        <f>'Расчет нормативной стоимости'!H$7</f>
        <v>265.49</v>
      </c>
      <c r="D104" s="62"/>
      <c r="E104" s="62"/>
      <c r="F104" s="62"/>
      <c r="G104" s="62"/>
      <c r="H104" s="63">
        <f t="shared" si="18"/>
        <v>0</v>
      </c>
      <c r="I104" s="117" t="s">
        <v>43</v>
      </c>
      <c r="J104" s="117" t="s">
        <v>43</v>
      </c>
    </row>
    <row r="105" spans="1:10" hidden="1" x14ac:dyDescent="0.25">
      <c r="A105" s="54" t="s">
        <v>12</v>
      </c>
      <c r="B105" s="61">
        <f>'Расчет номинала'!R12</f>
        <v>0</v>
      </c>
      <c r="C105" s="61">
        <f>'Расчет нормативной стоимости'!I$7</f>
        <v>0</v>
      </c>
      <c r="D105" s="62"/>
      <c r="E105" s="62"/>
      <c r="F105" s="62"/>
      <c r="G105" s="62"/>
      <c r="H105" s="63">
        <f t="shared" si="18"/>
        <v>0</v>
      </c>
      <c r="I105" s="117" t="s">
        <v>43</v>
      </c>
      <c r="J105" s="117" t="s">
        <v>43</v>
      </c>
    </row>
    <row r="106" spans="1:10" hidden="1" x14ac:dyDescent="0.25">
      <c r="A106" s="54" t="s">
        <v>13</v>
      </c>
      <c r="B106" s="61">
        <f>'Расчет номинала'!R13</f>
        <v>0</v>
      </c>
      <c r="C106" s="61">
        <f>'Расчет нормативной стоимости'!J$7</f>
        <v>0</v>
      </c>
      <c r="D106" s="62"/>
      <c r="E106" s="62"/>
      <c r="F106" s="62"/>
      <c r="G106" s="62"/>
      <c r="H106" s="63">
        <f t="shared" si="18"/>
        <v>0</v>
      </c>
      <c r="I106" s="117" t="s">
        <v>43</v>
      </c>
      <c r="J106" s="117" t="s">
        <v>43</v>
      </c>
    </row>
    <row r="107" spans="1:10" hidden="1" x14ac:dyDescent="0.25">
      <c r="A107" s="1" t="s">
        <v>57</v>
      </c>
      <c r="B107" s="61">
        <f>'Расчет номинала'!R14</f>
        <v>0</v>
      </c>
      <c r="C107" s="61">
        <f>'Расчет нормативной стоимости'!K$7</f>
        <v>265.49</v>
      </c>
      <c r="D107" s="62"/>
      <c r="E107" s="62"/>
      <c r="F107" s="62"/>
      <c r="G107" s="62"/>
      <c r="H107" s="63">
        <f t="shared" si="18"/>
        <v>0</v>
      </c>
      <c r="I107" s="117" t="s">
        <v>43</v>
      </c>
      <c r="J107" s="117" t="s">
        <v>43</v>
      </c>
    </row>
    <row r="108" spans="1:10" hidden="1" x14ac:dyDescent="0.25">
      <c r="A108" s="55" t="s">
        <v>47</v>
      </c>
      <c r="B108" s="56" t="s">
        <v>43</v>
      </c>
      <c r="C108" s="56" t="s">
        <v>43</v>
      </c>
      <c r="D108" s="64">
        <f t="shared" ref="D108:H108" si="19">SUM(D102:D107)</f>
        <v>0</v>
      </c>
      <c r="E108" s="64"/>
      <c r="F108" s="64"/>
      <c r="G108" s="64">
        <f t="shared" si="19"/>
        <v>0</v>
      </c>
      <c r="H108" s="65">
        <f t="shared" si="19"/>
        <v>0</v>
      </c>
      <c r="I108" s="117" t="s">
        <v>43</v>
      </c>
      <c r="J108" s="117" t="s">
        <v>43</v>
      </c>
    </row>
    <row r="109" spans="1:10" ht="47.25" hidden="1" x14ac:dyDescent="0.25">
      <c r="A109" s="116" t="s">
        <v>96</v>
      </c>
      <c r="B109" s="229" t="s">
        <v>97</v>
      </c>
      <c r="C109" s="230"/>
      <c r="D109" s="231"/>
      <c r="E109" s="167"/>
      <c r="F109" s="167"/>
      <c r="G109" s="121"/>
      <c r="H109" s="117" t="s">
        <v>43</v>
      </c>
      <c r="I109" s="117" t="s">
        <v>43</v>
      </c>
      <c r="J109" s="52" t="s">
        <v>102</v>
      </c>
    </row>
    <row r="110" spans="1:10" hidden="1" x14ac:dyDescent="0.25">
      <c r="A110" s="116" t="s">
        <v>92</v>
      </c>
      <c r="B110" s="232" t="s">
        <v>95</v>
      </c>
      <c r="C110" s="232"/>
      <c r="D110" s="120"/>
      <c r="E110" s="169"/>
      <c r="F110" s="169"/>
      <c r="G110" s="233" t="s">
        <v>93</v>
      </c>
      <c r="H110" s="234"/>
      <c r="I110" s="120"/>
      <c r="J110" s="118">
        <f>D100-I100</f>
        <v>0</v>
      </c>
    </row>
    <row r="111" spans="1:10" hidden="1" x14ac:dyDescent="0.25"/>
    <row r="112" spans="1:10" ht="65.25" hidden="1" customHeight="1" x14ac:dyDescent="0.25">
      <c r="A112" s="126" t="str">
        <f>'Расчет номинала'!T4</f>
        <v>Организация 10</v>
      </c>
      <c r="B112" s="227" t="s">
        <v>108</v>
      </c>
      <c r="C112" s="228"/>
      <c r="D112" s="63">
        <f>'Расчет номинала'!T$16</f>
        <v>0</v>
      </c>
      <c r="E112" s="168"/>
      <c r="F112" s="168"/>
      <c r="G112" s="227" t="s">
        <v>109</v>
      </c>
      <c r="H112" s="228"/>
      <c r="I112" s="63">
        <f>IF(D122=0,H120+G121,H120+D122+I122)</f>
        <v>0</v>
      </c>
    </row>
    <row r="113" spans="1:10" ht="63" hidden="1" x14ac:dyDescent="0.25">
      <c r="A113" s="52" t="s">
        <v>26</v>
      </c>
      <c r="B113" s="52" t="s">
        <v>46</v>
      </c>
      <c r="C113" s="52" t="s">
        <v>49</v>
      </c>
      <c r="D113" s="53" t="s">
        <v>89</v>
      </c>
      <c r="E113" s="53"/>
      <c r="F113" s="53"/>
      <c r="G113" s="53" t="s">
        <v>90</v>
      </c>
      <c r="H113" s="115" t="s">
        <v>91</v>
      </c>
      <c r="I113" s="117" t="s">
        <v>43</v>
      </c>
      <c r="J113" s="117" t="s">
        <v>43</v>
      </c>
    </row>
    <row r="114" spans="1:10" hidden="1" x14ac:dyDescent="0.25">
      <c r="A114" s="54" t="s">
        <v>9</v>
      </c>
      <c r="B114" s="61">
        <f>'Расчет номинала'!T$9</f>
        <v>0</v>
      </c>
      <c r="C114" s="61">
        <f>'Расчет нормативной стоимости'!F$7</f>
        <v>265.49</v>
      </c>
      <c r="D114" s="62"/>
      <c r="E114" s="62"/>
      <c r="F114" s="62"/>
      <c r="G114" s="62"/>
      <c r="H114" s="63">
        <f>(D114+G114)*B114</f>
        <v>0</v>
      </c>
      <c r="I114" s="117" t="s">
        <v>43</v>
      </c>
      <c r="J114" s="117" t="s">
        <v>43</v>
      </c>
    </row>
    <row r="115" spans="1:10" hidden="1" x14ac:dyDescent="0.25">
      <c r="A115" s="54" t="s">
        <v>10</v>
      </c>
      <c r="B115" s="61">
        <f>'Расчет номинала'!T10</f>
        <v>0</v>
      </c>
      <c r="C115" s="61">
        <f>'Расчет нормативной стоимости'!G$7</f>
        <v>265.49</v>
      </c>
      <c r="D115" s="62"/>
      <c r="E115" s="62"/>
      <c r="F115" s="62"/>
      <c r="G115" s="62"/>
      <c r="H115" s="63">
        <f t="shared" ref="H115:H119" si="20">(D115+G115)*B115</f>
        <v>0</v>
      </c>
      <c r="I115" s="117" t="s">
        <v>43</v>
      </c>
      <c r="J115" s="117" t="s">
        <v>43</v>
      </c>
    </row>
    <row r="116" spans="1:10" hidden="1" x14ac:dyDescent="0.25">
      <c r="A116" s="54" t="s">
        <v>11</v>
      </c>
      <c r="B116" s="61">
        <f>'Расчет номинала'!T11</f>
        <v>0</v>
      </c>
      <c r="C116" s="61">
        <f>'Расчет нормативной стоимости'!H$7</f>
        <v>265.49</v>
      </c>
      <c r="D116" s="62"/>
      <c r="E116" s="62"/>
      <c r="F116" s="62"/>
      <c r="G116" s="62"/>
      <c r="H116" s="63">
        <f t="shared" si="20"/>
        <v>0</v>
      </c>
      <c r="I116" s="117" t="s">
        <v>43</v>
      </c>
      <c r="J116" s="117" t="s">
        <v>43</v>
      </c>
    </row>
    <row r="117" spans="1:10" hidden="1" x14ac:dyDescent="0.25">
      <c r="A117" s="54" t="s">
        <v>12</v>
      </c>
      <c r="B117" s="61">
        <f>'Расчет номинала'!T12</f>
        <v>0</v>
      </c>
      <c r="C117" s="61">
        <f>'Расчет нормативной стоимости'!I$7</f>
        <v>0</v>
      </c>
      <c r="D117" s="62"/>
      <c r="E117" s="62"/>
      <c r="F117" s="62"/>
      <c r="G117" s="62"/>
      <c r="H117" s="63">
        <f t="shared" si="20"/>
        <v>0</v>
      </c>
      <c r="I117" s="117" t="s">
        <v>43</v>
      </c>
      <c r="J117" s="117" t="s">
        <v>43</v>
      </c>
    </row>
    <row r="118" spans="1:10" hidden="1" x14ac:dyDescent="0.25">
      <c r="A118" s="54" t="s">
        <v>13</v>
      </c>
      <c r="B118" s="61">
        <f>'Расчет номинала'!T13</f>
        <v>0</v>
      </c>
      <c r="C118" s="61">
        <f>'Расчет нормативной стоимости'!J$7</f>
        <v>0</v>
      </c>
      <c r="D118" s="62"/>
      <c r="E118" s="62"/>
      <c r="F118" s="62"/>
      <c r="G118" s="62"/>
      <c r="H118" s="63">
        <f t="shared" si="20"/>
        <v>0</v>
      </c>
      <c r="I118" s="117" t="s">
        <v>43</v>
      </c>
      <c r="J118" s="117" t="s">
        <v>43</v>
      </c>
    </row>
    <row r="119" spans="1:10" hidden="1" x14ac:dyDescent="0.25">
      <c r="A119" s="1" t="s">
        <v>57</v>
      </c>
      <c r="B119" s="61">
        <f>'Расчет номинала'!T14</f>
        <v>0</v>
      </c>
      <c r="C119" s="61">
        <f>'Расчет нормативной стоимости'!K$7</f>
        <v>265.49</v>
      </c>
      <c r="D119" s="62"/>
      <c r="E119" s="62"/>
      <c r="F119" s="62"/>
      <c r="G119" s="62"/>
      <c r="H119" s="63">
        <f t="shared" si="20"/>
        <v>0</v>
      </c>
      <c r="I119" s="117" t="s">
        <v>43</v>
      </c>
      <c r="J119" s="117" t="s">
        <v>43</v>
      </c>
    </row>
    <row r="120" spans="1:10" hidden="1" x14ac:dyDescent="0.25">
      <c r="A120" s="55" t="s">
        <v>47</v>
      </c>
      <c r="B120" s="56" t="s">
        <v>43</v>
      </c>
      <c r="C120" s="56" t="s">
        <v>43</v>
      </c>
      <c r="D120" s="64">
        <f t="shared" ref="D120:H120" si="21">SUM(D114:D119)</f>
        <v>0</v>
      </c>
      <c r="E120" s="64"/>
      <c r="F120" s="64"/>
      <c r="G120" s="64">
        <f t="shared" si="21"/>
        <v>0</v>
      </c>
      <c r="H120" s="65">
        <f t="shared" si="21"/>
        <v>0</v>
      </c>
      <c r="I120" s="117" t="s">
        <v>43</v>
      </c>
      <c r="J120" s="117" t="s">
        <v>43</v>
      </c>
    </row>
    <row r="121" spans="1:10" ht="47.25" hidden="1" x14ac:dyDescent="0.25">
      <c r="A121" s="116" t="s">
        <v>96</v>
      </c>
      <c r="B121" s="229" t="s">
        <v>97</v>
      </c>
      <c r="C121" s="230"/>
      <c r="D121" s="231"/>
      <c r="E121" s="167"/>
      <c r="F121" s="167"/>
      <c r="G121" s="121"/>
      <c r="H121" s="117" t="s">
        <v>43</v>
      </c>
      <c r="I121" s="117" t="s">
        <v>43</v>
      </c>
      <c r="J121" s="52" t="s">
        <v>102</v>
      </c>
    </row>
    <row r="122" spans="1:10" hidden="1" x14ac:dyDescent="0.25">
      <c r="A122" s="116" t="s">
        <v>92</v>
      </c>
      <c r="B122" s="232" t="s">
        <v>95</v>
      </c>
      <c r="C122" s="232"/>
      <c r="D122" s="120"/>
      <c r="E122" s="169"/>
      <c r="F122" s="169"/>
      <c r="G122" s="233" t="s">
        <v>93</v>
      </c>
      <c r="H122" s="234"/>
      <c r="I122" s="120"/>
      <c r="J122" s="118">
        <f>D112-I112</f>
        <v>0</v>
      </c>
    </row>
    <row r="123" spans="1:10" hidden="1" x14ac:dyDescent="0.25"/>
    <row r="124" spans="1:10" ht="65.25" hidden="1" customHeight="1" x14ac:dyDescent="0.25">
      <c r="A124" s="126" t="str">
        <f>'Расчет номинала'!V4</f>
        <v>Организация 11</v>
      </c>
      <c r="B124" s="227" t="s">
        <v>108</v>
      </c>
      <c r="C124" s="228"/>
      <c r="D124" s="63">
        <f>'Расчет номинала'!V$16</f>
        <v>0</v>
      </c>
      <c r="E124" s="168"/>
      <c r="F124" s="168"/>
      <c r="G124" s="227" t="s">
        <v>109</v>
      </c>
      <c r="H124" s="228"/>
      <c r="I124" s="63">
        <f>IF(D134=0,H132+G133,H132+D134+I134)</f>
        <v>0</v>
      </c>
    </row>
    <row r="125" spans="1:10" ht="63" hidden="1" x14ac:dyDescent="0.25">
      <c r="A125" s="52" t="s">
        <v>26</v>
      </c>
      <c r="B125" s="52" t="s">
        <v>46</v>
      </c>
      <c r="C125" s="52" t="s">
        <v>49</v>
      </c>
      <c r="D125" s="53" t="s">
        <v>89</v>
      </c>
      <c r="E125" s="53"/>
      <c r="F125" s="53"/>
      <c r="G125" s="53" t="s">
        <v>90</v>
      </c>
      <c r="H125" s="115" t="s">
        <v>91</v>
      </c>
      <c r="I125" s="117" t="s">
        <v>43</v>
      </c>
      <c r="J125" s="117" t="s">
        <v>43</v>
      </c>
    </row>
    <row r="126" spans="1:10" hidden="1" x14ac:dyDescent="0.25">
      <c r="A126" s="54" t="s">
        <v>9</v>
      </c>
      <c r="B126" s="61">
        <f>'Расчет номинала'!V$9</f>
        <v>0</v>
      </c>
      <c r="C126" s="61">
        <f>'Расчет нормативной стоимости'!F$7</f>
        <v>265.49</v>
      </c>
      <c r="D126" s="62"/>
      <c r="E126" s="62"/>
      <c r="F126" s="62"/>
      <c r="G126" s="62"/>
      <c r="H126" s="63">
        <f>(D126+G126)*B126</f>
        <v>0</v>
      </c>
      <c r="I126" s="117" t="s">
        <v>43</v>
      </c>
      <c r="J126" s="117" t="s">
        <v>43</v>
      </c>
    </row>
    <row r="127" spans="1:10" hidden="1" x14ac:dyDescent="0.25">
      <c r="A127" s="54" t="s">
        <v>10</v>
      </c>
      <c r="B127" s="61">
        <f>'Расчет номинала'!V10</f>
        <v>0</v>
      </c>
      <c r="C127" s="61">
        <f>'Расчет нормативной стоимости'!G$7</f>
        <v>265.49</v>
      </c>
      <c r="D127" s="62"/>
      <c r="E127" s="62"/>
      <c r="F127" s="62"/>
      <c r="G127" s="62"/>
      <c r="H127" s="63">
        <f t="shared" ref="H127:H131" si="22">(D127+G127)*B127</f>
        <v>0</v>
      </c>
      <c r="I127" s="117" t="s">
        <v>43</v>
      </c>
      <c r="J127" s="117" t="s">
        <v>43</v>
      </c>
    </row>
    <row r="128" spans="1:10" hidden="1" x14ac:dyDescent="0.25">
      <c r="A128" s="54" t="s">
        <v>11</v>
      </c>
      <c r="B128" s="61">
        <f>'Расчет номинала'!V11</f>
        <v>0</v>
      </c>
      <c r="C128" s="61">
        <f>'Расчет нормативной стоимости'!H$7</f>
        <v>265.49</v>
      </c>
      <c r="D128" s="62"/>
      <c r="E128" s="62"/>
      <c r="F128" s="62"/>
      <c r="G128" s="62"/>
      <c r="H128" s="63">
        <f t="shared" si="22"/>
        <v>0</v>
      </c>
      <c r="I128" s="117" t="s">
        <v>43</v>
      </c>
      <c r="J128" s="117" t="s">
        <v>43</v>
      </c>
    </row>
    <row r="129" spans="1:10" hidden="1" x14ac:dyDescent="0.25">
      <c r="A129" s="54" t="s">
        <v>12</v>
      </c>
      <c r="B129" s="61">
        <f>'Расчет номинала'!V12</f>
        <v>0</v>
      </c>
      <c r="C129" s="61">
        <f>'Расчет нормативной стоимости'!I$7</f>
        <v>0</v>
      </c>
      <c r="D129" s="62"/>
      <c r="E129" s="62"/>
      <c r="F129" s="62"/>
      <c r="G129" s="62"/>
      <c r="H129" s="63">
        <f t="shared" si="22"/>
        <v>0</v>
      </c>
      <c r="I129" s="117" t="s">
        <v>43</v>
      </c>
      <c r="J129" s="117" t="s">
        <v>43</v>
      </c>
    </row>
    <row r="130" spans="1:10" hidden="1" x14ac:dyDescent="0.25">
      <c r="A130" s="54" t="s">
        <v>13</v>
      </c>
      <c r="B130" s="61">
        <f>'Расчет номинала'!V13</f>
        <v>0</v>
      </c>
      <c r="C130" s="61">
        <f>'Расчет нормативной стоимости'!J$7</f>
        <v>0</v>
      </c>
      <c r="D130" s="62"/>
      <c r="E130" s="62"/>
      <c r="F130" s="62"/>
      <c r="G130" s="62"/>
      <c r="H130" s="63">
        <f t="shared" si="22"/>
        <v>0</v>
      </c>
      <c r="I130" s="117" t="s">
        <v>43</v>
      </c>
      <c r="J130" s="117" t="s">
        <v>43</v>
      </c>
    </row>
    <row r="131" spans="1:10" hidden="1" x14ac:dyDescent="0.25">
      <c r="A131" s="1" t="s">
        <v>57</v>
      </c>
      <c r="B131" s="61">
        <f>'Расчет номинала'!V14</f>
        <v>0</v>
      </c>
      <c r="C131" s="61">
        <f>'Расчет нормативной стоимости'!K$7</f>
        <v>265.49</v>
      </c>
      <c r="D131" s="62"/>
      <c r="E131" s="62"/>
      <c r="F131" s="62"/>
      <c r="G131" s="62"/>
      <c r="H131" s="63">
        <f t="shared" si="22"/>
        <v>0</v>
      </c>
      <c r="I131" s="117" t="s">
        <v>43</v>
      </c>
      <c r="J131" s="117" t="s">
        <v>43</v>
      </c>
    </row>
    <row r="132" spans="1:10" hidden="1" x14ac:dyDescent="0.25">
      <c r="A132" s="55" t="s">
        <v>47</v>
      </c>
      <c r="B132" s="56" t="s">
        <v>43</v>
      </c>
      <c r="C132" s="56" t="s">
        <v>43</v>
      </c>
      <c r="D132" s="64">
        <f t="shared" ref="D132:H132" si="23">SUM(D126:D131)</f>
        <v>0</v>
      </c>
      <c r="E132" s="64"/>
      <c r="F132" s="64"/>
      <c r="G132" s="64">
        <f t="shared" si="23"/>
        <v>0</v>
      </c>
      <c r="H132" s="65">
        <f t="shared" si="23"/>
        <v>0</v>
      </c>
      <c r="I132" s="117" t="s">
        <v>43</v>
      </c>
      <c r="J132" s="117" t="s">
        <v>43</v>
      </c>
    </row>
    <row r="133" spans="1:10" ht="47.25" hidden="1" x14ac:dyDescent="0.25">
      <c r="A133" s="116" t="s">
        <v>96</v>
      </c>
      <c r="B133" s="229" t="s">
        <v>97</v>
      </c>
      <c r="C133" s="230"/>
      <c r="D133" s="231"/>
      <c r="E133" s="167"/>
      <c r="F133" s="167"/>
      <c r="G133" s="121"/>
      <c r="H133" s="117" t="s">
        <v>43</v>
      </c>
      <c r="I133" s="117" t="s">
        <v>43</v>
      </c>
      <c r="J133" s="52" t="s">
        <v>102</v>
      </c>
    </row>
    <row r="134" spans="1:10" hidden="1" x14ac:dyDescent="0.25">
      <c r="A134" s="116" t="s">
        <v>92</v>
      </c>
      <c r="B134" s="232" t="s">
        <v>95</v>
      </c>
      <c r="C134" s="232"/>
      <c r="D134" s="120"/>
      <c r="E134" s="169"/>
      <c r="F134" s="169"/>
      <c r="G134" s="233" t="s">
        <v>93</v>
      </c>
      <c r="H134" s="234"/>
      <c r="I134" s="120"/>
      <c r="J134" s="118">
        <f>D124-I124</f>
        <v>0</v>
      </c>
    </row>
    <row r="135" spans="1:10" hidden="1" x14ac:dyDescent="0.25"/>
    <row r="136" spans="1:10" ht="63.75" hidden="1" customHeight="1" x14ac:dyDescent="0.25">
      <c r="A136" s="126" t="str">
        <f>'Расчет номинала'!X4</f>
        <v>Организация 12</v>
      </c>
      <c r="B136" s="227" t="s">
        <v>108</v>
      </c>
      <c r="C136" s="228"/>
      <c r="D136" s="63">
        <f>'Расчет номинала'!X$16</f>
        <v>0</v>
      </c>
      <c r="E136" s="168"/>
      <c r="F136" s="168"/>
      <c r="G136" s="227" t="s">
        <v>109</v>
      </c>
      <c r="H136" s="228"/>
      <c r="I136" s="63">
        <f>IF(D146=0,H144+G145,H144+D146+I146)</f>
        <v>0</v>
      </c>
    </row>
    <row r="137" spans="1:10" ht="63" hidden="1" x14ac:dyDescent="0.25">
      <c r="A137" s="52" t="s">
        <v>26</v>
      </c>
      <c r="B137" s="52" t="s">
        <v>46</v>
      </c>
      <c r="C137" s="52" t="s">
        <v>49</v>
      </c>
      <c r="D137" s="53" t="s">
        <v>89</v>
      </c>
      <c r="E137" s="53"/>
      <c r="F137" s="53"/>
      <c r="G137" s="53" t="s">
        <v>90</v>
      </c>
      <c r="H137" s="115" t="s">
        <v>91</v>
      </c>
      <c r="I137" s="117" t="s">
        <v>43</v>
      </c>
      <c r="J137" s="117" t="s">
        <v>43</v>
      </c>
    </row>
    <row r="138" spans="1:10" hidden="1" x14ac:dyDescent="0.25">
      <c r="A138" s="54" t="s">
        <v>9</v>
      </c>
      <c r="B138" s="61">
        <f>'Расчет номинала'!X$9</f>
        <v>0</v>
      </c>
      <c r="C138" s="61">
        <f>'Расчет нормативной стоимости'!F$7</f>
        <v>265.49</v>
      </c>
      <c r="D138" s="62"/>
      <c r="E138" s="62"/>
      <c r="F138" s="62"/>
      <c r="G138" s="62"/>
      <c r="H138" s="63">
        <f>(D138+G138)*B138</f>
        <v>0</v>
      </c>
      <c r="I138" s="117" t="s">
        <v>43</v>
      </c>
      <c r="J138" s="117" t="s">
        <v>43</v>
      </c>
    </row>
    <row r="139" spans="1:10" hidden="1" x14ac:dyDescent="0.25">
      <c r="A139" s="54" t="s">
        <v>10</v>
      </c>
      <c r="B139" s="61">
        <f>'Расчет номинала'!X10</f>
        <v>0</v>
      </c>
      <c r="C139" s="61">
        <f>'Расчет нормативной стоимости'!G$7</f>
        <v>265.49</v>
      </c>
      <c r="D139" s="62"/>
      <c r="E139" s="62"/>
      <c r="F139" s="62"/>
      <c r="G139" s="62"/>
      <c r="H139" s="63">
        <f t="shared" ref="H139:H143" si="24">(D139+G139)*B139</f>
        <v>0</v>
      </c>
      <c r="I139" s="117" t="s">
        <v>43</v>
      </c>
      <c r="J139" s="117" t="s">
        <v>43</v>
      </c>
    </row>
    <row r="140" spans="1:10" hidden="1" x14ac:dyDescent="0.25">
      <c r="A140" s="54" t="s">
        <v>11</v>
      </c>
      <c r="B140" s="61">
        <f>'Расчет номинала'!X11</f>
        <v>0</v>
      </c>
      <c r="C140" s="61">
        <f>'Расчет нормативной стоимости'!H$7</f>
        <v>265.49</v>
      </c>
      <c r="D140" s="62"/>
      <c r="E140" s="62"/>
      <c r="F140" s="62"/>
      <c r="G140" s="62"/>
      <c r="H140" s="63">
        <f t="shared" si="24"/>
        <v>0</v>
      </c>
      <c r="I140" s="117" t="s">
        <v>43</v>
      </c>
      <c r="J140" s="117" t="s">
        <v>43</v>
      </c>
    </row>
    <row r="141" spans="1:10" hidden="1" x14ac:dyDescent="0.25">
      <c r="A141" s="54" t="s">
        <v>12</v>
      </c>
      <c r="B141" s="61">
        <f>'Расчет номинала'!X12</f>
        <v>0</v>
      </c>
      <c r="C141" s="61">
        <f>'Расчет нормативной стоимости'!I$7</f>
        <v>0</v>
      </c>
      <c r="D141" s="62"/>
      <c r="E141" s="62"/>
      <c r="F141" s="62"/>
      <c r="G141" s="62"/>
      <c r="H141" s="63">
        <f t="shared" si="24"/>
        <v>0</v>
      </c>
      <c r="I141" s="117" t="s">
        <v>43</v>
      </c>
      <c r="J141" s="117" t="s">
        <v>43</v>
      </c>
    </row>
    <row r="142" spans="1:10" hidden="1" x14ac:dyDescent="0.25">
      <c r="A142" s="54" t="s">
        <v>13</v>
      </c>
      <c r="B142" s="61">
        <f>'Расчет номинала'!X13</f>
        <v>0</v>
      </c>
      <c r="C142" s="61">
        <f>'Расчет нормативной стоимости'!J$7</f>
        <v>0</v>
      </c>
      <c r="D142" s="62"/>
      <c r="E142" s="62"/>
      <c r="F142" s="62"/>
      <c r="G142" s="62"/>
      <c r="H142" s="63">
        <f t="shared" si="24"/>
        <v>0</v>
      </c>
      <c r="I142" s="117" t="s">
        <v>43</v>
      </c>
      <c r="J142" s="117" t="s">
        <v>43</v>
      </c>
    </row>
    <row r="143" spans="1:10" hidden="1" x14ac:dyDescent="0.25">
      <c r="A143" s="1" t="s">
        <v>57</v>
      </c>
      <c r="B143" s="61">
        <f>'Расчет номинала'!X14</f>
        <v>0</v>
      </c>
      <c r="C143" s="61">
        <f>'Расчет нормативной стоимости'!K$7</f>
        <v>265.49</v>
      </c>
      <c r="D143" s="62"/>
      <c r="E143" s="62"/>
      <c r="F143" s="62"/>
      <c r="G143" s="62"/>
      <c r="H143" s="63">
        <f t="shared" si="24"/>
        <v>0</v>
      </c>
      <c r="I143" s="117" t="s">
        <v>43</v>
      </c>
      <c r="J143" s="117" t="s">
        <v>43</v>
      </c>
    </row>
    <row r="144" spans="1:10" hidden="1" x14ac:dyDescent="0.25">
      <c r="A144" s="55" t="s">
        <v>47</v>
      </c>
      <c r="B144" s="56" t="s">
        <v>43</v>
      </c>
      <c r="C144" s="56" t="s">
        <v>43</v>
      </c>
      <c r="D144" s="64">
        <f t="shared" ref="D144:H144" si="25">SUM(D138:D143)</f>
        <v>0</v>
      </c>
      <c r="E144" s="64"/>
      <c r="F144" s="64"/>
      <c r="G144" s="64">
        <f t="shared" si="25"/>
        <v>0</v>
      </c>
      <c r="H144" s="65">
        <f t="shared" si="25"/>
        <v>0</v>
      </c>
      <c r="I144" s="117" t="s">
        <v>43</v>
      </c>
      <c r="J144" s="117" t="s">
        <v>43</v>
      </c>
    </row>
    <row r="145" spans="1:10" ht="47.25" hidden="1" x14ac:dyDescent="0.25">
      <c r="A145" s="116" t="s">
        <v>96</v>
      </c>
      <c r="B145" s="229" t="s">
        <v>97</v>
      </c>
      <c r="C145" s="230"/>
      <c r="D145" s="231"/>
      <c r="E145" s="167"/>
      <c r="F145" s="167"/>
      <c r="G145" s="121"/>
      <c r="H145" s="117" t="s">
        <v>43</v>
      </c>
      <c r="I145" s="117" t="s">
        <v>43</v>
      </c>
      <c r="J145" s="52" t="s">
        <v>102</v>
      </c>
    </row>
    <row r="146" spans="1:10" hidden="1" x14ac:dyDescent="0.25">
      <c r="A146" s="116" t="s">
        <v>92</v>
      </c>
      <c r="B146" s="232" t="s">
        <v>95</v>
      </c>
      <c r="C146" s="232"/>
      <c r="D146" s="120"/>
      <c r="E146" s="169"/>
      <c r="F146" s="169"/>
      <c r="G146" s="233" t="s">
        <v>93</v>
      </c>
      <c r="H146" s="234"/>
      <c r="I146" s="120"/>
      <c r="J146" s="118">
        <f>D136-I136</f>
        <v>0</v>
      </c>
    </row>
    <row r="147" spans="1:10" hidden="1" x14ac:dyDescent="0.25"/>
    <row r="148" spans="1:10" ht="62.25" hidden="1" customHeight="1" x14ac:dyDescent="0.25">
      <c r="A148" s="126" t="str">
        <f>'Расчет номинала'!Z4</f>
        <v>Организация 13</v>
      </c>
      <c r="B148" s="227" t="s">
        <v>108</v>
      </c>
      <c r="C148" s="228"/>
      <c r="D148" s="63">
        <f>'Расчет номинала'!Z$16</f>
        <v>0</v>
      </c>
      <c r="E148" s="168"/>
      <c r="F148" s="168"/>
      <c r="G148" s="227" t="s">
        <v>109</v>
      </c>
      <c r="H148" s="228"/>
      <c r="I148" s="63">
        <f>IF(D158=0,H156+G157,H156+D158+I158)</f>
        <v>0</v>
      </c>
    </row>
    <row r="149" spans="1:10" ht="63" hidden="1" x14ac:dyDescent="0.25">
      <c r="A149" s="52" t="s">
        <v>26</v>
      </c>
      <c r="B149" s="52" t="s">
        <v>46</v>
      </c>
      <c r="C149" s="52" t="s">
        <v>49</v>
      </c>
      <c r="D149" s="53" t="s">
        <v>89</v>
      </c>
      <c r="E149" s="53"/>
      <c r="F149" s="53"/>
      <c r="G149" s="53" t="s">
        <v>90</v>
      </c>
      <c r="H149" s="115" t="s">
        <v>91</v>
      </c>
      <c r="I149" s="117" t="s">
        <v>43</v>
      </c>
      <c r="J149" s="117" t="s">
        <v>43</v>
      </c>
    </row>
    <row r="150" spans="1:10" hidden="1" x14ac:dyDescent="0.25">
      <c r="A150" s="54" t="s">
        <v>9</v>
      </c>
      <c r="B150" s="61">
        <f>'Расчет номинала'!Z$9</f>
        <v>0</v>
      </c>
      <c r="C150" s="61">
        <f>'Расчет нормативной стоимости'!F$7</f>
        <v>265.49</v>
      </c>
      <c r="D150" s="62"/>
      <c r="E150" s="62"/>
      <c r="F150" s="62"/>
      <c r="G150" s="62"/>
      <c r="H150" s="63">
        <f>(D150+G150)*B150</f>
        <v>0</v>
      </c>
      <c r="I150" s="117" t="s">
        <v>43</v>
      </c>
      <c r="J150" s="117" t="s">
        <v>43</v>
      </c>
    </row>
    <row r="151" spans="1:10" hidden="1" x14ac:dyDescent="0.25">
      <c r="A151" s="54" t="s">
        <v>10</v>
      </c>
      <c r="B151" s="61">
        <f>'Расчет номинала'!Z10</f>
        <v>0</v>
      </c>
      <c r="C151" s="61">
        <f>'Расчет нормативной стоимости'!G$7</f>
        <v>265.49</v>
      </c>
      <c r="D151" s="62"/>
      <c r="E151" s="62"/>
      <c r="F151" s="62"/>
      <c r="G151" s="62"/>
      <c r="H151" s="63">
        <f t="shared" ref="H151:H155" si="26">(D151+G151)*B151</f>
        <v>0</v>
      </c>
      <c r="I151" s="117" t="s">
        <v>43</v>
      </c>
      <c r="J151" s="117" t="s">
        <v>43</v>
      </c>
    </row>
    <row r="152" spans="1:10" hidden="1" x14ac:dyDescent="0.25">
      <c r="A152" s="54" t="s">
        <v>11</v>
      </c>
      <c r="B152" s="61">
        <f>'Расчет номинала'!Z11</f>
        <v>0</v>
      </c>
      <c r="C152" s="61">
        <f>'Расчет нормативной стоимости'!H$7</f>
        <v>265.49</v>
      </c>
      <c r="D152" s="62"/>
      <c r="E152" s="62"/>
      <c r="F152" s="62"/>
      <c r="G152" s="62"/>
      <c r="H152" s="63">
        <f t="shared" si="26"/>
        <v>0</v>
      </c>
      <c r="I152" s="117" t="s">
        <v>43</v>
      </c>
      <c r="J152" s="117" t="s">
        <v>43</v>
      </c>
    </row>
    <row r="153" spans="1:10" hidden="1" x14ac:dyDescent="0.25">
      <c r="A153" s="54" t="s">
        <v>12</v>
      </c>
      <c r="B153" s="61">
        <f>'Расчет номинала'!Z12</f>
        <v>0</v>
      </c>
      <c r="C153" s="61">
        <f>'Расчет нормативной стоимости'!I$7</f>
        <v>0</v>
      </c>
      <c r="D153" s="62"/>
      <c r="E153" s="62"/>
      <c r="F153" s="62"/>
      <c r="G153" s="62"/>
      <c r="H153" s="63">
        <f t="shared" si="26"/>
        <v>0</v>
      </c>
      <c r="I153" s="117" t="s">
        <v>43</v>
      </c>
      <c r="J153" s="117" t="s">
        <v>43</v>
      </c>
    </row>
    <row r="154" spans="1:10" hidden="1" x14ac:dyDescent="0.25">
      <c r="A154" s="54" t="s">
        <v>13</v>
      </c>
      <c r="B154" s="61">
        <f>'Расчет номинала'!Z13</f>
        <v>0</v>
      </c>
      <c r="C154" s="61">
        <f>'Расчет нормативной стоимости'!J$7</f>
        <v>0</v>
      </c>
      <c r="D154" s="62"/>
      <c r="E154" s="62"/>
      <c r="F154" s="62"/>
      <c r="G154" s="62"/>
      <c r="H154" s="63">
        <f t="shared" si="26"/>
        <v>0</v>
      </c>
      <c r="I154" s="117" t="s">
        <v>43</v>
      </c>
      <c r="J154" s="117" t="s">
        <v>43</v>
      </c>
    </row>
    <row r="155" spans="1:10" hidden="1" x14ac:dyDescent="0.25">
      <c r="A155" s="1" t="s">
        <v>57</v>
      </c>
      <c r="B155" s="61">
        <f>'Расчет номинала'!Z14</f>
        <v>0</v>
      </c>
      <c r="C155" s="61">
        <f>'Расчет нормативной стоимости'!K$7</f>
        <v>265.49</v>
      </c>
      <c r="D155" s="62"/>
      <c r="E155" s="62"/>
      <c r="F155" s="62"/>
      <c r="G155" s="62"/>
      <c r="H155" s="63">
        <f t="shared" si="26"/>
        <v>0</v>
      </c>
      <c r="I155" s="117" t="s">
        <v>43</v>
      </c>
      <c r="J155" s="117" t="s">
        <v>43</v>
      </c>
    </row>
    <row r="156" spans="1:10" hidden="1" x14ac:dyDescent="0.25">
      <c r="A156" s="55" t="s">
        <v>47</v>
      </c>
      <c r="B156" s="56" t="s">
        <v>43</v>
      </c>
      <c r="C156" s="56" t="s">
        <v>43</v>
      </c>
      <c r="D156" s="64">
        <f t="shared" ref="D156:H156" si="27">SUM(D150:D155)</f>
        <v>0</v>
      </c>
      <c r="E156" s="64"/>
      <c r="F156" s="64"/>
      <c r="G156" s="64">
        <f t="shared" si="27"/>
        <v>0</v>
      </c>
      <c r="H156" s="65">
        <f t="shared" si="27"/>
        <v>0</v>
      </c>
      <c r="I156" s="117" t="s">
        <v>43</v>
      </c>
      <c r="J156" s="117" t="s">
        <v>43</v>
      </c>
    </row>
    <row r="157" spans="1:10" ht="47.25" hidden="1" x14ac:dyDescent="0.25">
      <c r="A157" s="116" t="s">
        <v>96</v>
      </c>
      <c r="B157" s="229" t="s">
        <v>97</v>
      </c>
      <c r="C157" s="230"/>
      <c r="D157" s="231"/>
      <c r="E157" s="167"/>
      <c r="F157" s="167"/>
      <c r="G157" s="121"/>
      <c r="H157" s="117" t="s">
        <v>43</v>
      </c>
      <c r="I157" s="117" t="s">
        <v>43</v>
      </c>
      <c r="J157" s="52" t="s">
        <v>102</v>
      </c>
    </row>
    <row r="158" spans="1:10" hidden="1" x14ac:dyDescent="0.25">
      <c r="A158" s="116" t="s">
        <v>92</v>
      </c>
      <c r="B158" s="232" t="s">
        <v>95</v>
      </c>
      <c r="C158" s="232"/>
      <c r="D158" s="120"/>
      <c r="E158" s="169"/>
      <c r="F158" s="169"/>
      <c r="G158" s="233" t="s">
        <v>93</v>
      </c>
      <c r="H158" s="234"/>
      <c r="I158" s="120"/>
      <c r="J158" s="118">
        <f>D148-I148</f>
        <v>0</v>
      </c>
    </row>
    <row r="159" spans="1:10" hidden="1" x14ac:dyDescent="0.25"/>
    <row r="160" spans="1:10" ht="60.75" hidden="1" customHeight="1" x14ac:dyDescent="0.25">
      <c r="A160" s="126" t="str">
        <f>'Расчет номинала'!AB4</f>
        <v>Организация 14</v>
      </c>
      <c r="B160" s="227" t="s">
        <v>108</v>
      </c>
      <c r="C160" s="228"/>
      <c r="D160" s="63">
        <f>'Расчет номинала'!AB$16</f>
        <v>0</v>
      </c>
      <c r="E160" s="168"/>
      <c r="F160" s="168"/>
      <c r="G160" s="227" t="s">
        <v>109</v>
      </c>
      <c r="H160" s="228"/>
      <c r="I160" s="63">
        <f>IF(D170=0,H168+G169,H168+D170+I170)</f>
        <v>0</v>
      </c>
    </row>
    <row r="161" spans="1:10" ht="63" hidden="1" x14ac:dyDescent="0.25">
      <c r="A161" s="52" t="s">
        <v>26</v>
      </c>
      <c r="B161" s="52" t="s">
        <v>46</v>
      </c>
      <c r="C161" s="52" t="s">
        <v>49</v>
      </c>
      <c r="D161" s="53" t="s">
        <v>89</v>
      </c>
      <c r="E161" s="53"/>
      <c r="F161" s="53"/>
      <c r="G161" s="53" t="s">
        <v>90</v>
      </c>
      <c r="H161" s="115" t="s">
        <v>91</v>
      </c>
      <c r="I161" s="117" t="s">
        <v>43</v>
      </c>
      <c r="J161" s="117" t="s">
        <v>43</v>
      </c>
    </row>
    <row r="162" spans="1:10" hidden="1" x14ac:dyDescent="0.25">
      <c r="A162" s="54" t="s">
        <v>9</v>
      </c>
      <c r="B162" s="61">
        <f>'Расчет номинала'!AB$9</f>
        <v>0</v>
      </c>
      <c r="C162" s="61">
        <f>'Расчет нормативной стоимости'!F$7</f>
        <v>265.49</v>
      </c>
      <c r="D162" s="62"/>
      <c r="E162" s="62"/>
      <c r="F162" s="62"/>
      <c r="G162" s="62"/>
      <c r="H162" s="63">
        <f>(D162+G162)*B162</f>
        <v>0</v>
      </c>
      <c r="I162" s="117" t="s">
        <v>43</v>
      </c>
      <c r="J162" s="117" t="s">
        <v>43</v>
      </c>
    </row>
    <row r="163" spans="1:10" hidden="1" x14ac:dyDescent="0.25">
      <c r="A163" s="54" t="s">
        <v>10</v>
      </c>
      <c r="B163" s="61">
        <f>'Расчет номинала'!AB10</f>
        <v>0</v>
      </c>
      <c r="C163" s="61">
        <f>'Расчет нормативной стоимости'!G$7</f>
        <v>265.49</v>
      </c>
      <c r="D163" s="62"/>
      <c r="E163" s="62"/>
      <c r="F163" s="62"/>
      <c r="G163" s="62"/>
      <c r="H163" s="63">
        <f t="shared" ref="H163:H167" si="28">(D163+G163)*B163</f>
        <v>0</v>
      </c>
      <c r="I163" s="117" t="s">
        <v>43</v>
      </c>
      <c r="J163" s="117" t="s">
        <v>43</v>
      </c>
    </row>
    <row r="164" spans="1:10" hidden="1" x14ac:dyDescent="0.25">
      <c r="A164" s="54" t="s">
        <v>11</v>
      </c>
      <c r="B164" s="61">
        <f>'Расчет номинала'!AB11</f>
        <v>0</v>
      </c>
      <c r="C164" s="61">
        <f>'Расчет нормативной стоимости'!H$7</f>
        <v>265.49</v>
      </c>
      <c r="D164" s="62"/>
      <c r="E164" s="62"/>
      <c r="F164" s="62"/>
      <c r="G164" s="62"/>
      <c r="H164" s="63">
        <f t="shared" si="28"/>
        <v>0</v>
      </c>
      <c r="I164" s="117" t="s">
        <v>43</v>
      </c>
      <c r="J164" s="117" t="s">
        <v>43</v>
      </c>
    </row>
    <row r="165" spans="1:10" hidden="1" x14ac:dyDescent="0.25">
      <c r="A165" s="54" t="s">
        <v>12</v>
      </c>
      <c r="B165" s="61">
        <f>'Расчет номинала'!AB12</f>
        <v>0</v>
      </c>
      <c r="C165" s="61">
        <f>'Расчет нормативной стоимости'!I$7</f>
        <v>0</v>
      </c>
      <c r="D165" s="62"/>
      <c r="E165" s="62"/>
      <c r="F165" s="62"/>
      <c r="G165" s="62"/>
      <c r="H165" s="63">
        <f t="shared" si="28"/>
        <v>0</v>
      </c>
      <c r="I165" s="117" t="s">
        <v>43</v>
      </c>
      <c r="J165" s="117" t="s">
        <v>43</v>
      </c>
    </row>
    <row r="166" spans="1:10" hidden="1" x14ac:dyDescent="0.25">
      <c r="A166" s="54" t="s">
        <v>13</v>
      </c>
      <c r="B166" s="61">
        <f>'Расчет номинала'!AB13</f>
        <v>0</v>
      </c>
      <c r="C166" s="61">
        <f>'Расчет нормативной стоимости'!J$7</f>
        <v>0</v>
      </c>
      <c r="D166" s="62"/>
      <c r="E166" s="62"/>
      <c r="F166" s="62"/>
      <c r="G166" s="62"/>
      <c r="H166" s="63">
        <f t="shared" si="28"/>
        <v>0</v>
      </c>
      <c r="I166" s="117" t="s">
        <v>43</v>
      </c>
      <c r="J166" s="117" t="s">
        <v>43</v>
      </c>
    </row>
    <row r="167" spans="1:10" hidden="1" x14ac:dyDescent="0.25">
      <c r="A167" s="1" t="s">
        <v>57</v>
      </c>
      <c r="B167" s="61">
        <f>'Расчет номинала'!AB14</f>
        <v>0</v>
      </c>
      <c r="C167" s="61">
        <f>'Расчет нормативной стоимости'!K$7</f>
        <v>265.49</v>
      </c>
      <c r="D167" s="62"/>
      <c r="E167" s="62"/>
      <c r="F167" s="62"/>
      <c r="G167" s="62"/>
      <c r="H167" s="63">
        <f t="shared" si="28"/>
        <v>0</v>
      </c>
      <c r="I167" s="117" t="s">
        <v>43</v>
      </c>
      <c r="J167" s="117" t="s">
        <v>43</v>
      </c>
    </row>
    <row r="168" spans="1:10" hidden="1" x14ac:dyDescent="0.25">
      <c r="A168" s="55" t="s">
        <v>47</v>
      </c>
      <c r="B168" s="56" t="s">
        <v>43</v>
      </c>
      <c r="C168" s="56" t="s">
        <v>43</v>
      </c>
      <c r="D168" s="64">
        <f t="shared" ref="D168:H168" si="29">SUM(D162:D167)</f>
        <v>0</v>
      </c>
      <c r="E168" s="64"/>
      <c r="F168" s="64"/>
      <c r="G168" s="64">
        <f t="shared" si="29"/>
        <v>0</v>
      </c>
      <c r="H168" s="65">
        <f t="shared" si="29"/>
        <v>0</v>
      </c>
      <c r="I168" s="117" t="s">
        <v>43</v>
      </c>
      <c r="J168" s="117" t="s">
        <v>43</v>
      </c>
    </row>
    <row r="169" spans="1:10" ht="47.25" hidden="1" x14ac:dyDescent="0.25">
      <c r="A169" s="116" t="s">
        <v>96</v>
      </c>
      <c r="B169" s="229" t="s">
        <v>97</v>
      </c>
      <c r="C169" s="230"/>
      <c r="D169" s="231"/>
      <c r="E169" s="167"/>
      <c r="F169" s="167"/>
      <c r="G169" s="121"/>
      <c r="H169" s="117" t="s">
        <v>43</v>
      </c>
      <c r="I169" s="117" t="s">
        <v>43</v>
      </c>
      <c r="J169" s="52" t="s">
        <v>102</v>
      </c>
    </row>
    <row r="170" spans="1:10" hidden="1" x14ac:dyDescent="0.25">
      <c r="A170" s="116" t="s">
        <v>92</v>
      </c>
      <c r="B170" s="232" t="s">
        <v>95</v>
      </c>
      <c r="C170" s="232"/>
      <c r="D170" s="120"/>
      <c r="E170" s="169"/>
      <c r="F170" s="169"/>
      <c r="G170" s="233" t="s">
        <v>93</v>
      </c>
      <c r="H170" s="234"/>
      <c r="I170" s="120"/>
      <c r="J170" s="118">
        <f>D160-I160</f>
        <v>0</v>
      </c>
    </row>
    <row r="171" spans="1:10" hidden="1" x14ac:dyDescent="0.25"/>
    <row r="172" spans="1:10" ht="63" hidden="1" customHeight="1" x14ac:dyDescent="0.25">
      <c r="A172" s="126" t="str">
        <f>'Расчет номинала'!AD4</f>
        <v>Организация 15</v>
      </c>
      <c r="B172" s="227" t="s">
        <v>108</v>
      </c>
      <c r="C172" s="228"/>
      <c r="D172" s="63">
        <f>'Расчет номинала'!AD$16</f>
        <v>0</v>
      </c>
      <c r="E172" s="168"/>
      <c r="F172" s="168"/>
      <c r="G172" s="227" t="s">
        <v>109</v>
      </c>
      <c r="H172" s="228"/>
      <c r="I172" s="63">
        <f>IF(D182=0,H180+G181,H180+D182+I182)</f>
        <v>0</v>
      </c>
    </row>
    <row r="173" spans="1:10" ht="63" hidden="1" x14ac:dyDescent="0.25">
      <c r="A173" s="52" t="s">
        <v>26</v>
      </c>
      <c r="B173" s="52" t="s">
        <v>46</v>
      </c>
      <c r="C173" s="52" t="s">
        <v>49</v>
      </c>
      <c r="D173" s="53" t="s">
        <v>89</v>
      </c>
      <c r="E173" s="53"/>
      <c r="F173" s="53"/>
      <c r="G173" s="53" t="s">
        <v>90</v>
      </c>
      <c r="H173" s="115" t="s">
        <v>91</v>
      </c>
      <c r="I173" s="117" t="s">
        <v>43</v>
      </c>
      <c r="J173" s="117" t="s">
        <v>43</v>
      </c>
    </row>
    <row r="174" spans="1:10" hidden="1" x14ac:dyDescent="0.25">
      <c r="A174" s="54" t="s">
        <v>9</v>
      </c>
      <c r="B174" s="61">
        <f>'Расчет номинала'!AD$9</f>
        <v>0</v>
      </c>
      <c r="C174" s="61">
        <f>'Расчет нормативной стоимости'!F$7</f>
        <v>265.49</v>
      </c>
      <c r="D174" s="62"/>
      <c r="E174" s="62"/>
      <c r="F174" s="62"/>
      <c r="G174" s="62"/>
      <c r="H174" s="63">
        <f>(D174+G174)*B174</f>
        <v>0</v>
      </c>
      <c r="I174" s="117" t="s">
        <v>43</v>
      </c>
      <c r="J174" s="117" t="s">
        <v>43</v>
      </c>
    </row>
    <row r="175" spans="1:10" hidden="1" x14ac:dyDescent="0.25">
      <c r="A175" s="54" t="s">
        <v>10</v>
      </c>
      <c r="B175" s="61">
        <f>'Расчет номинала'!AD10</f>
        <v>0</v>
      </c>
      <c r="C175" s="61">
        <f>'Расчет нормативной стоимости'!G$7</f>
        <v>265.49</v>
      </c>
      <c r="D175" s="62"/>
      <c r="E175" s="62"/>
      <c r="F175" s="62"/>
      <c r="G175" s="62"/>
      <c r="H175" s="63">
        <f t="shared" ref="H175:H179" si="30">(D175+G175)*B175</f>
        <v>0</v>
      </c>
      <c r="I175" s="117" t="s">
        <v>43</v>
      </c>
      <c r="J175" s="117" t="s">
        <v>43</v>
      </c>
    </row>
    <row r="176" spans="1:10" hidden="1" x14ac:dyDescent="0.25">
      <c r="A176" s="54" t="s">
        <v>11</v>
      </c>
      <c r="B176" s="61">
        <f>'Расчет номинала'!AD11</f>
        <v>0</v>
      </c>
      <c r="C176" s="61">
        <f>'Расчет нормативной стоимости'!H$7</f>
        <v>265.49</v>
      </c>
      <c r="D176" s="62"/>
      <c r="E176" s="62"/>
      <c r="F176" s="62"/>
      <c r="G176" s="62"/>
      <c r="H176" s="63">
        <f t="shared" si="30"/>
        <v>0</v>
      </c>
      <c r="I176" s="117" t="s">
        <v>43</v>
      </c>
      <c r="J176" s="117" t="s">
        <v>43</v>
      </c>
    </row>
    <row r="177" spans="1:10" hidden="1" x14ac:dyDescent="0.25">
      <c r="A177" s="54" t="s">
        <v>12</v>
      </c>
      <c r="B177" s="61">
        <f>'Расчет номинала'!AD12</f>
        <v>0</v>
      </c>
      <c r="C177" s="61">
        <f>'Расчет нормативной стоимости'!I$7</f>
        <v>0</v>
      </c>
      <c r="D177" s="62"/>
      <c r="E177" s="62"/>
      <c r="F177" s="62"/>
      <c r="G177" s="62"/>
      <c r="H177" s="63">
        <f t="shared" si="30"/>
        <v>0</v>
      </c>
      <c r="I177" s="117" t="s">
        <v>43</v>
      </c>
      <c r="J177" s="117" t="s">
        <v>43</v>
      </c>
    </row>
    <row r="178" spans="1:10" hidden="1" x14ac:dyDescent="0.25">
      <c r="A178" s="54" t="s">
        <v>13</v>
      </c>
      <c r="B178" s="61">
        <f>'Расчет номинала'!AD13</f>
        <v>0</v>
      </c>
      <c r="C178" s="61">
        <f>'Расчет нормативной стоимости'!J$7</f>
        <v>0</v>
      </c>
      <c r="D178" s="62"/>
      <c r="E178" s="62"/>
      <c r="F178" s="62"/>
      <c r="G178" s="62"/>
      <c r="H178" s="63">
        <f t="shared" si="30"/>
        <v>0</v>
      </c>
      <c r="I178" s="117" t="s">
        <v>43</v>
      </c>
      <c r="J178" s="117" t="s">
        <v>43</v>
      </c>
    </row>
    <row r="179" spans="1:10" hidden="1" x14ac:dyDescent="0.25">
      <c r="A179" s="1" t="s">
        <v>57</v>
      </c>
      <c r="B179" s="61">
        <f>'Расчет номинала'!AD14</f>
        <v>0</v>
      </c>
      <c r="C179" s="61">
        <f>'Расчет нормативной стоимости'!K$7</f>
        <v>265.49</v>
      </c>
      <c r="D179" s="62"/>
      <c r="E179" s="62"/>
      <c r="F179" s="62"/>
      <c r="G179" s="62"/>
      <c r="H179" s="63">
        <f t="shared" si="30"/>
        <v>0</v>
      </c>
      <c r="I179" s="117" t="s">
        <v>43</v>
      </c>
      <c r="J179" s="117" t="s">
        <v>43</v>
      </c>
    </row>
    <row r="180" spans="1:10" hidden="1" x14ac:dyDescent="0.25">
      <c r="A180" s="55" t="s">
        <v>47</v>
      </c>
      <c r="B180" s="56" t="s">
        <v>43</v>
      </c>
      <c r="C180" s="56" t="s">
        <v>43</v>
      </c>
      <c r="D180" s="64">
        <f t="shared" ref="D180:H180" si="31">SUM(D174:D179)</f>
        <v>0</v>
      </c>
      <c r="E180" s="64"/>
      <c r="F180" s="64"/>
      <c r="G180" s="64">
        <f t="shared" si="31"/>
        <v>0</v>
      </c>
      <c r="H180" s="65">
        <f t="shared" si="31"/>
        <v>0</v>
      </c>
      <c r="I180" s="117" t="s">
        <v>43</v>
      </c>
      <c r="J180" s="117" t="s">
        <v>43</v>
      </c>
    </row>
    <row r="181" spans="1:10" ht="47.25" hidden="1" x14ac:dyDescent="0.25">
      <c r="A181" s="116" t="s">
        <v>96</v>
      </c>
      <c r="B181" s="229" t="s">
        <v>97</v>
      </c>
      <c r="C181" s="230"/>
      <c r="D181" s="231"/>
      <c r="E181" s="167"/>
      <c r="F181" s="167"/>
      <c r="G181" s="121"/>
      <c r="H181" s="117" t="s">
        <v>43</v>
      </c>
      <c r="I181" s="117" t="s">
        <v>43</v>
      </c>
      <c r="J181" s="52" t="s">
        <v>102</v>
      </c>
    </row>
    <row r="182" spans="1:10" hidden="1" x14ac:dyDescent="0.25">
      <c r="A182" s="116" t="s">
        <v>92</v>
      </c>
      <c r="B182" s="232" t="s">
        <v>95</v>
      </c>
      <c r="C182" s="232"/>
      <c r="D182" s="120"/>
      <c r="E182" s="169"/>
      <c r="F182" s="169"/>
      <c r="G182" s="233" t="s">
        <v>93</v>
      </c>
      <c r="H182" s="234"/>
      <c r="I182" s="120"/>
      <c r="J182" s="118">
        <f>D172-I172</f>
        <v>0</v>
      </c>
    </row>
    <row r="184" spans="1:10" x14ac:dyDescent="0.25">
      <c r="G184" s="29">
        <f>G24+G12</f>
        <v>109664</v>
      </c>
    </row>
  </sheetData>
  <mergeCells count="78">
    <mergeCell ref="B172:C172"/>
    <mergeCell ref="G172:H172"/>
    <mergeCell ref="B181:D181"/>
    <mergeCell ref="B182:C182"/>
    <mergeCell ref="G182:H182"/>
    <mergeCell ref="B170:C170"/>
    <mergeCell ref="G170:H170"/>
    <mergeCell ref="B145:D145"/>
    <mergeCell ref="B146:C146"/>
    <mergeCell ref="G146:H146"/>
    <mergeCell ref="B148:C148"/>
    <mergeCell ref="G148:H148"/>
    <mergeCell ref="B157:D157"/>
    <mergeCell ref="B158:C158"/>
    <mergeCell ref="G158:H158"/>
    <mergeCell ref="B160:C160"/>
    <mergeCell ref="G160:H160"/>
    <mergeCell ref="B169:D169"/>
    <mergeCell ref="B136:C136"/>
    <mergeCell ref="G136:H136"/>
    <mergeCell ref="B110:C110"/>
    <mergeCell ref="G110:H110"/>
    <mergeCell ref="B112:C112"/>
    <mergeCell ref="G112:H112"/>
    <mergeCell ref="B121:D121"/>
    <mergeCell ref="B122:C122"/>
    <mergeCell ref="G122:H122"/>
    <mergeCell ref="B124:C124"/>
    <mergeCell ref="G124:H124"/>
    <mergeCell ref="B133:D133"/>
    <mergeCell ref="B134:C134"/>
    <mergeCell ref="G134:H134"/>
    <mergeCell ref="B109:D109"/>
    <mergeCell ref="B76:C76"/>
    <mergeCell ref="G76:H76"/>
    <mergeCell ref="B85:D85"/>
    <mergeCell ref="B86:C86"/>
    <mergeCell ref="G86:H86"/>
    <mergeCell ref="B88:C88"/>
    <mergeCell ref="G88:H88"/>
    <mergeCell ref="B97:D97"/>
    <mergeCell ref="B98:C98"/>
    <mergeCell ref="G98:H98"/>
    <mergeCell ref="B100:C100"/>
    <mergeCell ref="G100:H100"/>
    <mergeCell ref="B74:C74"/>
    <mergeCell ref="G74:H74"/>
    <mergeCell ref="B49:D49"/>
    <mergeCell ref="B50:C50"/>
    <mergeCell ref="G50:H50"/>
    <mergeCell ref="B52:C52"/>
    <mergeCell ref="G52:H52"/>
    <mergeCell ref="B61:D61"/>
    <mergeCell ref="B62:C62"/>
    <mergeCell ref="G62:H62"/>
    <mergeCell ref="B64:C64"/>
    <mergeCell ref="G64:H64"/>
    <mergeCell ref="B73:D73"/>
    <mergeCell ref="B40:C40"/>
    <mergeCell ref="G40:H40"/>
    <mergeCell ref="B14:C14"/>
    <mergeCell ref="G14:H14"/>
    <mergeCell ref="B16:C16"/>
    <mergeCell ref="G16:H16"/>
    <mergeCell ref="B25:D25"/>
    <mergeCell ref="B26:C26"/>
    <mergeCell ref="G26:H26"/>
    <mergeCell ref="B28:C28"/>
    <mergeCell ref="G28:H28"/>
    <mergeCell ref="B37:D37"/>
    <mergeCell ref="B38:C38"/>
    <mergeCell ref="G38:H38"/>
    <mergeCell ref="B13:D13"/>
    <mergeCell ref="B1:C1"/>
    <mergeCell ref="H1:I1"/>
    <mergeCell ref="H2:I2"/>
    <mergeCell ref="B4:C4"/>
    <mergeCell ref="G4:H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1" manualBreakCount="1">
    <brk id="2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workbookViewId="0">
      <selection activeCell="B8" sqref="B8"/>
    </sheetView>
  </sheetViews>
  <sheetFormatPr defaultRowHeight="15.75" x14ac:dyDescent="0.25"/>
  <cols>
    <col min="1" max="1" width="30.125" customWidth="1"/>
    <col min="2" max="3" width="10.875" customWidth="1"/>
  </cols>
  <sheetData>
    <row r="4" spans="1:3" x14ac:dyDescent="0.25">
      <c r="A4" t="s">
        <v>242</v>
      </c>
    </row>
    <row r="6" spans="1:3" x14ac:dyDescent="0.25">
      <c r="B6" t="s">
        <v>240</v>
      </c>
      <c r="C6" t="s">
        <v>241</v>
      </c>
    </row>
    <row r="7" spans="1:3" x14ac:dyDescent="0.25">
      <c r="B7" t="s">
        <v>243</v>
      </c>
    </row>
    <row r="8" spans="1:3" x14ac:dyDescent="0.25">
      <c r="A8" s="54" t="s">
        <v>9</v>
      </c>
    </row>
    <row r="9" spans="1:3" x14ac:dyDescent="0.25">
      <c r="A9" s="54" t="s">
        <v>10</v>
      </c>
    </row>
    <row r="10" spans="1:3" x14ac:dyDescent="0.25">
      <c r="A10" s="54" t="s">
        <v>11</v>
      </c>
    </row>
    <row r="11" spans="1:3" x14ac:dyDescent="0.25">
      <c r="A11" s="54" t="s">
        <v>12</v>
      </c>
    </row>
    <row r="12" spans="1:3" x14ac:dyDescent="0.25">
      <c r="A12" s="54" t="s">
        <v>13</v>
      </c>
    </row>
    <row r="13" spans="1:3" x14ac:dyDescent="0.25">
      <c r="A13" s="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9</vt:i4>
      </vt:variant>
    </vt:vector>
  </HeadingPairs>
  <TitlesOfParts>
    <vt:vector size="17" baseType="lpstr">
      <vt:lpstr>Расчет номинала</vt:lpstr>
      <vt:lpstr>Затраты на содержание УДО</vt:lpstr>
      <vt:lpstr>Расчет нормативной стоимости</vt:lpstr>
      <vt:lpstr>Сходимость модели ПФ</vt:lpstr>
      <vt:lpstr>Общеразв. программы НЕ ПФ </vt:lpstr>
      <vt:lpstr>Уточнение мунзадания</vt:lpstr>
      <vt:lpstr>расчет уточнения часов</vt:lpstr>
      <vt:lpstr>Лист2</vt:lpstr>
      <vt:lpstr>'Затраты на содержание УДО'!Заголовки_для_печати</vt:lpstr>
      <vt:lpstr>'Сходимость модели ПФ'!Заголовки_для_печати</vt:lpstr>
      <vt:lpstr>'Затраты на содержание УДО'!Область_печати</vt:lpstr>
      <vt:lpstr>'Общеразв. программы НЕ ПФ '!Область_печати</vt:lpstr>
      <vt:lpstr>'Расчет номинала'!Область_печати</vt:lpstr>
      <vt:lpstr>'Расчет нормативной стоимости'!Область_печати</vt:lpstr>
      <vt:lpstr>'расчет уточнения часов'!Область_печати</vt:lpstr>
      <vt:lpstr>'Сходимость модели ПФ'!Область_печати</vt:lpstr>
      <vt:lpstr>'Уточнение мунзадания'!Область_печати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Таня</cp:lastModifiedBy>
  <cp:lastPrinted>2021-03-24T03:26:59Z</cp:lastPrinted>
  <dcterms:created xsi:type="dcterms:W3CDTF">2019-03-03T02:50:35Z</dcterms:created>
  <dcterms:modified xsi:type="dcterms:W3CDTF">2021-04-15T05:44:53Z</dcterms:modified>
</cp:coreProperties>
</file>