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ЭБЦ" sheetId="1" r:id="rId1"/>
    <sheet name="ЦРТДЮ" sheetId="2" r:id="rId2"/>
    <sheet name="ДЮСШ № 1" sheetId="3" r:id="rId3"/>
    <sheet name="ДЮСШ № 2" sheetId="4" r:id="rId4"/>
  </sheets>
  <externalReferences>
    <externalReference r:id="rId7"/>
  </externalReferences>
  <definedNames>
    <definedName name="asd1">'[1]Оборотная ведомость ТМЦ'!#REF!</definedName>
    <definedName name="none">'[1]Оборотная ведомость ТМЦ'!#REF!</definedName>
    <definedName name="Валюта">'[1]Оборотная ведомость ТМЦ'!#REF!</definedName>
    <definedName name="Всего">'[1]Оборотная ведомость ТМЦ'!#REF!</definedName>
    <definedName name="ДатаЭкспл">'[1]Оборотная ведомость ТМЦ'!#REF!</definedName>
    <definedName name="Износ">'[1]Оборотная ведомость ТМЦ'!#REF!</definedName>
    <definedName name="ИтогКолНачало">'[1]Оборотная ведомость ТМЦ'!#REF!</definedName>
    <definedName name="ИтогОборотДебет">'[1]Оборотная ведомость ТМЦ'!#REF!</definedName>
    <definedName name="ИтогОборотКредит">'[1]Оборотная ведомость ТМЦ'!#REF!</definedName>
    <definedName name="ИтогоИзнос">'[1]Оборотная ведомость ТМЦ'!#REF!</definedName>
    <definedName name="ИтогоПо">'[1]Оборотная ведомость ТМЦ'!#REF!</definedName>
    <definedName name="ИтогОстатокКонец">'[1]Оборотная ведомость ТМЦ'!#REF!</definedName>
    <definedName name="ИтогОстатокНачало">'[1]Оборотная ведомость ТМЦ'!#REF!</definedName>
    <definedName name="ИтогОстСт">'[1]Оборотная ведомость ТМЦ'!#REF!</definedName>
    <definedName name="КолДебет">'[1]Оборотная ведомость ТМЦ'!#REF!</definedName>
    <definedName name="КолКонец">'[1]Оборотная ведомость ТМЦ'!#REF!</definedName>
    <definedName name="КолКредит">'[1]Оборотная ведомость ТМЦ'!#REF!</definedName>
    <definedName name="КолНачало">'[1]Оборотная ведомость ТМЦ'!#REF!</definedName>
    <definedName name="Номенклатура">'[1]Оборотная ведомость ТМЦ'!#REF!</definedName>
    <definedName name="Номер1">'[1]Оборотная ведомость ТМЦ'!#REF!</definedName>
    <definedName name="ОборотДебет">'[1]Оборотная ведомость ТМЦ'!#REF!</definedName>
    <definedName name="ОборотКредит">'[1]Оборотная ведомость ТМЦ'!#REF!</definedName>
    <definedName name="ОстатокКонец">'[1]Оборотная ведомость ТМЦ'!#REF!</definedName>
    <definedName name="ОстатокНачало">'[1]Оборотная ведомость ТМЦ'!#REF!</definedName>
    <definedName name="ОстатСтоим">'[1]Оборотная ведомость ТМЦ'!#REF!</definedName>
    <definedName name="ПартияДата">'[1]Оборотная ведомость ТМЦ'!#REF!</definedName>
    <definedName name="СчетМол">'[1]Оборотная ведомость ТМЦ'!#REF!</definedName>
    <definedName name="asd1" localSheetId="0">'[1]Оборотная ведомость ТМЦ'!#REF!</definedName>
    <definedName name="none" localSheetId="0">'[1]Оборотная ведомость ТМЦ'!#REF!</definedName>
    <definedName name="Валюта" localSheetId="0">'[1]Оборотная ведомость ТМЦ'!#REF!</definedName>
    <definedName name="Всего" localSheetId="0">'[1]Оборотная ведомость ТМЦ'!#REF!</definedName>
    <definedName name="ДатаЭкспл" localSheetId="0">'[1]Оборотная ведомость ТМЦ'!#REF!</definedName>
    <definedName name="Износ" localSheetId="0">'[1]Оборотная ведомость ТМЦ'!#REF!</definedName>
    <definedName name="ИтогКолНачало" localSheetId="0">'[1]Оборотная ведомость ТМЦ'!#REF!</definedName>
    <definedName name="ИтогОборотДебет" localSheetId="0">'[1]Оборотная ведомость ТМЦ'!#REF!</definedName>
    <definedName name="ИтогОборотКредит" localSheetId="0">'[1]Оборотная ведомость ТМЦ'!#REF!</definedName>
    <definedName name="ИтогоИзнос" localSheetId="0">'[1]Оборотная ведомость ТМЦ'!#REF!</definedName>
    <definedName name="ИтогоПо" localSheetId="0">'[1]Оборотная ведомость ТМЦ'!#REF!</definedName>
    <definedName name="ИтогОстатокКонец" localSheetId="0">'[1]Оборотная ведомость ТМЦ'!#REF!</definedName>
    <definedName name="ИтогОстатокНачало" localSheetId="0">'[1]Оборотная ведомость ТМЦ'!#REF!</definedName>
    <definedName name="ИтогОстСт" localSheetId="0">'[1]Оборотная ведомость ТМЦ'!#REF!</definedName>
    <definedName name="КолДебет" localSheetId="0">'[1]Оборотная ведомость ТМЦ'!#REF!</definedName>
    <definedName name="КолКонец" localSheetId="0">'[1]Оборотная ведомость ТМЦ'!#REF!</definedName>
    <definedName name="КолКредит" localSheetId="0">'[1]Оборотная ведомость ТМЦ'!#REF!</definedName>
    <definedName name="КолНачало" localSheetId="0">'[1]Оборотная ведомость ТМЦ'!#REF!</definedName>
    <definedName name="Номенклатура" localSheetId="0">'[1]Оборотная ведомость ТМЦ'!#REF!</definedName>
    <definedName name="Номер1" localSheetId="0">'[1]Оборотная ведомость ТМЦ'!#REF!</definedName>
    <definedName name="ОборотДебет" localSheetId="0">'[1]Оборотная ведомость ТМЦ'!#REF!</definedName>
    <definedName name="ОборотКредит" localSheetId="0">'[1]Оборотная ведомость ТМЦ'!#REF!</definedName>
    <definedName name="ОстатокКонец" localSheetId="0">'[1]Оборотная ведомость ТМЦ'!#REF!</definedName>
    <definedName name="ОстатокНачало" localSheetId="0">'[1]Оборотная ведомость ТМЦ'!#REF!</definedName>
    <definedName name="ОстатСтоим" localSheetId="0">'[1]Оборотная ведомость ТМЦ'!#REF!</definedName>
    <definedName name="ПартияДата" localSheetId="0">'[1]Оборотная ведомость ТМЦ'!#REF!</definedName>
    <definedName name="СчетМол" localSheetId="0">'[1]Оборотная ведомость ТМЦ'!#REF!</definedName>
    <definedName name="asd1" localSheetId="1">'[1]Оборотная ведомость ТМЦ'!#REF!</definedName>
    <definedName name="none" localSheetId="1">'[1]Оборотная ведомость ТМЦ'!#REF!</definedName>
    <definedName name="Валюта" localSheetId="1">'[1]Оборотная ведомость ТМЦ'!#REF!</definedName>
    <definedName name="Всего" localSheetId="1">'[1]Оборотная ведомость ТМЦ'!#REF!</definedName>
    <definedName name="ДатаЭкспл" localSheetId="1">'[1]Оборотная ведомость ТМЦ'!#REF!</definedName>
    <definedName name="Износ" localSheetId="1">'[1]Оборотная ведомость ТМЦ'!#REF!</definedName>
    <definedName name="ИтогКолНачало" localSheetId="1">'[1]Оборотная ведомость ТМЦ'!#REF!</definedName>
    <definedName name="ИтогОборотДебет" localSheetId="1">'[1]Оборотная ведомость ТМЦ'!#REF!</definedName>
    <definedName name="ИтогОборотКредит" localSheetId="1">'[1]Оборотная ведомость ТМЦ'!#REF!</definedName>
    <definedName name="ИтогоИзнос" localSheetId="1">'[1]Оборотная ведомость ТМЦ'!#REF!</definedName>
    <definedName name="ИтогоПо" localSheetId="1">'[1]Оборотная ведомость ТМЦ'!#REF!</definedName>
    <definedName name="ИтогОстатокКонец" localSheetId="1">'[1]Оборотная ведомость ТМЦ'!#REF!</definedName>
    <definedName name="ИтогОстатокНачало" localSheetId="1">'[1]Оборотная ведомость ТМЦ'!#REF!</definedName>
    <definedName name="ИтогОстСт" localSheetId="1">'[1]Оборотная ведомость ТМЦ'!#REF!</definedName>
    <definedName name="КолДебет" localSheetId="1">'[1]Оборотная ведомость ТМЦ'!#REF!</definedName>
    <definedName name="КолКонец" localSheetId="1">'[1]Оборотная ведомость ТМЦ'!#REF!</definedName>
    <definedName name="КолКредит" localSheetId="1">'[1]Оборотная ведомость ТМЦ'!#REF!</definedName>
    <definedName name="КолНачало" localSheetId="1">'[1]Оборотная ведомость ТМЦ'!#REF!</definedName>
    <definedName name="Номенклатура" localSheetId="1">'[1]Оборотная ведомость ТМЦ'!#REF!</definedName>
    <definedName name="Номер1" localSheetId="1">'[1]Оборотная ведомость ТМЦ'!#REF!</definedName>
    <definedName name="ОборотДебет" localSheetId="1">'[1]Оборотная ведомость ТМЦ'!#REF!</definedName>
    <definedName name="ОборотКредит" localSheetId="1">'[1]Оборотная ведомость ТМЦ'!#REF!</definedName>
    <definedName name="ОстатокКонец" localSheetId="1">'[1]Оборотная ведомость ТМЦ'!#REF!</definedName>
    <definedName name="ОстатокНачало" localSheetId="1">'[1]Оборотная ведомость ТМЦ'!#REF!</definedName>
    <definedName name="ОстатСтоим" localSheetId="1">'[1]Оборотная ведомость ТМЦ'!#REF!</definedName>
    <definedName name="ПартияДата" localSheetId="1">'[1]Оборотная ведомость ТМЦ'!#REF!</definedName>
    <definedName name="СчетМол" localSheetId="1">'[1]Оборотная ведомость ТМЦ'!#REF!</definedName>
    <definedName name="asd1" localSheetId="2">'[1]Оборотная ведомость ТМЦ'!#REF!</definedName>
    <definedName name="none" localSheetId="2">'[1]Оборотная ведомость ТМЦ'!#REF!</definedName>
    <definedName name="Валюта" localSheetId="2">'[1]Оборотная ведомость ТМЦ'!#REF!</definedName>
    <definedName name="Всего" localSheetId="2">'[1]Оборотная ведомость ТМЦ'!#REF!</definedName>
    <definedName name="ДатаЭкспл" localSheetId="2">'[1]Оборотная ведомость ТМЦ'!#REF!</definedName>
    <definedName name="Износ" localSheetId="2">'[1]Оборотная ведомость ТМЦ'!#REF!</definedName>
    <definedName name="ИтогКолНачало" localSheetId="2">'[1]Оборотная ведомость ТМЦ'!#REF!</definedName>
    <definedName name="ИтогОборотДебет" localSheetId="2">'[1]Оборотная ведомость ТМЦ'!#REF!</definedName>
    <definedName name="ИтогОборотКредит" localSheetId="2">'[1]Оборотная ведомость ТМЦ'!#REF!</definedName>
    <definedName name="ИтогоИзнос" localSheetId="2">'[1]Оборотная ведомость ТМЦ'!#REF!</definedName>
    <definedName name="ИтогоПо" localSheetId="2">'[1]Оборотная ведомость ТМЦ'!#REF!</definedName>
    <definedName name="ИтогОстатокКонец" localSheetId="2">'[1]Оборотная ведомость ТМЦ'!#REF!</definedName>
    <definedName name="ИтогОстатокНачало" localSheetId="2">'[1]Оборотная ведомость ТМЦ'!#REF!</definedName>
    <definedName name="ИтогОстСт" localSheetId="2">'[1]Оборотная ведомость ТМЦ'!#REF!</definedName>
    <definedName name="КолДебет" localSheetId="2">'[1]Оборотная ведомость ТМЦ'!#REF!</definedName>
    <definedName name="КолКонец" localSheetId="2">'[1]Оборотная ведомость ТМЦ'!#REF!</definedName>
    <definedName name="КолКредит" localSheetId="2">'[1]Оборотная ведомость ТМЦ'!#REF!</definedName>
    <definedName name="КолНачало" localSheetId="2">'[1]Оборотная ведомость ТМЦ'!#REF!</definedName>
    <definedName name="Номенклатура" localSheetId="2">'[1]Оборотная ведомость ТМЦ'!#REF!</definedName>
    <definedName name="Номер1" localSheetId="2">'[1]Оборотная ведомость ТМЦ'!#REF!</definedName>
    <definedName name="ОборотДебет" localSheetId="2">'[1]Оборотная ведомость ТМЦ'!#REF!</definedName>
    <definedName name="ОборотКредит" localSheetId="2">'[1]Оборотная ведомость ТМЦ'!#REF!</definedName>
    <definedName name="ОстатокКонец" localSheetId="2">'[1]Оборотная ведомость ТМЦ'!#REF!</definedName>
    <definedName name="ОстатокНачало" localSheetId="2">'[1]Оборотная ведомость ТМЦ'!#REF!</definedName>
    <definedName name="ОстатСтоим" localSheetId="2">'[1]Оборотная ведомость ТМЦ'!#REF!</definedName>
    <definedName name="ПартияДата" localSheetId="2">'[1]Оборотная ведомость ТМЦ'!#REF!</definedName>
    <definedName name="СчетМол" localSheetId="2">'[1]Оборотная ведомость ТМЦ'!#REF!</definedName>
    <definedName name="asd1" localSheetId="3">'[1]Оборотная ведомость ТМЦ'!#REF!</definedName>
    <definedName name="none" localSheetId="3">'[1]Оборотная ведомость ТМЦ'!#REF!</definedName>
    <definedName name="Валюта" localSheetId="3">'[1]Оборотная ведомость ТМЦ'!#REF!</definedName>
    <definedName name="Всего" localSheetId="3">'[1]Оборотная ведомость ТМЦ'!#REF!</definedName>
    <definedName name="ДатаЭкспл" localSheetId="3">'[1]Оборотная ведомость ТМЦ'!#REF!</definedName>
    <definedName name="Износ" localSheetId="3">'[1]Оборотная ведомость ТМЦ'!#REF!</definedName>
    <definedName name="ИтогКолНачало" localSheetId="3">'[1]Оборотная ведомость ТМЦ'!#REF!</definedName>
    <definedName name="ИтогОборотДебет" localSheetId="3">'[1]Оборотная ведомость ТМЦ'!#REF!</definedName>
    <definedName name="ИтогОборотКредит" localSheetId="3">'[1]Оборотная ведомость ТМЦ'!#REF!</definedName>
    <definedName name="ИтогоИзнос" localSheetId="3">'[1]Оборотная ведомость ТМЦ'!#REF!</definedName>
    <definedName name="ИтогоПо" localSheetId="3">'[1]Оборотная ведомость ТМЦ'!#REF!</definedName>
    <definedName name="ИтогОстатокКонец" localSheetId="3">'[1]Оборотная ведомость ТМЦ'!#REF!</definedName>
    <definedName name="ИтогОстатокНачало" localSheetId="3">'[1]Оборотная ведомость ТМЦ'!#REF!</definedName>
    <definedName name="ИтогОстСт" localSheetId="3">'[1]Оборотная ведомость ТМЦ'!#REF!</definedName>
    <definedName name="КолДебет" localSheetId="3">'[1]Оборотная ведомость ТМЦ'!#REF!</definedName>
    <definedName name="КолКонец" localSheetId="3">'[1]Оборотная ведомость ТМЦ'!#REF!</definedName>
    <definedName name="КолКредит" localSheetId="3">'[1]Оборотная ведомость ТМЦ'!#REF!</definedName>
    <definedName name="КолНачало" localSheetId="3">'[1]Оборотная ведомость ТМЦ'!#REF!</definedName>
    <definedName name="Номенклатура" localSheetId="3">'[1]Оборотная ведомость ТМЦ'!#REF!</definedName>
    <definedName name="Номер1" localSheetId="3">'[1]Оборотная ведомость ТМЦ'!#REF!</definedName>
    <definedName name="ОборотДебет" localSheetId="3">'[1]Оборотная ведомость ТМЦ'!#REF!</definedName>
    <definedName name="ОборотКредит" localSheetId="3">'[1]Оборотная ведомость ТМЦ'!#REF!</definedName>
    <definedName name="ОстатокКонец" localSheetId="3">'[1]Оборотная ведомость ТМЦ'!#REF!</definedName>
    <definedName name="ОстатокНачало" localSheetId="3">'[1]Оборотная ведомость ТМЦ'!#REF!</definedName>
    <definedName name="ОстатСтоим" localSheetId="3">'[1]Оборотная ведомость ТМЦ'!#REF!</definedName>
    <definedName name="ПартияДата" localSheetId="3">'[1]Оборотная ведомость ТМЦ'!#REF!</definedName>
    <definedName name="СчетМол" localSheetId="3">'[1]Оборотная ведомость ТМЦ'!#REF!</definedName>
  </definedNames>
  <calcPr fullCalcOnLoad="1"/>
</workbook>
</file>

<file path=xl/sharedStrings.xml><?xml version="1.0" encoding="utf-8"?>
<sst xmlns="http://schemas.openxmlformats.org/spreadsheetml/2006/main" count="821" uniqueCount="157">
  <si>
    <t>Расчёт нормативных затрат на реализацию дополнительных общеразвивающих программ в МБУ ДО ДЭБЦ</t>
  </si>
  <si>
    <r>
      <rPr>
        <b/>
        <i/>
        <sz val="12"/>
        <rFont val="Times New Roman"/>
        <family val="1"/>
      </rPr>
      <t>Нормативные затраты на оказание муниципальной услуги (N</t>
    </r>
    <r>
      <rPr>
        <b/>
        <i/>
        <vertAlign val="subscript"/>
        <sz val="12"/>
        <rFont val="Times New Roman"/>
        <family val="1"/>
      </rPr>
      <t>i</t>
    </r>
    <r>
      <rPr>
        <b/>
        <i/>
        <sz val="12"/>
        <rFont val="Times New Roman"/>
        <family val="1"/>
      </rPr>
      <t>) определяются по формуле:</t>
    </r>
  </si>
  <si>
    <r>
      <rPr>
        <b/>
        <i/>
        <sz val="12"/>
        <rFont val="Times New Roman"/>
        <family val="1"/>
      </rPr>
      <t>N</t>
    </r>
    <r>
      <rPr>
        <b/>
        <i/>
        <vertAlign val="subscript"/>
        <sz val="12"/>
        <rFont val="Times New Roman"/>
        <family val="1"/>
      </rPr>
      <t xml:space="preserve">i </t>
    </r>
    <r>
      <rPr>
        <b/>
        <i/>
        <sz val="12"/>
        <rFont val="Times New Roman"/>
        <family val="1"/>
      </rPr>
      <t>= N</t>
    </r>
    <r>
      <rPr>
        <b/>
        <i/>
        <vertAlign val="subscript"/>
        <sz val="12"/>
        <rFont val="Times New Roman"/>
        <family val="1"/>
      </rPr>
      <t xml:space="preserve">i </t>
    </r>
    <r>
      <rPr>
        <b/>
        <i/>
        <vertAlign val="superscript"/>
        <sz val="12"/>
        <rFont val="Times New Roman"/>
        <family val="1"/>
      </rPr>
      <t>непоср</t>
    </r>
    <r>
      <rPr>
        <b/>
        <i/>
        <sz val="12"/>
        <rFont val="Times New Roman"/>
        <family val="1"/>
      </rPr>
      <t>+ N</t>
    </r>
    <r>
      <rPr>
        <b/>
        <i/>
        <vertAlign val="subscript"/>
        <sz val="12"/>
        <rFont val="Times New Roman"/>
        <family val="1"/>
      </rPr>
      <t xml:space="preserve">i </t>
    </r>
    <r>
      <rPr>
        <b/>
        <i/>
        <vertAlign val="superscript"/>
        <sz val="12"/>
        <rFont val="Times New Roman"/>
        <family val="1"/>
      </rPr>
      <t xml:space="preserve">общ </t>
    </r>
    <r>
      <rPr>
        <b/>
        <i/>
        <sz val="12"/>
        <rFont val="Times New Roman"/>
        <family val="1"/>
      </rPr>
      <t>, где</t>
    </r>
  </si>
  <si>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непоср </t>
    </r>
    <r>
      <rPr>
        <sz val="10"/>
        <rFont val="Times New Roman"/>
        <family val="1"/>
      </rPr>
      <t>- нормативные затраты, непосредственно связанные с оказанием муниципальной услуги</t>
    </r>
  </si>
  <si>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общ </t>
    </r>
    <r>
      <rPr>
        <sz val="10"/>
        <rFont val="Times New Roman"/>
        <family val="1"/>
      </rPr>
      <t>- нормативные затраты на общехозяйственные нужды для муниципальной услуги (за исключением затрат, которые учитываются в составе нермативных затрат на содержание имущества организации)</t>
    </r>
  </si>
  <si>
    <t>Наименование дополнительной общеобразовательной общеразвивающей программы</t>
  </si>
  <si>
    <t>Нормативные затраты, непосредственно связанные с оказанием муниципальной услуги                   (Ni непоср )</t>
  </si>
  <si>
    <t>Утвержденный коэффициент к нормативу затрат, непосредственно связанных с оказанием муниципальной услуги</t>
  </si>
  <si>
    <t>Нормативные затраты на общехозяйственные нужды для муниципальной услуги                               (Ni общ)</t>
  </si>
  <si>
    <t>Утвержденный коэффициент к нормативу затратна общехозяйственные нужды для муниципальной услуги</t>
  </si>
  <si>
    <t>Утвержденый норматив затрат на оказание муниципальной услуги</t>
  </si>
  <si>
    <t>Утвержденый бюджет на 2021 год, руб</t>
  </si>
  <si>
    <t>Художественная направленность</t>
  </si>
  <si>
    <t>Естественнонаучная направленность</t>
  </si>
  <si>
    <t>Туристско-краеведческая направленность</t>
  </si>
  <si>
    <t>Социально-педагогическая направленность</t>
  </si>
  <si>
    <t>Физкультурно - спортивная направленность</t>
  </si>
  <si>
    <t>ИТОГО</t>
  </si>
  <si>
    <r>
      <rPr>
        <b/>
        <i/>
        <sz val="12"/>
        <rFont val="Times New Roman"/>
        <family val="1"/>
      </rPr>
      <t>1. Нормативные затраты, непосредственно связанные с оказанием муниципальной услуги состоят из фонда  на оплату труда  и начисления, на выплаты по оплате труда работников, включая страховые взносы в пенсионный фонд, фонд социального страхования и фонд обязательного медицинского страхования, а также обязательное медицинское страхование от несчастных случаев на производстве и профессиональных заболеваний (N</t>
    </r>
    <r>
      <rPr>
        <b/>
        <i/>
        <vertAlign val="subscript"/>
        <sz val="12"/>
        <rFont val="Times New Roman"/>
        <family val="1"/>
      </rPr>
      <t>i</t>
    </r>
    <r>
      <rPr>
        <b/>
        <i/>
        <sz val="12"/>
        <rFont val="Times New Roman"/>
        <family val="1"/>
      </rPr>
      <t xml:space="preserve"> </t>
    </r>
    <r>
      <rPr>
        <b/>
        <i/>
        <vertAlign val="superscript"/>
        <sz val="12"/>
        <rFont val="Times New Roman"/>
        <family val="1"/>
      </rPr>
      <t>непоср</t>
    </r>
    <r>
      <rPr>
        <b/>
        <i/>
        <sz val="12"/>
        <rFont val="Times New Roman"/>
        <family val="1"/>
      </rPr>
      <t>)</t>
    </r>
  </si>
  <si>
    <t>1.1.  Нормативные затраты на оплату труда  работников, непосредственно связанных с оказанием муниципальной услуги на одного учащегося определяется по формуле:</t>
  </si>
  <si>
    <r>
      <rPr>
        <b/>
        <i/>
        <sz val="12"/>
        <rFont val="Times New Roman"/>
        <family val="1"/>
      </rPr>
      <t xml:space="preserve">N </t>
    </r>
    <r>
      <rPr>
        <b/>
        <i/>
        <vertAlign val="superscript"/>
        <sz val="12"/>
        <rFont val="Times New Roman"/>
        <family val="1"/>
      </rPr>
      <t xml:space="preserve">ФОТ осн. </t>
    </r>
    <r>
      <rPr>
        <b/>
        <i/>
        <sz val="12"/>
        <rFont val="Times New Roman"/>
        <family val="1"/>
      </rPr>
      <t>= G х (О х k</t>
    </r>
    <r>
      <rPr>
        <b/>
        <i/>
        <vertAlign val="subscript"/>
        <sz val="12"/>
        <rFont val="Times New Roman"/>
        <family val="1"/>
      </rPr>
      <t xml:space="preserve"> квал.) </t>
    </r>
    <r>
      <rPr>
        <b/>
        <i/>
        <sz val="12"/>
        <rFont val="Times New Roman"/>
        <family val="1"/>
      </rPr>
      <t xml:space="preserve">х </t>
    </r>
    <r>
      <rPr>
        <b/>
        <i/>
        <vertAlign val="superscript"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(k </t>
    </r>
    <r>
      <rPr>
        <b/>
        <i/>
        <vertAlign val="subscript"/>
        <sz val="12"/>
        <rFont val="Times New Roman"/>
        <family val="1"/>
      </rPr>
      <t xml:space="preserve">надб. </t>
    </r>
    <r>
      <rPr>
        <b/>
        <i/>
        <sz val="12"/>
        <rFont val="Times New Roman"/>
        <family val="1"/>
      </rPr>
      <t>+ 1) х 12 х К, где</t>
    </r>
  </si>
  <si>
    <t>G - ставка  педагога дополнительного образования, приходящегося на одного учащегося</t>
  </si>
  <si>
    <t>О - средняя ставка (оклад) педагога дополнительного образования (данные тарификации)</t>
  </si>
  <si>
    <t>k квал. - коэффициент квалификационного уровня</t>
  </si>
  <si>
    <t>k надб. - коэффициент надбавок и доплат (данные из тарификации)</t>
  </si>
  <si>
    <t>12 - количество месяцев  вгоду</t>
  </si>
  <si>
    <t>К - коэффициент , определяющий размер страховых взносов в государственные фонды = 1,302</t>
  </si>
  <si>
    <t>Ставка педагога дополнительного образования, приходящаяся на одного учащегося, рассчитывается следующим образом:</t>
  </si>
  <si>
    <t>G = Т / Z, где</t>
  </si>
  <si>
    <t>Т - часы педагога дополнительного образования, приходящиеся на одного учащегося</t>
  </si>
  <si>
    <t>Z - нагрузка педагога дополнительного образования = 18 часов</t>
  </si>
  <si>
    <t>Часы педагога дополнительного образования, приходящиеся на одного учащегося рассчитываются по формуле:</t>
  </si>
  <si>
    <t>Т =  Y / W</t>
  </si>
  <si>
    <t xml:space="preserve"> Y - часы обучения педагогом дополнительного образования ( данные из учебного плана)</t>
  </si>
  <si>
    <t>W - средняя наполняемость групп (данные из учебного плана)</t>
  </si>
  <si>
    <t>Количество учащихся</t>
  </si>
  <si>
    <t>Количество групп по тарификации</t>
  </si>
  <si>
    <t>Количество педагогов</t>
  </si>
  <si>
    <t>Всего часов в неделю по тарификации</t>
  </si>
  <si>
    <t>Часы обучения педагогом дополнительного образования            ( Y )</t>
  </si>
  <si>
    <t>Средняя наполняемость групп                               (W)</t>
  </si>
  <si>
    <t>Часы педагога дополнительного образования, приходящиеся на одного учащегося                       (Т)</t>
  </si>
  <si>
    <t>Ставка  педагога дополнительного образования, приходящегося на одного учащегося                         (G )</t>
  </si>
  <si>
    <t>Средняя ставка (оклад) педагога дополнительного образования         (О)</t>
  </si>
  <si>
    <t>Коэффициент квалификационного уровня      (k квал.)</t>
  </si>
  <si>
    <t>Коэффициент надбавок и доплат по тарификации                                                (k надб.)</t>
  </si>
  <si>
    <t>Расчетно - нормативные затраты на фонд оплаты труда основного персонала                                       (N ФОТ осн.)</t>
  </si>
  <si>
    <t>Предполагаемый Фонд заработной платы за год</t>
  </si>
  <si>
    <t>Утвержденный коэффициент к нормативу затрат</t>
  </si>
  <si>
    <t>Утвержденный бюджет, руб</t>
  </si>
  <si>
    <t>6 = 5 / 4</t>
  </si>
  <si>
    <t>7 = 2 / 3</t>
  </si>
  <si>
    <t>8 = 6 / 7</t>
  </si>
  <si>
    <t>9 = 8 / 18 часов (норма)</t>
  </si>
  <si>
    <t>Для регулирования утвержденного бюджета к нормативу затрат на оплату труда работникам, непосредственно связанных с оказанием муниципальной услуги   применен понижающий коэффициент</t>
  </si>
  <si>
    <r>
      <rPr>
        <b/>
        <i/>
        <sz val="12"/>
        <rFont val="Times New Roman"/>
        <family val="1"/>
      </rPr>
      <t xml:space="preserve">    2.  Нормативные затраты на общехозяйственные нужды для муниципальной услуги (N</t>
    </r>
    <r>
      <rPr>
        <b/>
        <i/>
        <vertAlign val="subscript"/>
        <sz val="12"/>
        <rFont val="Times New Roman"/>
        <family val="1"/>
      </rPr>
      <t xml:space="preserve"> i</t>
    </r>
    <r>
      <rPr>
        <b/>
        <i/>
        <sz val="12"/>
        <rFont val="Times New Roman"/>
        <family val="1"/>
      </rPr>
      <t xml:space="preserve"> </t>
    </r>
    <r>
      <rPr>
        <b/>
        <i/>
        <vertAlign val="superscript"/>
        <sz val="12"/>
        <rFont val="Times New Roman"/>
        <family val="1"/>
      </rPr>
      <t xml:space="preserve">общ </t>
    </r>
    <r>
      <rPr>
        <b/>
        <i/>
        <sz val="12"/>
        <rFont val="Times New Roman"/>
        <family val="1"/>
      </rPr>
      <t>) рассчитывается по формуле:</t>
    </r>
  </si>
  <si>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 xml:space="preserve"> i </t>
    </r>
    <r>
      <rPr>
        <vertAlign val="super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 = 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КУ</t>
    </r>
    <r>
      <rPr>
        <sz val="10"/>
        <rFont val="Times New Roman"/>
        <family val="1"/>
      </rPr>
      <t xml:space="preserve"> + 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СНИ</t>
    </r>
    <r>
      <rPr>
        <sz val="10"/>
        <rFont val="Times New Roman"/>
        <family val="1"/>
      </rPr>
      <t xml:space="preserve"> + 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УС</t>
    </r>
    <r>
      <rPr>
        <sz val="10"/>
        <rFont val="Times New Roman"/>
        <family val="1"/>
      </rPr>
      <t xml:space="preserve"> + N</t>
    </r>
    <r>
      <rPr>
        <vertAlign val="subscript"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ОТ2 </t>
    </r>
    <r>
      <rPr>
        <sz val="10"/>
        <rFont val="Times New Roman"/>
        <family val="1"/>
      </rPr>
      <t xml:space="preserve"> + 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ПНЗ</t>
    </r>
    <r>
      <rPr>
        <sz val="10"/>
        <rFont val="Times New Roman"/>
        <family val="1"/>
      </rPr>
      <t xml:space="preserve">, где </t>
    </r>
  </si>
  <si>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КУ </t>
    </r>
    <r>
      <rPr>
        <sz val="10"/>
        <rFont val="Times New Roman"/>
        <family val="1"/>
      </rPr>
      <t xml:space="preserve"> - нормативные затраты на коммунальные услуги для муниципальной услуги</t>
    </r>
  </si>
  <si>
    <r>
      <rPr>
        <sz val="10"/>
        <rFont val="Times New Roman"/>
        <family val="1"/>
      </rPr>
      <t xml:space="preserve"> 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СНИ</t>
    </r>
    <r>
      <rPr>
        <sz val="10"/>
        <rFont val="Times New Roman"/>
        <family val="1"/>
      </rPr>
      <t xml:space="preserve"> - нормативные затраты на содержание объектов недвижимого имущества, эксплуатируемого в процессе оказания муниципальной услуги</t>
    </r>
  </si>
  <si>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УС</t>
    </r>
    <r>
      <rPr>
        <sz val="10"/>
        <rFont val="Times New Roman"/>
        <family val="1"/>
      </rPr>
      <t xml:space="preserve"> - нормативные затраты на приобретение связи для оказания муниципальной услуги</t>
    </r>
  </si>
  <si>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ОТ2 </t>
    </r>
    <r>
      <rPr>
        <sz val="10"/>
        <rFont val="Times New Roman"/>
        <family val="1"/>
      </rPr>
      <t xml:space="preserve"> - нормативные затраты на оплату труда и начисления на выплаты по оплате труда работников, которые не принимают непосредственного участия в оказании муниципаольной услуги (административно - управленческого, вспомогательного и обслуживающего персонала) , для муниципальной услуги</t>
    </r>
  </si>
  <si>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ПНЗ</t>
    </r>
    <r>
      <rPr>
        <sz val="10"/>
        <rFont val="Times New Roman"/>
        <family val="1"/>
      </rPr>
      <t xml:space="preserve"> - нормативные затраты на прочие общехозяйственные нужды для муниципальной услуги.  </t>
    </r>
  </si>
  <si>
    <t>Показатель</t>
  </si>
  <si>
    <t xml:space="preserve">Среднегодовая численность воспитанников </t>
  </si>
  <si>
    <t>Норматив затрат на одного воспитанника в год, руб.</t>
  </si>
  <si>
    <t xml:space="preserve">Общая (плановая)  сумма затрат, руб. </t>
  </si>
  <si>
    <r>
      <rPr>
        <b/>
        <sz val="10"/>
        <rFont val="Times New Roman"/>
        <family val="1"/>
      </rPr>
      <t xml:space="preserve">N 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КУ </t>
    </r>
    <r>
      <rPr>
        <b/>
        <sz val="10"/>
        <rFont val="Times New Roman"/>
        <family val="1"/>
      </rPr>
      <t xml:space="preserve"> ,    в том числе</t>
    </r>
  </si>
  <si>
    <r>
      <rPr>
        <b/>
        <sz val="10"/>
        <rFont val="Times New Roman"/>
        <family val="1"/>
      </rPr>
      <t xml:space="preserve"> N 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СНИ</t>
    </r>
    <r>
      <rPr>
        <b/>
        <sz val="10"/>
        <rFont val="Times New Roman"/>
        <family val="1"/>
      </rPr>
      <t xml:space="preserve"> , в том числе</t>
    </r>
  </si>
  <si>
    <r>
      <rPr>
        <b/>
        <sz val="10"/>
        <rFont val="Times New Roman"/>
        <family val="1"/>
      </rPr>
      <t xml:space="preserve">N i </t>
    </r>
    <r>
      <rPr>
        <b/>
        <vertAlign val="superscript"/>
        <sz val="10"/>
        <rFont val="Times New Roman"/>
        <family val="1"/>
      </rPr>
      <t>УС</t>
    </r>
    <r>
      <rPr>
        <b/>
        <sz val="10"/>
        <rFont val="Times New Roman"/>
        <family val="1"/>
      </rPr>
      <t>, в том числе</t>
    </r>
  </si>
  <si>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 xml:space="preserve"> i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ОТ2 , </t>
    </r>
    <r>
      <rPr>
        <b/>
        <sz val="10"/>
        <rFont val="Times New Roman"/>
        <family val="1"/>
      </rPr>
      <t>в том числе</t>
    </r>
  </si>
  <si>
    <r>
      <rPr>
        <b/>
        <sz val="10"/>
        <rFont val="Times New Roman"/>
        <family val="1"/>
      </rPr>
      <t>N i</t>
    </r>
    <r>
      <rPr>
        <b/>
        <vertAlign val="sub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ПНЗ </t>
    </r>
    <r>
      <rPr>
        <b/>
        <sz val="10"/>
        <rFont val="Times New Roman"/>
        <family val="1"/>
      </rPr>
      <t>, в том числе</t>
    </r>
  </si>
  <si>
    <r>
      <rPr>
        <b/>
        <i/>
        <sz val="10"/>
        <rFont val="Times New Roman"/>
        <family val="1"/>
      </rPr>
      <t>N</t>
    </r>
    <r>
      <rPr>
        <b/>
        <i/>
        <vertAlign val="subscript"/>
        <sz val="10"/>
        <rFont val="Times New Roman"/>
        <family val="1"/>
      </rPr>
      <t xml:space="preserve"> i </t>
    </r>
    <r>
      <rPr>
        <b/>
        <i/>
        <vertAlign val="superscript"/>
        <sz val="10"/>
        <rFont val="Times New Roman"/>
        <family val="1"/>
      </rPr>
      <t>общ</t>
    </r>
    <r>
      <rPr>
        <b/>
        <i/>
        <sz val="10"/>
        <rFont val="Times New Roman"/>
        <family val="1"/>
      </rPr>
      <t xml:space="preserve"> </t>
    </r>
  </si>
  <si>
    <t>Для регулирования утвержденного бюджета к нормативу затрат на общехозяйственные нужды для муниципальной услуги  применен понижающий коэффициент</t>
  </si>
  <si>
    <r>
      <rPr>
        <sz val="10"/>
        <rFont val="Times New Roman"/>
        <family val="1"/>
      </rPr>
      <t>2.1. Расчет нормативных затрат на коммунальные услуги (N</t>
    </r>
    <r>
      <rPr>
        <vertAlign val="subscript"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КУ</t>
    </r>
    <r>
      <rPr>
        <sz val="10"/>
        <rFont val="Times New Roman"/>
        <family val="1"/>
      </rPr>
      <t xml:space="preserve"> )</t>
    </r>
  </si>
  <si>
    <t>Наименование ресурса</t>
  </si>
  <si>
    <t>Ед. изм.</t>
  </si>
  <si>
    <t>Установленный лимит потребления</t>
  </si>
  <si>
    <t>Тариф, руб.</t>
  </si>
  <si>
    <t>Плановые затраты, руб.</t>
  </si>
  <si>
    <t>Оплата отопления и технологич.нужд</t>
  </si>
  <si>
    <t>Г/кал</t>
  </si>
  <si>
    <t>Оплата потребления газа</t>
  </si>
  <si>
    <t>м3</t>
  </si>
  <si>
    <t>Оплата потребления элект.энергии</t>
  </si>
  <si>
    <t>Квт</t>
  </si>
  <si>
    <t>Оплата водоснабжения</t>
  </si>
  <si>
    <t xml:space="preserve">Для регулирования утвержденного бюджета к нормативу затрат на коммунальные услуги применен понижающий коэффициент </t>
  </si>
  <si>
    <r>
      <rPr>
        <sz val="10"/>
        <rFont val="Times New Roman"/>
        <family val="1"/>
      </rPr>
      <t xml:space="preserve">2.2. Расчет нормативных затрат на содержание недвижимого имущества (N i </t>
    </r>
    <r>
      <rPr>
        <vertAlign val="superscript"/>
        <sz val="10"/>
        <rFont val="Times New Roman"/>
        <family val="1"/>
      </rPr>
      <t>СНИ</t>
    </r>
    <r>
      <rPr>
        <sz val="10"/>
        <rFont val="Times New Roman"/>
        <family val="1"/>
      </rPr>
      <t>)</t>
    </r>
  </si>
  <si>
    <t>Объем</t>
  </si>
  <si>
    <t>Тариф</t>
  </si>
  <si>
    <t>Оплата содержания помещения (вывоз ТБО, дератизация, промывка и опресовка)</t>
  </si>
  <si>
    <t>прочие услуги работы</t>
  </si>
  <si>
    <t>видеонабл., оплата ПС, охрана</t>
  </si>
  <si>
    <t>Земельный налог</t>
  </si>
  <si>
    <t>Налог на имущество</t>
  </si>
  <si>
    <t>Для регулирования утвержденного бюджета к нормативу затрат на содержание недвижимого имущества применен понижающий коэффициент</t>
  </si>
  <si>
    <r>
      <rPr>
        <sz val="10"/>
        <rFont val="Times New Roman"/>
        <family val="1"/>
      </rPr>
      <t xml:space="preserve">2.3. Расчет норматива затрат на услуги связи (N i </t>
    </r>
    <r>
      <rPr>
        <vertAlign val="superscript"/>
        <sz val="10"/>
        <rFont val="Times New Roman"/>
        <family val="1"/>
      </rPr>
      <t>УС</t>
    </r>
    <r>
      <rPr>
        <sz val="10"/>
        <rFont val="Times New Roman"/>
        <family val="1"/>
      </rPr>
      <t>)</t>
    </r>
  </si>
  <si>
    <t>Наименование</t>
  </si>
  <si>
    <t>Кол-во телефонных номеров, каналов передачи</t>
  </si>
  <si>
    <t xml:space="preserve">Количество мес. услуги </t>
  </si>
  <si>
    <t>Плановые затраты на год</t>
  </si>
  <si>
    <t>Абонентская плата</t>
  </si>
  <si>
    <t>Повременная оплата</t>
  </si>
  <si>
    <t>Услуги интернета</t>
  </si>
  <si>
    <t>Итого</t>
  </si>
  <si>
    <t xml:space="preserve">Норматив затрат на оказание услуг связи утвержден бюджетом </t>
  </si>
  <si>
    <r>
      <rPr>
        <sz val="10"/>
        <rFont val="Times New Roman"/>
        <family val="1"/>
      </rPr>
      <t xml:space="preserve">2.4. Расчет нормативных затрат на оплату труда и начисления на выплаты по оплате труда работников (N </t>
    </r>
    <r>
      <rPr>
        <vertAlign val="subscript"/>
        <sz val="10"/>
        <rFont val="Times New Roman"/>
        <family val="1"/>
      </rPr>
      <t xml:space="preserve">i </t>
    </r>
    <r>
      <rPr>
        <vertAlign val="superscript"/>
        <sz val="10"/>
        <rFont val="Times New Roman"/>
        <family val="1"/>
      </rPr>
      <t>ОТ2</t>
    </r>
    <r>
      <rPr>
        <sz val="10"/>
        <rFont val="Times New Roman"/>
        <family val="1"/>
      </rPr>
      <t xml:space="preserve"> )</t>
    </r>
  </si>
  <si>
    <t>Расчетно - нормативные затраты на оплату труда с начислениями административно - управленческого, прочего педагогического , вспомогательного  и обслшуживающего персонала на единицу услуги определяются пропорционально фонду оплаты труда основного персонала.</t>
  </si>
  <si>
    <t>Расчет производится по следующей формуле:</t>
  </si>
  <si>
    <r>
      <rPr>
        <sz val="10"/>
        <rFont val="Times New Roman"/>
        <family val="1"/>
      </rPr>
      <t xml:space="preserve">d </t>
    </r>
    <r>
      <rPr>
        <vertAlign val="subscript"/>
        <sz val="10"/>
        <rFont val="Times New Roman"/>
        <family val="1"/>
      </rPr>
      <t>остального персонала</t>
    </r>
    <r>
      <rPr>
        <sz val="10"/>
        <rFont val="Times New Roman"/>
        <family val="1"/>
      </rPr>
      <t xml:space="preserve"> =</t>
    </r>
  </si>
  <si>
    <r>
      <rPr>
        <sz val="10"/>
        <rFont val="Times New Roman"/>
        <family val="1"/>
      </rPr>
      <t xml:space="preserve">(Exp </t>
    </r>
    <r>
      <rPr>
        <vertAlign val="superscript"/>
        <sz val="10"/>
        <rFont val="Times New Roman"/>
        <family val="1"/>
      </rPr>
      <t xml:space="preserve">АУП </t>
    </r>
    <r>
      <rPr>
        <sz val="10"/>
        <rFont val="Times New Roman"/>
        <family val="1"/>
      </rPr>
      <t xml:space="preserve">+ Ехр </t>
    </r>
    <r>
      <rPr>
        <vertAlign val="superscript"/>
        <sz val="10"/>
        <rFont val="Times New Roman"/>
        <family val="1"/>
      </rPr>
      <t>Вп</t>
    </r>
    <r>
      <rPr>
        <sz val="10"/>
        <rFont val="Times New Roman"/>
        <family val="1"/>
      </rPr>
      <t xml:space="preserve"> + Ехр </t>
    </r>
    <r>
      <rPr>
        <vertAlign val="superscript"/>
        <sz val="10"/>
        <rFont val="Times New Roman"/>
        <family val="1"/>
      </rPr>
      <t>Оп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</si>
  <si>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Ехр </t>
    </r>
    <r>
      <rPr>
        <vertAlign val="superscript"/>
        <sz val="10"/>
        <rFont val="Times New Roman"/>
        <family val="1"/>
      </rPr>
      <t>осн</t>
    </r>
  </si>
  <si>
    <r>
      <rPr>
        <sz val="10"/>
        <rFont val="Times New Roman"/>
        <family val="1"/>
      </rPr>
      <t xml:space="preserve">Exp </t>
    </r>
    <r>
      <rPr>
        <vertAlign val="superscript"/>
        <sz val="10"/>
        <rFont val="Times New Roman"/>
        <family val="1"/>
      </rPr>
      <t>АУП</t>
    </r>
    <r>
      <rPr>
        <sz val="10"/>
        <rFont val="Times New Roman"/>
        <family val="1"/>
      </rPr>
      <t xml:space="preserve"> - фонд заработной платы с начислениями административно - управленческого пресонала ( фактические данные за 2020 год)</t>
    </r>
  </si>
  <si>
    <r>
      <rPr>
        <sz val="10"/>
        <rFont val="Times New Roman"/>
        <family val="1"/>
      </rPr>
      <t xml:space="preserve">Ехр </t>
    </r>
    <r>
      <rPr>
        <vertAlign val="superscript"/>
        <sz val="10"/>
        <rFont val="Times New Roman"/>
        <family val="1"/>
      </rPr>
      <t>Вп</t>
    </r>
    <r>
      <rPr>
        <sz val="10"/>
        <rFont val="Times New Roman"/>
        <family val="1"/>
      </rPr>
      <t xml:space="preserve"> - фонд заработной платы с начислениями вспомогательного персонала (фактические данные за 2020 год)</t>
    </r>
  </si>
  <si>
    <r>
      <rPr>
        <sz val="10"/>
        <rFont val="Times New Roman"/>
        <family val="1"/>
      </rPr>
      <t xml:space="preserve">Ехр </t>
    </r>
    <r>
      <rPr>
        <vertAlign val="superscript"/>
        <sz val="10"/>
        <rFont val="Times New Roman"/>
        <family val="1"/>
      </rPr>
      <t xml:space="preserve">Оп </t>
    </r>
    <r>
      <rPr>
        <sz val="10"/>
        <rFont val="Times New Roman"/>
        <family val="1"/>
      </rPr>
      <t>- фонд заработной платы с начислениями обслуживающего персонала (фактические данные за 2020 год)</t>
    </r>
  </si>
  <si>
    <r>
      <rPr>
        <sz val="10"/>
        <rFont val="Times New Roman"/>
        <family val="1"/>
      </rPr>
      <t xml:space="preserve">Ехр </t>
    </r>
    <r>
      <rPr>
        <vertAlign val="superscript"/>
        <sz val="10"/>
        <rFont val="Times New Roman"/>
        <family val="1"/>
      </rPr>
      <t xml:space="preserve">осн </t>
    </r>
    <r>
      <rPr>
        <sz val="10"/>
        <rFont val="Times New Roman"/>
        <family val="1"/>
      </rPr>
      <t>- фонд заработной платы с начислениями основного персонала, непосредственно связанных с оказанием муниципальной услуги (расчетные данные)</t>
    </r>
  </si>
  <si>
    <r>
      <rPr>
        <sz val="10"/>
        <rFont val="Times New Roman"/>
        <family val="1"/>
      </rPr>
      <t xml:space="preserve">Фонд заработной платы с начислениями административно - управленческого пресонала                                                     ( Exp </t>
    </r>
    <r>
      <rPr>
        <vertAlign val="superscript"/>
        <sz val="10"/>
        <rFont val="Times New Roman"/>
        <family val="1"/>
      </rPr>
      <t>АУП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</si>
  <si>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Фонд заработной платы с начислениями вспомогательного персонала (Ехр </t>
    </r>
    <r>
      <rPr>
        <vertAlign val="superscript"/>
        <sz val="10"/>
        <rFont val="Times New Roman"/>
        <family val="1"/>
      </rPr>
      <t>Вп</t>
    </r>
    <r>
      <rPr>
        <sz val="10"/>
        <rFont val="Times New Roman"/>
        <family val="1"/>
      </rPr>
      <t xml:space="preserve"> )</t>
    </r>
  </si>
  <si>
    <r>
      <rPr>
        <sz val="10"/>
        <rFont val="Times New Roman"/>
        <family val="1"/>
      </rPr>
      <t xml:space="preserve">Фонд заработной платы с начислениями обслуживающего персонала (Ехр </t>
    </r>
    <r>
      <rPr>
        <vertAlign val="superscript"/>
        <sz val="10"/>
        <rFont val="Times New Roman"/>
        <family val="1"/>
      </rPr>
      <t>Оп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</si>
  <si>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Фонд заработной платы с начислениями основного персонала, непосредственно связанных с оказанием муниципальной услуги                               (Ехр </t>
    </r>
    <r>
      <rPr>
        <vertAlign val="superscript"/>
        <sz val="10"/>
        <rFont val="Times New Roman"/>
        <family val="1"/>
      </rPr>
      <t>осн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</si>
  <si>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Доля остального пресонала                                (d </t>
    </r>
    <r>
      <rPr>
        <vertAlign val="subscript"/>
        <sz val="10"/>
        <rFont val="Times New Roman"/>
        <family val="1"/>
      </rPr>
      <t>остального пресонала</t>
    </r>
    <r>
      <rPr>
        <sz val="10"/>
        <rFont val="Times New Roman"/>
        <family val="1"/>
      </rPr>
      <t>)</t>
    </r>
  </si>
  <si>
    <t>Расчетно - нормативные затраты на фонд оплаты труда остального персонала рассчитывается как произведение полученного соотношения на норматив затрат на фонд оплаты труда с начислениями  основного персонала.</t>
  </si>
  <si>
    <t>Расчет производится по формуле:</t>
  </si>
  <si>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ОТ2 </t>
    </r>
    <r>
      <rPr>
        <sz val="10"/>
        <rFont val="Times New Roman"/>
        <family val="1"/>
      </rPr>
      <t xml:space="preserve"> = d </t>
    </r>
    <r>
      <rPr>
        <vertAlign val="subscript"/>
        <sz val="10"/>
        <rFont val="Times New Roman"/>
        <family val="1"/>
      </rPr>
      <t>остального персонала</t>
    </r>
    <r>
      <rPr>
        <sz val="10"/>
        <rFont val="Times New Roman"/>
        <family val="1"/>
      </rPr>
      <t xml:space="preserve"> х N </t>
    </r>
    <r>
      <rPr>
        <vertAlign val="superscript"/>
        <sz val="10"/>
        <rFont val="Times New Roman"/>
        <family val="1"/>
      </rPr>
      <t>ФОТ осн.</t>
    </r>
  </si>
  <si>
    <r>
      <rPr>
        <sz val="10"/>
        <rFont val="Times New Roman"/>
        <family val="1"/>
      </rPr>
      <t xml:space="preserve">Расчетно - нормативные затраты на фонд оплаты труда основного персонала                                       (N </t>
    </r>
    <r>
      <rPr>
        <vertAlign val="superscript"/>
        <sz val="10"/>
        <rFont val="Times New Roman"/>
        <family val="1"/>
      </rPr>
      <t>ФОТ осн.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</si>
  <si>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d </t>
    </r>
    <r>
      <rPr>
        <vertAlign val="subscript"/>
        <sz val="10"/>
        <rFont val="Times New Roman"/>
        <family val="1"/>
      </rPr>
      <t>остального персонала</t>
    </r>
  </si>
  <si>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ОТ2 </t>
    </r>
  </si>
  <si>
    <t>Предполагаемый фонд заработной платы за год</t>
  </si>
  <si>
    <t>Утвержденный бюджет, руб.</t>
  </si>
  <si>
    <t>Норматив затрат на фонд оплаты труда остального персонала с начислениями  утвержден бюджетом в полном объеме.</t>
  </si>
  <si>
    <r>
      <rPr>
        <sz val="10"/>
        <rFont val="Times New Roman"/>
        <family val="1"/>
      </rPr>
      <t>2.5. Расчет нормативных затрат на прочие услуги (N 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ПНЗ</t>
    </r>
    <r>
      <rPr>
        <sz val="10"/>
        <rFont val="Times New Roman"/>
        <family val="1"/>
      </rPr>
      <t>)</t>
    </r>
  </si>
  <si>
    <t>Оплата за негативное воздействие на окружающую среду</t>
  </si>
  <si>
    <t>Прочие услуги</t>
  </si>
  <si>
    <t xml:space="preserve">Для регулирования утвержденного бюджета к нормативу затрат на прочие услуги  применен понижающий коэффициент </t>
  </si>
  <si>
    <t>Расчёт нормативных затрат на реализацию дополнительных общеразвивающих программ в МБУ ДО ЦРТДЮ</t>
  </si>
  <si>
    <t>Техническая направленнсть</t>
  </si>
  <si>
    <t>Техническая направленность</t>
  </si>
  <si>
    <t xml:space="preserve">Для регулирования утвержденного бюджета к нормативу затрат на общехозяйственные нужды для муниципальной услуги  применен понижающий коэффициент </t>
  </si>
  <si>
    <t>Оплата содержания помещения (вывоз ТБО, дератизация)</t>
  </si>
  <si>
    <t>Промывка и опресовка</t>
  </si>
  <si>
    <t>количество систем</t>
  </si>
  <si>
    <t>Охрана, ПС, видеонабл.</t>
  </si>
  <si>
    <t xml:space="preserve">Для регулирования утвержденного бюджета к нормативу затрат на содержание недвижимого имущества применен понижающий коэффициент </t>
  </si>
  <si>
    <t>Для регулирования утвержденного бюджета к нормативу затрат на прочие услуги  применен понижающий коэффициент</t>
  </si>
  <si>
    <t>Расчёт нормативных затрат на реализацию дополнительных общеразвивающих программ в МАУ ДО ДЮСШ № 1</t>
  </si>
  <si>
    <t>ВСЕГО ЗП+Начис.</t>
  </si>
  <si>
    <t>ОТ2</t>
  </si>
  <si>
    <t>Для регулирования утвержденного бюджета к нормативу затрат на коммунальные услуги применен понижающий коэффициент</t>
  </si>
  <si>
    <t>ПС видеонабл.</t>
  </si>
  <si>
    <t>Охрана</t>
  </si>
  <si>
    <t>Для регулирования утвержденного бюджета к нормативу затрат на содержание недвижимого имущества в полном объеме</t>
  </si>
  <si>
    <t xml:space="preserve">Норматив затрат на оказание услуг связи принят понижающий коэффициент </t>
  </si>
  <si>
    <t>Для регулирования утвержденного бюджета к нормативу затрат на прочие услуги  утвержден в полном объеме</t>
  </si>
  <si>
    <t>Расчёт нормативных затрат на реализацию дополнительных общеразвивающих программ в МБУ ДО ДЮСШ № 2</t>
  </si>
  <si>
    <t>Для регулирования утвержденного бюджета к нормативу затрат на оплату труда работникам, непосредственно связанных с оказанием муниципальной услуги   применен понижающий коэффициент 0,64</t>
  </si>
  <si>
    <t>Текущий   ремонт</t>
  </si>
  <si>
    <t>Норматив затрат на оказание услуг связи применен понижающий коэффициент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</si>
</sst>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.00"/>
    <numFmt numFmtId="167" formatCode="0.00"/>
    <numFmt numFmtId="168" formatCode="#,##0"/>
    <numFmt numFmtId="169" formatCode="#,##0.000"/>
    <numFmt numFmtId="170" formatCode="0.0"/>
  </numFmts>
  <fonts count="33">
    <font>
      <sz val="10"/>
      <name val="Arial Cyr"/>
      <family val="0"/>
    </font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i/>
      <sz val="11"/>
      <name val="Times New Roman"/>
      <family val="1"/>
    </font>
    <font>
      <sz val="12"/>
      <name val="Arial Cyr"/>
      <family val="0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237">
    <xf numFmtId="164" fontId="0" fillId="0" borderId="0" xfId="0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left" vertical="center" wrapText="1"/>
    </xf>
    <xf numFmtId="164" fontId="6" fillId="2" borderId="0" xfId="0" applyFont="1" applyFill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4" fontId="6" fillId="2" borderId="0" xfId="0" applyFont="1" applyFill="1" applyBorder="1" applyAlignment="1">
      <alignment wrapText="1"/>
    </xf>
    <xf numFmtId="166" fontId="6" fillId="2" borderId="0" xfId="0" applyNumberFormat="1" applyFont="1" applyFill="1" applyBorder="1" applyAlignment="1">
      <alignment wrapText="1"/>
    </xf>
    <xf numFmtId="164" fontId="10" fillId="2" borderId="1" xfId="0" applyFont="1" applyFill="1" applyBorder="1" applyAlignment="1">
      <alignment horizontal="right" wrapText="1"/>
    </xf>
    <xf numFmtId="166" fontId="10" fillId="2" borderId="1" xfId="0" applyNumberFormat="1" applyFont="1" applyFill="1" applyBorder="1" applyAlignment="1">
      <alignment horizontal="right" wrapText="1"/>
    </xf>
    <xf numFmtId="167" fontId="10" fillId="2" borderId="1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Alignment="1">
      <alignment horizontal="center" vertical="center" wrapText="1"/>
    </xf>
    <xf numFmtId="164" fontId="12" fillId="2" borderId="0" xfId="0" applyFont="1" applyFill="1" applyAlignment="1">
      <alignment/>
    </xf>
    <xf numFmtId="166" fontId="13" fillId="2" borderId="0" xfId="0" applyNumberFormat="1" applyFont="1" applyFill="1" applyAlignment="1">
      <alignment horizontal="center" vertical="center" wrapText="1"/>
    </xf>
    <xf numFmtId="164" fontId="14" fillId="2" borderId="0" xfId="0" applyFont="1" applyFill="1" applyAlignment="1">
      <alignment/>
    </xf>
    <xf numFmtId="164" fontId="3" fillId="2" borderId="0" xfId="0" applyFont="1" applyFill="1" applyAlignment="1">
      <alignment horizontal="left" vertical="center" wrapText="1"/>
    </xf>
    <xf numFmtId="164" fontId="3" fillId="2" borderId="0" xfId="0" applyFont="1" applyFill="1" applyBorder="1" applyAlignment="1">
      <alignment horizontal="center"/>
    </xf>
    <xf numFmtId="168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64" fontId="15" fillId="2" borderId="0" xfId="0" applyFont="1" applyFill="1" applyAlignment="1">
      <alignment/>
    </xf>
    <xf numFmtId="168" fontId="16" fillId="2" borderId="2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/>
    </xf>
    <xf numFmtId="168" fontId="10" fillId="2" borderId="1" xfId="0" applyNumberFormat="1" applyFont="1" applyFill="1" applyBorder="1" applyAlignment="1">
      <alignment horizontal="center"/>
    </xf>
    <xf numFmtId="168" fontId="10" fillId="2" borderId="1" xfId="0" applyNumberFormat="1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9" fontId="10" fillId="2" borderId="1" xfId="0" applyNumberFormat="1" applyFont="1" applyFill="1" applyBorder="1" applyAlignment="1">
      <alignment wrapText="1"/>
    </xf>
    <xf numFmtId="166" fontId="12" fillId="2" borderId="0" xfId="0" applyNumberFormat="1" applyFont="1" applyFill="1" applyAlignment="1">
      <alignment/>
    </xf>
    <xf numFmtId="168" fontId="6" fillId="2" borderId="1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wrapText="1"/>
    </xf>
    <xf numFmtId="169" fontId="6" fillId="2" borderId="1" xfId="0" applyNumberFormat="1" applyFont="1" applyFill="1" applyBorder="1" applyAlignment="1">
      <alignment wrapText="1"/>
    </xf>
    <xf numFmtId="164" fontId="10" fillId="2" borderId="0" xfId="0" applyFont="1" applyFill="1" applyBorder="1" applyAlignment="1">
      <alignment horizontal="right" wrapText="1"/>
    </xf>
    <xf numFmtId="168" fontId="10" fillId="2" borderId="0" xfId="0" applyNumberFormat="1" applyFont="1" applyFill="1" applyBorder="1" applyAlignment="1">
      <alignment/>
    </xf>
    <xf numFmtId="168" fontId="10" fillId="2" borderId="0" xfId="0" applyNumberFormat="1" applyFont="1" applyFill="1" applyBorder="1" applyAlignment="1">
      <alignment wrapText="1"/>
    </xf>
    <xf numFmtId="166" fontId="10" fillId="2" borderId="0" xfId="0" applyNumberFormat="1" applyFont="1" applyFill="1" applyBorder="1" applyAlignment="1">
      <alignment wrapText="1"/>
    </xf>
    <xf numFmtId="169" fontId="10" fillId="2" borderId="0" xfId="0" applyNumberFormat="1" applyFont="1" applyFill="1" applyBorder="1" applyAlignment="1">
      <alignment wrapText="1"/>
    </xf>
    <xf numFmtId="164" fontId="6" fillId="2" borderId="0" xfId="0" applyFont="1" applyFill="1" applyBorder="1" applyAlignment="1">
      <alignment horizontal="left" wrapText="1"/>
    </xf>
    <xf numFmtId="166" fontId="6" fillId="2" borderId="0" xfId="0" applyNumberFormat="1" applyFont="1" applyFill="1" applyAlignment="1">
      <alignment horizontal="left" wrapText="1"/>
    </xf>
    <xf numFmtId="164" fontId="6" fillId="2" borderId="0" xfId="0" applyFont="1" applyFill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/>
    </xf>
    <xf numFmtId="168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4" fontId="10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0" fillId="2" borderId="1" xfId="0" applyFont="1" applyFill="1" applyBorder="1" applyAlignment="1">
      <alignment vertical="center" wrapText="1"/>
    </xf>
    <xf numFmtId="168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4" fontId="6" fillId="2" borderId="0" xfId="0" applyFont="1" applyFill="1" applyAlignment="1">
      <alignment vertical="center" wrapText="1"/>
    </xf>
    <xf numFmtId="166" fontId="10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 horizontal="right" vertical="center"/>
    </xf>
    <xf numFmtId="164" fontId="20" fillId="2" borderId="1" xfId="0" applyFont="1" applyFill="1" applyBorder="1" applyAlignment="1">
      <alignment horizontal="right"/>
    </xf>
    <xf numFmtId="168" fontId="20" fillId="2" borderId="1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/>
    </xf>
    <xf numFmtId="164" fontId="16" fillId="2" borderId="1" xfId="0" applyFont="1" applyFill="1" applyBorder="1" applyAlignment="1">
      <alignment wrapText="1"/>
    </xf>
    <xf numFmtId="168" fontId="20" fillId="2" borderId="1" xfId="0" applyNumberFormat="1" applyFont="1" applyFill="1" applyBorder="1" applyAlignment="1">
      <alignment horizontal="right" vertical="center" wrapText="1"/>
    </xf>
    <xf numFmtId="166" fontId="16" fillId="2" borderId="1" xfId="0" applyNumberFormat="1" applyFont="1" applyFill="1" applyBorder="1" applyAlignment="1">
      <alignment horizontal="right" vertical="center"/>
    </xf>
    <xf numFmtId="164" fontId="16" fillId="2" borderId="0" xfId="0" applyFont="1" applyFill="1" applyBorder="1" applyAlignment="1">
      <alignment wrapText="1"/>
    </xf>
    <xf numFmtId="168" fontId="16" fillId="2" borderId="0" xfId="0" applyNumberFormat="1" applyFont="1" applyFill="1" applyBorder="1" applyAlignment="1">
      <alignment horizontal="right" vertical="center" wrapText="1"/>
    </xf>
    <xf numFmtId="166" fontId="16" fillId="2" borderId="0" xfId="0" applyNumberFormat="1" applyFont="1" applyFill="1" applyBorder="1" applyAlignment="1">
      <alignment/>
    </xf>
    <xf numFmtId="166" fontId="6" fillId="2" borderId="0" xfId="0" applyNumberFormat="1" applyFont="1" applyFill="1" applyAlignment="1">
      <alignment wrapText="1"/>
    </xf>
    <xf numFmtId="164" fontId="6" fillId="2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right" vertical="center" wrapText="1"/>
    </xf>
    <xf numFmtId="164" fontId="10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left" wrapText="1"/>
    </xf>
    <xf numFmtId="164" fontId="23" fillId="2" borderId="1" xfId="0" applyFont="1" applyFill="1" applyBorder="1" applyAlignment="1">
      <alignment horizontal="center" vertical="center"/>
    </xf>
    <xf numFmtId="164" fontId="23" fillId="2" borderId="1" xfId="0" applyFont="1" applyFill="1" applyBorder="1" applyAlignment="1">
      <alignment horizontal="center" vertical="center" wrapText="1"/>
    </xf>
    <xf numFmtId="164" fontId="23" fillId="2" borderId="1" xfId="0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 vertical="center"/>
    </xf>
    <xf numFmtId="170" fontId="0" fillId="2" borderId="0" xfId="0" applyNumberFormat="1" applyFill="1" applyAlignment="1">
      <alignment/>
    </xf>
    <xf numFmtId="164" fontId="24" fillId="2" borderId="1" xfId="0" applyFont="1" applyFill="1" applyBorder="1" applyAlignment="1">
      <alignment horizontal="right"/>
    </xf>
    <xf numFmtId="164" fontId="24" fillId="2" borderId="1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  <xf numFmtId="166" fontId="6" fillId="2" borderId="0" xfId="0" applyNumberFormat="1" applyFont="1" applyFill="1" applyAlignment="1">
      <alignment horizontal="left"/>
    </xf>
    <xf numFmtId="164" fontId="6" fillId="2" borderId="2" xfId="0" applyFont="1" applyFill="1" applyBorder="1" applyAlignment="1">
      <alignment/>
    </xf>
    <xf numFmtId="164" fontId="6" fillId="2" borderId="4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left"/>
    </xf>
    <xf numFmtId="164" fontId="0" fillId="2" borderId="0" xfId="0" applyFill="1" applyAlignment="1">
      <alignment horizontal="center" vertical="center" wrapText="1"/>
    </xf>
    <xf numFmtId="166" fontId="6" fillId="2" borderId="0" xfId="0" applyNumberFormat="1" applyFont="1" applyFill="1" applyBorder="1" applyAlignment="1">
      <alignment/>
    </xf>
    <xf numFmtId="166" fontId="11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6" fontId="6" fillId="2" borderId="1" xfId="0" applyNumberFormat="1" applyFont="1" applyFill="1" applyBorder="1" applyAlignment="1">
      <alignment horizontal="right" vertical="center" wrapText="1"/>
    </xf>
    <xf numFmtId="164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/>
    </xf>
    <xf numFmtId="166" fontId="25" fillId="2" borderId="0" xfId="0" applyNumberFormat="1" applyFont="1" applyFill="1" applyBorder="1" applyAlignment="1">
      <alignment horizontal="right" wrapText="1"/>
    </xf>
    <xf numFmtId="166" fontId="26" fillId="2" borderId="0" xfId="0" applyNumberFormat="1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center" vertical="center" wrapText="1"/>
    </xf>
    <xf numFmtId="164" fontId="0" fillId="2" borderId="0" xfId="0" applyFont="1" applyFill="1" applyAlignment="1">
      <alignment/>
    </xf>
    <xf numFmtId="168" fontId="17" fillId="2" borderId="0" xfId="0" applyNumberFormat="1" applyFont="1" applyFill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horizontal="right" vertical="center" wrapText="1"/>
    </xf>
    <xf numFmtId="168" fontId="16" fillId="2" borderId="1" xfId="0" applyNumberFormat="1" applyFont="1" applyFill="1" applyBorder="1" applyAlignment="1">
      <alignment horizontal="right" vertical="center" wrapText="1"/>
    </xf>
    <xf numFmtId="167" fontId="24" fillId="2" borderId="1" xfId="0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 vertical="center"/>
    </xf>
    <xf numFmtId="167" fontId="0" fillId="2" borderId="0" xfId="0" applyNumberFormat="1" applyFill="1" applyAlignment="1">
      <alignment/>
    </xf>
    <xf numFmtId="164" fontId="24" fillId="2" borderId="1" xfId="0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3" fillId="0" borderId="0" xfId="0" applyNumberFormat="1" applyFont="1" applyAlignment="1">
      <alignment horizontal="center" vertical="center" wrapText="1"/>
    </xf>
    <xf numFmtId="164" fontId="14" fillId="0" borderId="0" xfId="0" applyFont="1" applyAlignment="1">
      <alignment/>
    </xf>
    <xf numFmtId="164" fontId="3" fillId="0" borderId="0" xfId="0" applyFont="1" applyAlignment="1">
      <alignment horizontal="left" vertical="center" wrapText="1"/>
    </xf>
    <xf numFmtId="164" fontId="3" fillId="0" borderId="0" xfId="0" applyFont="1" applyBorder="1" applyAlignment="1">
      <alignment horizontal="center"/>
    </xf>
    <xf numFmtId="168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15" fillId="0" borderId="0" xfId="0" applyFont="1" applyAlignment="1">
      <alignment/>
    </xf>
    <xf numFmtId="168" fontId="16" fillId="0" borderId="2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wrapText="1"/>
    </xf>
    <xf numFmtId="169" fontId="6" fillId="0" borderId="1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166" fontId="12" fillId="0" borderId="0" xfId="0" applyNumberFormat="1" applyFont="1" applyAlignment="1">
      <alignment/>
    </xf>
    <xf numFmtId="168" fontId="10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9" fontId="10" fillId="0" borderId="1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6" fontId="26" fillId="0" borderId="0" xfId="0" applyNumberFormat="1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6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6" fontId="11" fillId="0" borderId="0" xfId="0" applyNumberFormat="1" applyFont="1" applyAlignment="1">
      <alignment/>
    </xf>
    <xf numFmtId="164" fontId="3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10" fillId="0" borderId="1" xfId="0" applyFont="1" applyBorder="1" applyAlignment="1">
      <alignment/>
    </xf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166" fontId="6" fillId="0" borderId="1" xfId="0" applyNumberFormat="1" applyFont="1" applyBorder="1" applyAlignment="1">
      <alignment horizontal="right" vertical="center"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 vertical="center" wrapText="1"/>
    </xf>
    <xf numFmtId="168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6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 horizontal="right" vertical="center"/>
    </xf>
    <xf numFmtId="164" fontId="20" fillId="0" borderId="1" xfId="0" applyFont="1" applyBorder="1" applyAlignment="1">
      <alignment horizontal="right"/>
    </xf>
    <xf numFmtId="168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4" fontId="16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wrapText="1"/>
    </xf>
    <xf numFmtId="166" fontId="6" fillId="2" borderId="0" xfId="0" applyNumberFormat="1" applyFont="1" applyFill="1" applyAlignment="1">
      <alignment horizontal="center" wrapText="1"/>
    </xf>
    <xf numFmtId="167" fontId="23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0" fillId="0" borderId="0" xfId="0" applyAlignment="1">
      <alignment horizontal="center" vertical="center" wrapText="1"/>
    </xf>
    <xf numFmtId="166" fontId="6" fillId="0" borderId="0" xfId="0" applyNumberFormat="1" applyFont="1" applyAlignment="1">
      <alignment/>
    </xf>
    <xf numFmtId="166" fontId="6" fillId="0" borderId="1" xfId="0" applyNumberFormat="1" applyFont="1" applyBorder="1" applyAlignment="1">
      <alignment horizontal="right" vertical="center" wrapText="1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166" fontId="28" fillId="0" borderId="1" xfId="0" applyNumberFormat="1" applyFont="1" applyBorder="1" applyAlignment="1">
      <alignment wrapText="1"/>
    </xf>
    <xf numFmtId="168" fontId="10" fillId="0" borderId="1" xfId="0" applyNumberFormat="1" applyFont="1" applyBorder="1" applyAlignment="1">
      <alignment/>
    </xf>
    <xf numFmtId="166" fontId="29" fillId="0" borderId="1" xfId="0" applyNumberFormat="1" applyFont="1" applyBorder="1" applyAlignment="1">
      <alignment wrapText="1"/>
    </xf>
    <xf numFmtId="166" fontId="29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vertical="center" wrapText="1"/>
    </xf>
    <xf numFmtId="166" fontId="30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right" vertical="center"/>
    </xf>
    <xf numFmtId="166" fontId="31" fillId="0" borderId="1" xfId="0" applyNumberFormat="1" applyFont="1" applyBorder="1" applyAlignment="1">
      <alignment horizontal="right" vertical="center"/>
    </xf>
    <xf numFmtId="166" fontId="32" fillId="2" borderId="1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left" wrapText="1"/>
    </xf>
    <xf numFmtId="164" fontId="23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17" fillId="2" borderId="1" xfId="0" applyNumberFormat="1" applyFont="1" applyFill="1" applyBorder="1" applyAlignment="1">
      <alignment/>
    </xf>
    <xf numFmtId="166" fontId="6" fillId="2" borderId="0" xfId="0" applyNumberFormat="1" applyFont="1" applyFill="1" applyAlignment="1">
      <alignment vertical="center" wrapText="1"/>
    </xf>
    <xf numFmtId="166" fontId="28" fillId="0" borderId="1" xfId="0" applyNumberFormat="1" applyFont="1" applyBorder="1" applyAlignment="1">
      <alignment horizontal="right" vertical="center" wrapText="1"/>
    </xf>
    <xf numFmtId="166" fontId="29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нига1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53\Users\Users\&#1069;&#1082;&#1086;&#1085;&#1086;&#1084;&#1080;&#1089;&#1090;\Desktop\&#1041;&#1072;&#1083;&#1072;&#1085;&#1089;.&#1089;&#1090;-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ная ведомость ТМЦ (2)"/>
      <sheetName val="Оборотная ведомость ТМЦ"/>
      <sheetName val="Настройка"/>
      <sheetName val="Ошиб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V200"/>
  <sheetViews>
    <sheetView tabSelected="1" zoomScale="70" zoomScaleNormal="70" workbookViewId="0" topLeftCell="A76">
      <selection activeCell="G111" sqref="G111"/>
    </sheetView>
  </sheetViews>
  <sheetFormatPr defaultColWidth="8.00390625" defaultRowHeight="12.75"/>
  <cols>
    <col min="1" max="1" width="34.375" style="1" customWidth="1"/>
    <col min="2" max="2" width="12.875" style="1" customWidth="1"/>
    <col min="3" max="3" width="14.875" style="1" customWidth="1"/>
    <col min="4" max="4" width="13.25390625" style="1" customWidth="1"/>
    <col min="5" max="5" width="14.375" style="1" customWidth="1"/>
    <col min="6" max="7" width="14.875" style="1" customWidth="1"/>
    <col min="8" max="8" width="13.75390625" style="1" customWidth="1"/>
    <col min="9" max="9" width="15.00390625" style="1" customWidth="1"/>
    <col min="10" max="10" width="12.875" style="1" customWidth="1"/>
    <col min="11" max="11" width="15.125" style="1" customWidth="1"/>
    <col min="12" max="12" width="15.625" style="1" customWidth="1"/>
    <col min="13" max="13" width="14.375" style="1" customWidth="1"/>
    <col min="14" max="14" width="13.625" style="1" customWidth="1"/>
    <col min="15" max="15" width="12.875" style="1" customWidth="1"/>
    <col min="16" max="16" width="14.25390625" style="1" customWidth="1"/>
    <col min="17" max="17" width="11.625" style="1" hidden="1" customWidth="1"/>
    <col min="18" max="18" width="14.625" style="1" hidden="1" customWidth="1"/>
    <col min="19" max="19" width="12.75390625" style="2" customWidth="1"/>
    <col min="20" max="20" width="13.375" style="2" customWidth="1"/>
    <col min="21" max="21" width="12.75390625" style="2" hidden="1" customWidth="1"/>
    <col min="22" max="22" width="13.875" style="1" customWidth="1"/>
    <col min="23" max="16384" width="9.125" style="1" customWidth="1"/>
  </cols>
  <sheetData>
    <row r="1" spans="1:1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47.25" customHeight="1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0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14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10"/>
      <c r="I11" s="11"/>
      <c r="J11" s="12"/>
      <c r="K11" s="4"/>
    </row>
    <row r="12" spans="1:11" ht="15.75" customHeight="1">
      <c r="A12" s="13" t="s">
        <v>12</v>
      </c>
      <c r="B12" s="14">
        <f aca="true" t="shared" si="0" ref="B12:B15">M55</f>
        <v>10163.937047872636</v>
      </c>
      <c r="C12" s="14">
        <f aca="true" t="shared" si="1" ref="C12:C15">O55</f>
        <v>0.662126877843874</v>
      </c>
      <c r="D12" s="14">
        <f aca="true" t="shared" si="2" ref="D12:D15">C110</f>
        <v>4525.1059717060325</v>
      </c>
      <c r="E12" s="14">
        <f aca="true" t="shared" si="3" ref="E12:E15">E110</f>
        <v>0.979945977859994</v>
      </c>
      <c r="F12" s="14">
        <f aca="true" t="shared" si="4" ref="F12:F15">B12*C12+D12*E12</f>
        <v>11164.175300473158</v>
      </c>
      <c r="G12" s="14">
        <f aca="true" t="shared" si="5" ref="G12:G15">F12*B55</f>
        <v>4398685.068386424</v>
      </c>
      <c r="H12" s="15"/>
      <c r="I12" s="15"/>
      <c r="J12" s="12"/>
      <c r="K12" s="4"/>
    </row>
    <row r="13" spans="1:11" ht="23.25" customHeight="1">
      <c r="A13" s="13" t="s">
        <v>13</v>
      </c>
      <c r="B13" s="14">
        <f t="shared" si="0"/>
        <v>5387.419438908788</v>
      </c>
      <c r="C13" s="14">
        <f t="shared" si="1"/>
        <v>1.249172443397632</v>
      </c>
      <c r="D13" s="14">
        <f t="shared" si="2"/>
        <v>2932.8608975619672</v>
      </c>
      <c r="E13" s="14">
        <f t="shared" si="3"/>
        <v>0.9690586841612908</v>
      </c>
      <c r="F13" s="14">
        <f t="shared" si="4"/>
        <v>9571.930226329092</v>
      </c>
      <c r="G13" s="14">
        <f t="shared" si="5"/>
        <v>3656477.3464577133</v>
      </c>
      <c r="H13" s="15"/>
      <c r="I13" s="15"/>
      <c r="J13" s="12"/>
      <c r="K13" s="4"/>
    </row>
    <row r="14" spans="1:11" ht="25.5" customHeight="1">
      <c r="A14" s="13" t="s">
        <v>14</v>
      </c>
      <c r="B14" s="14">
        <f t="shared" si="0"/>
        <v>9391.43016</v>
      </c>
      <c r="C14" s="14">
        <f t="shared" si="1"/>
        <v>0.7165911676342158</v>
      </c>
      <c r="D14" s="14">
        <f t="shared" si="2"/>
        <v>4267.591944195854</v>
      </c>
      <c r="E14" s="14">
        <f t="shared" si="3"/>
        <v>0.978735882781416</v>
      </c>
      <c r="F14" s="14">
        <f t="shared" si="4"/>
        <v>10906.661272962978</v>
      </c>
      <c r="G14" s="14">
        <f t="shared" si="5"/>
        <v>1483305.933122965</v>
      </c>
      <c r="H14" s="15"/>
      <c r="I14" s="15"/>
      <c r="J14" s="12"/>
      <c r="K14" s="4"/>
    </row>
    <row r="15" spans="1:11" ht="26.25" customHeight="1">
      <c r="A15" s="13" t="s">
        <v>15</v>
      </c>
      <c r="B15" s="14">
        <f t="shared" si="0"/>
        <v>6998.586298521896</v>
      </c>
      <c r="C15" s="14">
        <f t="shared" si="1"/>
        <v>0.9615964734950727</v>
      </c>
      <c r="D15" s="14">
        <f t="shared" si="2"/>
        <v>3469.9409851615255</v>
      </c>
      <c r="E15" s="14">
        <f t="shared" si="3"/>
        <v>0.9738478044063215</v>
      </c>
      <c r="F15" s="14">
        <f t="shared" si="4"/>
        <v>10109.01031392865</v>
      </c>
      <c r="G15" s="14">
        <f t="shared" si="5"/>
        <v>5539737.6520329</v>
      </c>
      <c r="H15" s="15"/>
      <c r="I15" s="15"/>
      <c r="J15" s="12"/>
      <c r="K15" s="4"/>
    </row>
    <row r="16" spans="1:11" ht="26.25" customHeight="1">
      <c r="A16" s="13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/>
      <c r="I16" s="16"/>
      <c r="J16" s="12"/>
      <c r="K16" s="4"/>
    </row>
    <row r="17" spans="1:12" ht="15.75" customHeight="1">
      <c r="A17" s="17" t="s">
        <v>17</v>
      </c>
      <c r="B17" s="18">
        <f>N60/B60</f>
        <v>7654.140558818475</v>
      </c>
      <c r="C17" s="19">
        <f>P60/N60</f>
        <v>0.8792386097948052</v>
      </c>
      <c r="D17" s="18">
        <f>C109</f>
        <v>3688.469027397261</v>
      </c>
      <c r="E17" s="18">
        <f>E109</f>
        <v>0.9753972245209551</v>
      </c>
      <c r="F17" s="18">
        <f>B17*C17+D17*E17</f>
        <v>10327.538356164385</v>
      </c>
      <c r="G17" s="18">
        <f>SUM(G12:G15)</f>
        <v>15078206.000000004</v>
      </c>
      <c r="H17" s="20"/>
      <c r="I17" s="21"/>
      <c r="J17" s="22"/>
      <c r="K17" s="22">
        <f>G17-I17</f>
        <v>15078206.000000004</v>
      </c>
      <c r="L17" s="23"/>
    </row>
    <row r="18" spans="1:11" ht="15.75" customHeight="1">
      <c r="A18" s="4"/>
      <c r="B18" s="4"/>
      <c r="C18" s="4"/>
      <c r="D18" s="4"/>
      <c r="E18" s="4"/>
      <c r="F18" s="4"/>
      <c r="G18" s="24"/>
      <c r="H18" s="4"/>
      <c r="I18" s="4"/>
      <c r="J18" s="4"/>
      <c r="K18" s="4"/>
    </row>
    <row r="19" spans="1:11" ht="57" customHeight="1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42" customHeight="1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5"/>
    </row>
    <row r="22" spans="1:12" ht="17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5"/>
    </row>
    <row r="23" spans="1:13" ht="18" customHeight="1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</row>
    <row r="24" spans="1:13" ht="17.25" customHeight="1">
      <c r="A24" s="29"/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9"/>
    </row>
    <row r="25" spans="1:13" ht="17.25" customHeight="1">
      <c r="A25" s="29" t="s">
        <v>21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9"/>
    </row>
    <row r="26" spans="1:13" ht="17.25" customHeight="1">
      <c r="A26" s="29"/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9"/>
    </row>
    <row r="27" spans="1:13" ht="17.25" customHeight="1">
      <c r="A27" s="29" t="s"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9"/>
    </row>
    <row r="28" spans="1:13" ht="17.25" customHeight="1">
      <c r="A28" s="29"/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9"/>
    </row>
    <row r="29" spans="1:13" ht="17.25" customHeight="1">
      <c r="A29" s="29" t="s">
        <v>23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9"/>
    </row>
    <row r="30" spans="1:13" ht="17.25" customHeight="1">
      <c r="A30" s="29"/>
      <c r="B30" s="29"/>
      <c r="C30" s="29"/>
      <c r="D30" s="29"/>
      <c r="E30" s="29"/>
      <c r="F30" s="28"/>
      <c r="G30" s="28"/>
      <c r="H30" s="28"/>
      <c r="I30" s="28"/>
      <c r="J30" s="28"/>
      <c r="K30" s="28"/>
      <c r="L30" s="28"/>
      <c r="M30" s="29"/>
    </row>
    <row r="31" spans="1:13" ht="17.25" customHeight="1">
      <c r="A31" s="29" t="s">
        <v>24</v>
      </c>
      <c r="B31" s="29"/>
      <c r="C31" s="29"/>
      <c r="D31" s="29"/>
      <c r="E31" s="29"/>
      <c r="F31" s="28"/>
      <c r="G31" s="28"/>
      <c r="H31" s="28"/>
      <c r="I31" s="28"/>
      <c r="J31" s="28"/>
      <c r="K31" s="28"/>
      <c r="L31" s="28"/>
      <c r="M31" s="29"/>
    </row>
    <row r="32" spans="1:13" ht="17.25" customHeight="1">
      <c r="A32" s="29"/>
      <c r="B32" s="29"/>
      <c r="C32" s="29"/>
      <c r="D32" s="29"/>
      <c r="E32" s="29"/>
      <c r="F32" s="28"/>
      <c r="G32" s="28"/>
      <c r="H32" s="28"/>
      <c r="I32" s="28"/>
      <c r="J32" s="28"/>
      <c r="K32" s="28"/>
      <c r="L32" s="28"/>
      <c r="M32" s="29"/>
    </row>
    <row r="33" spans="1:13" ht="17.25" customHeight="1">
      <c r="A33" s="29" t="s">
        <v>25</v>
      </c>
      <c r="B33" s="29"/>
      <c r="C33" s="29"/>
      <c r="D33" s="29"/>
      <c r="E33" s="29"/>
      <c r="F33" s="28"/>
      <c r="G33" s="28"/>
      <c r="H33" s="28"/>
      <c r="I33" s="28"/>
      <c r="J33" s="28"/>
      <c r="K33" s="28"/>
      <c r="L33" s="28"/>
      <c r="M33" s="29"/>
    </row>
    <row r="34" spans="1:13" ht="17.25" customHeight="1">
      <c r="A34" s="29"/>
      <c r="B34" s="29"/>
      <c r="C34" s="29"/>
      <c r="D34" s="29"/>
      <c r="E34" s="29"/>
      <c r="F34" s="28"/>
      <c r="G34" s="28"/>
      <c r="H34" s="28"/>
      <c r="I34" s="28"/>
      <c r="J34" s="28"/>
      <c r="K34" s="28"/>
      <c r="L34" s="28"/>
      <c r="M34" s="29"/>
    </row>
    <row r="35" spans="1:13" ht="17.25" customHeight="1">
      <c r="A35" s="29" t="s">
        <v>26</v>
      </c>
      <c r="B35" s="29"/>
      <c r="C35" s="29"/>
      <c r="D35" s="29"/>
      <c r="E35" s="29"/>
      <c r="F35" s="28"/>
      <c r="G35" s="28"/>
      <c r="H35" s="28"/>
      <c r="I35" s="28"/>
      <c r="J35" s="28"/>
      <c r="K35" s="28"/>
      <c r="L35" s="28"/>
      <c r="M35" s="29"/>
    </row>
    <row r="36" spans="1:13" ht="17.25" customHeight="1">
      <c r="A36" s="29"/>
      <c r="B36" s="29"/>
      <c r="C36" s="29"/>
      <c r="D36" s="29"/>
      <c r="E36" s="29"/>
      <c r="F36" s="28"/>
      <c r="G36" s="28"/>
      <c r="H36" s="28"/>
      <c r="I36" s="28"/>
      <c r="J36" s="28"/>
      <c r="K36" s="28"/>
      <c r="L36" s="28"/>
      <c r="M36" s="29"/>
    </row>
    <row r="37" spans="1:13" ht="17.25" customHeight="1">
      <c r="A37" s="30" t="s">
        <v>27</v>
      </c>
      <c r="B37" s="30"/>
      <c r="C37" s="30"/>
      <c r="D37" s="30"/>
      <c r="E37" s="30"/>
      <c r="F37" s="28"/>
      <c r="G37" s="28"/>
      <c r="H37" s="28"/>
      <c r="I37" s="28"/>
      <c r="J37" s="28"/>
      <c r="K37" s="28"/>
      <c r="L37" s="28"/>
      <c r="M37" s="29"/>
    </row>
    <row r="38" spans="1:13" ht="17.25" customHeight="1">
      <c r="A38" s="29"/>
      <c r="B38" s="29"/>
      <c r="C38" s="29"/>
      <c r="D38" s="29"/>
      <c r="E38" s="29"/>
      <c r="F38" s="28"/>
      <c r="G38" s="28"/>
      <c r="H38" s="28"/>
      <c r="I38" s="28"/>
      <c r="J38" s="28"/>
      <c r="K38" s="28"/>
      <c r="L38" s="28"/>
      <c r="M38" s="29"/>
    </row>
    <row r="39" spans="1:13" ht="17.25" customHeight="1">
      <c r="A39" s="29" t="s">
        <v>28</v>
      </c>
      <c r="B39" s="29"/>
      <c r="C39" s="29"/>
      <c r="D39" s="29"/>
      <c r="E39" s="29"/>
      <c r="F39" s="28"/>
      <c r="G39" s="28"/>
      <c r="H39" s="28"/>
      <c r="I39" s="28"/>
      <c r="J39" s="28"/>
      <c r="K39" s="28"/>
      <c r="L39" s="28"/>
      <c r="M39" s="29"/>
    </row>
    <row r="40" spans="1:13" ht="17.25" customHeight="1">
      <c r="A40" s="29"/>
      <c r="B40" s="29"/>
      <c r="C40" s="29"/>
      <c r="D40" s="29"/>
      <c r="E40" s="29"/>
      <c r="F40" s="28"/>
      <c r="G40" s="28"/>
      <c r="H40" s="28"/>
      <c r="I40" s="28"/>
      <c r="J40" s="28"/>
      <c r="K40" s="28"/>
      <c r="L40" s="28"/>
      <c r="M40" s="29"/>
    </row>
    <row r="41" spans="1:13" ht="17.25" customHeight="1">
      <c r="A41" s="29" t="s">
        <v>29</v>
      </c>
      <c r="B41" s="29"/>
      <c r="C41" s="29"/>
      <c r="D41" s="29"/>
      <c r="E41" s="29"/>
      <c r="F41" s="28"/>
      <c r="G41" s="28"/>
      <c r="H41" s="28"/>
      <c r="I41" s="28"/>
      <c r="J41" s="28"/>
      <c r="K41" s="28"/>
      <c r="L41" s="28"/>
      <c r="M41" s="29"/>
    </row>
    <row r="42" spans="1:13" ht="17.25" customHeight="1">
      <c r="A42" s="29"/>
      <c r="B42" s="29"/>
      <c r="C42" s="29"/>
      <c r="D42" s="29"/>
      <c r="E42" s="29"/>
      <c r="F42" s="28"/>
      <c r="G42" s="28"/>
      <c r="H42" s="28"/>
      <c r="I42" s="28"/>
      <c r="J42" s="28"/>
      <c r="K42" s="28"/>
      <c r="L42" s="28"/>
      <c r="M42" s="29"/>
    </row>
    <row r="43" spans="1:13" ht="17.25" customHeight="1">
      <c r="A43" s="29" t="s">
        <v>30</v>
      </c>
      <c r="B43" s="29"/>
      <c r="C43" s="29"/>
      <c r="D43" s="29"/>
      <c r="E43" s="29"/>
      <c r="F43" s="28"/>
      <c r="G43" s="28"/>
      <c r="H43" s="28"/>
      <c r="I43" s="28"/>
      <c r="J43" s="28"/>
      <c r="K43" s="28"/>
      <c r="L43" s="28"/>
      <c r="M43" s="29"/>
    </row>
    <row r="44" spans="1:13" ht="17.25" customHeight="1">
      <c r="A44" s="29"/>
      <c r="B44" s="29"/>
      <c r="C44" s="29"/>
      <c r="D44" s="29"/>
      <c r="E44" s="29"/>
      <c r="F44" s="28"/>
      <c r="G44" s="28"/>
      <c r="H44" s="28"/>
      <c r="I44" s="28"/>
      <c r="J44" s="28"/>
      <c r="K44" s="28"/>
      <c r="L44" s="28"/>
      <c r="M44" s="29"/>
    </row>
    <row r="45" spans="1:13" ht="17.25" customHeight="1">
      <c r="A45" s="30" t="s">
        <v>31</v>
      </c>
      <c r="B45" s="30"/>
      <c r="C45" s="30"/>
      <c r="D45" s="30"/>
      <c r="E45" s="30"/>
      <c r="F45" s="28"/>
      <c r="G45" s="28"/>
      <c r="H45" s="28"/>
      <c r="I45" s="28"/>
      <c r="J45" s="28"/>
      <c r="K45" s="28"/>
      <c r="L45" s="28"/>
      <c r="M45" s="29"/>
    </row>
    <row r="46" spans="1:13" ht="17.25" customHeight="1">
      <c r="A46" s="29"/>
      <c r="B46" s="29"/>
      <c r="C46" s="29"/>
      <c r="D46" s="29"/>
      <c r="E46" s="29"/>
      <c r="F46" s="28"/>
      <c r="G46" s="28"/>
      <c r="H46" s="28"/>
      <c r="I46" s="28"/>
      <c r="J46" s="28"/>
      <c r="K46" s="28"/>
      <c r="L46" s="28"/>
      <c r="M46" s="29"/>
    </row>
    <row r="47" spans="1:13" ht="17.25" customHeight="1">
      <c r="A47" s="29" t="s">
        <v>32</v>
      </c>
      <c r="B47" s="29"/>
      <c r="C47" s="29"/>
      <c r="D47" s="29"/>
      <c r="E47" s="29"/>
      <c r="F47" s="28"/>
      <c r="G47" s="28"/>
      <c r="H47" s="28"/>
      <c r="I47" s="28"/>
      <c r="J47" s="28"/>
      <c r="K47" s="28"/>
      <c r="L47" s="28"/>
      <c r="M47" s="29"/>
    </row>
    <row r="48" spans="1:13" ht="17.25" customHeight="1">
      <c r="A48" s="29"/>
      <c r="B48" s="29"/>
      <c r="C48" s="29"/>
      <c r="D48" s="29"/>
      <c r="E48" s="29"/>
      <c r="F48" s="28"/>
      <c r="G48" s="28"/>
      <c r="H48" s="28"/>
      <c r="I48" s="28"/>
      <c r="J48" s="28"/>
      <c r="K48" s="28"/>
      <c r="L48" s="28"/>
      <c r="M48" s="29"/>
    </row>
    <row r="49" spans="1:13" ht="17.25" customHeight="1">
      <c r="A49" s="29" t="s">
        <v>33</v>
      </c>
      <c r="B49" s="29"/>
      <c r="C49" s="29"/>
      <c r="D49" s="29"/>
      <c r="E49" s="29"/>
      <c r="F49" s="28"/>
      <c r="G49" s="28"/>
      <c r="H49" s="28"/>
      <c r="I49" s="28"/>
      <c r="J49" s="28"/>
      <c r="K49" s="28"/>
      <c r="L49" s="28"/>
      <c r="M49" s="29"/>
    </row>
    <row r="50" spans="1:13" ht="17.25" customHeight="1">
      <c r="A50" s="29"/>
      <c r="B50" s="29"/>
      <c r="C50" s="29"/>
      <c r="D50" s="29"/>
      <c r="E50" s="29"/>
      <c r="F50" s="28"/>
      <c r="G50" s="28"/>
      <c r="H50" s="28"/>
      <c r="I50" s="28"/>
      <c r="J50" s="28"/>
      <c r="K50" s="28"/>
      <c r="L50" s="28"/>
      <c r="M50" s="29"/>
    </row>
    <row r="51" spans="1:13" ht="17.25" customHeight="1">
      <c r="A51" s="29" t="s">
        <v>34</v>
      </c>
      <c r="B51" s="29"/>
      <c r="C51" s="29"/>
      <c r="D51" s="29"/>
      <c r="E51" s="29"/>
      <c r="F51" s="28"/>
      <c r="G51" s="28"/>
      <c r="H51" s="28"/>
      <c r="I51" s="28"/>
      <c r="J51" s="28"/>
      <c r="K51" s="28"/>
      <c r="L51" s="28"/>
      <c r="M51" s="29"/>
    </row>
    <row r="52" spans="1:13" ht="17.25" customHeight="1">
      <c r="A52" s="29"/>
      <c r="B52" s="29"/>
      <c r="C52" s="29"/>
      <c r="D52" s="29"/>
      <c r="E52" s="29"/>
      <c r="F52" s="28"/>
      <c r="G52" s="28"/>
      <c r="H52" s="28"/>
      <c r="I52" s="28"/>
      <c r="J52" s="28"/>
      <c r="K52" s="28"/>
      <c r="L52" s="31"/>
      <c r="M52" s="31"/>
    </row>
    <row r="53" spans="1:16" ht="111" customHeight="1">
      <c r="A53" s="9" t="s">
        <v>5</v>
      </c>
      <c r="B53" s="32" t="s">
        <v>35</v>
      </c>
      <c r="C53" s="32" t="s">
        <v>36</v>
      </c>
      <c r="D53" s="32" t="s">
        <v>37</v>
      </c>
      <c r="E53" s="32" t="s">
        <v>38</v>
      </c>
      <c r="F53" s="32" t="s">
        <v>39</v>
      </c>
      <c r="G53" s="32" t="s">
        <v>40</v>
      </c>
      <c r="H53" s="32" t="s">
        <v>41</v>
      </c>
      <c r="I53" s="32" t="s">
        <v>42</v>
      </c>
      <c r="J53" s="32" t="s">
        <v>43</v>
      </c>
      <c r="K53" s="32" t="s">
        <v>44</v>
      </c>
      <c r="L53" s="32" t="s">
        <v>45</v>
      </c>
      <c r="M53" s="32" t="s">
        <v>46</v>
      </c>
      <c r="N53" s="32" t="s">
        <v>47</v>
      </c>
      <c r="O53" s="9" t="s">
        <v>48</v>
      </c>
      <c r="P53" s="9" t="s">
        <v>49</v>
      </c>
    </row>
    <row r="54" spans="1:16" ht="23.25" customHeight="1">
      <c r="A54" s="33">
        <v>1</v>
      </c>
      <c r="B54" s="34">
        <v>2</v>
      </c>
      <c r="C54" s="34">
        <v>3</v>
      </c>
      <c r="D54" s="34">
        <v>4</v>
      </c>
      <c r="E54" s="34">
        <v>5</v>
      </c>
      <c r="F54" s="34" t="s">
        <v>50</v>
      </c>
      <c r="G54" s="34" t="s">
        <v>51</v>
      </c>
      <c r="H54" s="34" t="s">
        <v>52</v>
      </c>
      <c r="I54" s="34" t="s">
        <v>53</v>
      </c>
      <c r="J54" s="34">
        <v>10</v>
      </c>
      <c r="K54" s="34">
        <v>11</v>
      </c>
      <c r="L54" s="34">
        <v>12</v>
      </c>
      <c r="M54" s="34">
        <v>13</v>
      </c>
      <c r="N54" s="34">
        <v>14</v>
      </c>
      <c r="O54" s="34">
        <v>15</v>
      </c>
      <c r="P54" s="34">
        <v>16</v>
      </c>
    </row>
    <row r="55" spans="1:22" ht="42" customHeight="1">
      <c r="A55" s="13" t="s">
        <v>12</v>
      </c>
      <c r="B55" s="35">
        <v>394</v>
      </c>
      <c r="C55" s="35">
        <v>42</v>
      </c>
      <c r="D55" s="35">
        <v>11</v>
      </c>
      <c r="E55" s="36">
        <v>106</v>
      </c>
      <c r="F55" s="37">
        <f aca="true" t="shared" si="6" ref="F55:F58">E55/D55</f>
        <v>9.636363636363637</v>
      </c>
      <c r="G55" s="37">
        <f aca="true" t="shared" si="7" ref="G55:G58">B55/C55</f>
        <v>9.380952380952381</v>
      </c>
      <c r="H55" s="38">
        <f aca="true" t="shared" si="8" ref="H55:H58">F55/G55</f>
        <v>1.027226580526073</v>
      </c>
      <c r="I55" s="39">
        <f aca="true" t="shared" si="9" ref="I55:I58">H55/18</f>
        <v>0.05706814336255961</v>
      </c>
      <c r="J55" s="38">
        <v>8587</v>
      </c>
      <c r="K55" s="38">
        <v>0.08</v>
      </c>
      <c r="L55" s="38">
        <f aca="true" t="shared" si="10" ref="L55:L58">(10802+23514.9+2577.75)/$D$60*D55/(10802+23514.9+2577.75)</f>
        <v>0.22916666666666666</v>
      </c>
      <c r="M55" s="38">
        <f aca="true" t="shared" si="11" ref="M55:M58">I55*(J55*K55+J55)*(L55+1)*12*1.302</f>
        <v>10163.937047872636</v>
      </c>
      <c r="N55" s="38">
        <f aca="true" t="shared" si="12" ref="N55:N59">M55*B55</f>
        <v>4004591.1968618184</v>
      </c>
      <c r="O55" s="38">
        <f aca="true" t="shared" si="13" ref="O55:O58">P55/N55</f>
        <v>0.662126877843874</v>
      </c>
      <c r="P55" s="38">
        <f>P60/B60*B55</f>
        <v>2651547.4662191784</v>
      </c>
      <c r="Q55" s="2">
        <f>P60/B60*B55</f>
        <v>2651547.4662191784</v>
      </c>
      <c r="R55" s="2">
        <v>1288416.35</v>
      </c>
      <c r="U55" s="2">
        <f aca="true" t="shared" si="14" ref="U55:U58">N55/$N$60*$U$60</f>
        <v>23402.406580036633</v>
      </c>
      <c r="V55" s="40">
        <f>N55/N60*T62</f>
        <v>2689106.0978819644</v>
      </c>
    </row>
    <row r="56" spans="1:22" ht="42" customHeight="1">
      <c r="A56" s="13" t="s">
        <v>13</v>
      </c>
      <c r="B56" s="35">
        <f>399-17</f>
        <v>382</v>
      </c>
      <c r="C56" s="35">
        <v>40</v>
      </c>
      <c r="D56" s="35">
        <v>19</v>
      </c>
      <c r="E56" s="36">
        <v>87</v>
      </c>
      <c r="F56" s="37">
        <f t="shared" si="6"/>
        <v>4.578947368421052</v>
      </c>
      <c r="G56" s="37">
        <f t="shared" si="7"/>
        <v>9.55</v>
      </c>
      <c r="H56" s="38">
        <f t="shared" si="8"/>
        <v>0.47947092863047663</v>
      </c>
      <c r="I56" s="39">
        <f t="shared" si="9"/>
        <v>0.026637273812804257</v>
      </c>
      <c r="J56" s="38">
        <v>8587</v>
      </c>
      <c r="K56" s="38">
        <v>0.08</v>
      </c>
      <c r="L56" s="38">
        <f t="shared" si="10"/>
        <v>0.3958333333333333</v>
      </c>
      <c r="M56" s="38">
        <f t="shared" si="11"/>
        <v>5387.419438908788</v>
      </c>
      <c r="N56" s="38">
        <f t="shared" si="12"/>
        <v>2057994.225663157</v>
      </c>
      <c r="O56" s="38">
        <f t="shared" si="13"/>
        <v>1.249172443397632</v>
      </c>
      <c r="P56" s="38">
        <f>P60/B60*B56</f>
        <v>2570789.6753698634</v>
      </c>
      <c r="Q56" s="2">
        <f>P60/B60*B56</f>
        <v>2570789.6753698634</v>
      </c>
      <c r="R56" s="2">
        <v>2094201.17</v>
      </c>
      <c r="S56" s="40"/>
      <c r="T56" s="40"/>
      <c r="U56" s="40">
        <f t="shared" si="14"/>
        <v>12026.70016507024</v>
      </c>
      <c r="V56" s="40">
        <f>N56/N60*T62</f>
        <v>1381954.998546042</v>
      </c>
    </row>
    <row r="57" spans="1:22" ht="42" customHeight="1">
      <c r="A57" s="13" t="s">
        <v>14</v>
      </c>
      <c r="B57" s="35">
        <v>136</v>
      </c>
      <c r="C57" s="35">
        <v>14</v>
      </c>
      <c r="D57" s="35">
        <v>3</v>
      </c>
      <c r="E57" s="36">
        <v>32</v>
      </c>
      <c r="F57" s="37">
        <f t="shared" si="6"/>
        <v>10.666666666666666</v>
      </c>
      <c r="G57" s="37">
        <f t="shared" si="7"/>
        <v>9.714285714285714</v>
      </c>
      <c r="H57" s="38">
        <f t="shared" si="8"/>
        <v>1.0980392156862746</v>
      </c>
      <c r="I57" s="39">
        <f t="shared" si="9"/>
        <v>0.06100217864923748</v>
      </c>
      <c r="J57" s="38">
        <v>8587</v>
      </c>
      <c r="K57" s="38">
        <v>0.08</v>
      </c>
      <c r="L57" s="38">
        <f t="shared" si="10"/>
        <v>0.0625</v>
      </c>
      <c r="M57" s="38">
        <f t="shared" si="11"/>
        <v>9391.43016</v>
      </c>
      <c r="N57" s="38">
        <f t="shared" si="12"/>
        <v>1277234.50176</v>
      </c>
      <c r="O57" s="38">
        <f t="shared" si="13"/>
        <v>0.7165911676342158</v>
      </c>
      <c r="P57" s="38">
        <f>P60/B60*B57</f>
        <v>915254.9629589042</v>
      </c>
      <c r="Q57" s="2">
        <f>P60/B60*B57</f>
        <v>915254.9629589042</v>
      </c>
      <c r="R57" s="2">
        <v>243134.9</v>
      </c>
      <c r="S57" s="40"/>
      <c r="T57" s="40"/>
      <c r="U57" s="40">
        <f t="shared" si="14"/>
        <v>7464.023077227332</v>
      </c>
      <c r="V57" s="40">
        <f>N57/N60*T62</f>
        <v>857670.3384354373</v>
      </c>
    </row>
    <row r="58" spans="1:22" ht="42" customHeight="1">
      <c r="A58" s="13" t="s">
        <v>15</v>
      </c>
      <c r="B58" s="35">
        <v>548</v>
      </c>
      <c r="C58" s="35">
        <v>55</v>
      </c>
      <c r="D58" s="35">
        <f>7+8</f>
        <v>15</v>
      </c>
      <c r="E58" s="36">
        <v>99</v>
      </c>
      <c r="F58" s="37">
        <f t="shared" si="6"/>
        <v>6.6</v>
      </c>
      <c r="G58" s="37">
        <f t="shared" si="7"/>
        <v>9.963636363636363</v>
      </c>
      <c r="H58" s="38">
        <f t="shared" si="8"/>
        <v>0.6624087591240876</v>
      </c>
      <c r="I58" s="39">
        <f t="shared" si="9"/>
        <v>0.03680048661800486</v>
      </c>
      <c r="J58" s="38">
        <v>8587</v>
      </c>
      <c r="K58" s="38">
        <v>0.08</v>
      </c>
      <c r="L58" s="38">
        <f t="shared" si="10"/>
        <v>0.3125</v>
      </c>
      <c r="M58" s="38">
        <f t="shared" si="11"/>
        <v>6998.586298521896</v>
      </c>
      <c r="N58" s="38">
        <f t="shared" si="12"/>
        <v>3835225.291589999</v>
      </c>
      <c r="O58" s="38">
        <f t="shared" si="13"/>
        <v>0.9615964734950727</v>
      </c>
      <c r="P58" s="38">
        <f>P60/B60*B58</f>
        <v>3687939.115452055</v>
      </c>
      <c r="Q58" s="2">
        <f>P60/B60*B58</f>
        <v>3687939.115452055</v>
      </c>
      <c r="R58" s="2">
        <v>1133134.9</v>
      </c>
      <c r="S58" s="40"/>
      <c r="T58" s="40"/>
      <c r="U58" s="40">
        <f t="shared" si="14"/>
        <v>22412.65017766699</v>
      </c>
      <c r="V58" s="40">
        <f>N58/N60*T62</f>
        <v>2575375.915136556</v>
      </c>
    </row>
    <row r="59" spans="1:22" ht="42" customHeight="1">
      <c r="A59" s="13" t="s">
        <v>16</v>
      </c>
      <c r="B59" s="41"/>
      <c r="C59" s="41"/>
      <c r="D59" s="41"/>
      <c r="E59" s="41"/>
      <c r="F59" s="42">
        <v>0</v>
      </c>
      <c r="G59" s="37">
        <v>0</v>
      </c>
      <c r="H59" s="38">
        <v>0</v>
      </c>
      <c r="I59" s="43">
        <v>0</v>
      </c>
      <c r="J59" s="38">
        <v>8587</v>
      </c>
      <c r="K59" s="14">
        <v>0</v>
      </c>
      <c r="L59" s="38">
        <f>(2544.07+10340.4+13130.68)/$D$60*D59/(2544.07+10340.4+13130.68)</f>
        <v>0</v>
      </c>
      <c r="M59" s="38">
        <v>0</v>
      </c>
      <c r="N59" s="38">
        <f t="shared" si="12"/>
        <v>0</v>
      </c>
      <c r="O59" s="38">
        <v>0</v>
      </c>
      <c r="P59" s="38">
        <f>P60/B60*B59</f>
        <v>0</v>
      </c>
      <c r="R59" s="2"/>
      <c r="S59" s="40"/>
      <c r="T59" s="40"/>
      <c r="U59" s="40"/>
      <c r="V59" s="40"/>
    </row>
    <row r="60" spans="1:22" ht="42" customHeight="1">
      <c r="A60" s="17" t="s">
        <v>17</v>
      </c>
      <c r="B60" s="35">
        <f>B55+B56+B57+B58+B59</f>
        <v>1460</v>
      </c>
      <c r="C60" s="35">
        <f>C55+C56+C57+C58+C59</f>
        <v>151</v>
      </c>
      <c r="D60" s="35">
        <f>D55+D56+D57+D58+D59</f>
        <v>48</v>
      </c>
      <c r="E60" s="36">
        <f>E55+E56+E57+E58+E59</f>
        <v>324</v>
      </c>
      <c r="F60" s="37">
        <f>E60/D60</f>
        <v>6.75</v>
      </c>
      <c r="G60" s="37">
        <f>B60/C60</f>
        <v>9.668874172185431</v>
      </c>
      <c r="H60" s="38">
        <f>F60/G60</f>
        <v>0.6981164383561643</v>
      </c>
      <c r="I60" s="39">
        <f>H60/18</f>
        <v>0.03878424657534246</v>
      </c>
      <c r="J60" s="38">
        <v>8587</v>
      </c>
      <c r="K60" s="18">
        <v>0.08</v>
      </c>
      <c r="L60" s="18">
        <f>L55+L56+L57+L58+L59</f>
        <v>1</v>
      </c>
      <c r="M60" s="38">
        <f>N60/B60</f>
        <v>7654.140558818475</v>
      </c>
      <c r="N60" s="38">
        <f>SUM(N55:N59)</f>
        <v>11175045.215874974</v>
      </c>
      <c r="O60" s="38">
        <f>P60/N60</f>
        <v>0.8792386097948052</v>
      </c>
      <c r="P60" s="38">
        <f>10407155+3142961+600-A172-B172-C172</f>
        <v>9825531.22</v>
      </c>
      <c r="R60" s="2">
        <f>SUM(R55:R59)</f>
        <v>4758887.32</v>
      </c>
      <c r="S60" s="40">
        <f>8647355+1200+2611501</f>
        <v>11260056</v>
      </c>
      <c r="T60" s="40">
        <f>(11457400+2400+3460135)-F97</f>
        <v>11194750.219999999</v>
      </c>
      <c r="U60" s="40">
        <f>S60-T60</f>
        <v>65305.78000000119</v>
      </c>
      <c r="V60" s="40">
        <f>V55+V56+V57+V58</f>
        <v>7504107.35</v>
      </c>
    </row>
    <row r="61" spans="1:22" ht="20.25" customHeight="1">
      <c r="A61" s="44"/>
      <c r="B61" s="45"/>
      <c r="C61" s="45"/>
      <c r="D61" s="45"/>
      <c r="E61" s="45"/>
      <c r="F61" s="46"/>
      <c r="G61" s="46"/>
      <c r="H61" s="47"/>
      <c r="I61" s="48"/>
      <c r="J61" s="20"/>
      <c r="K61" s="20"/>
      <c r="L61" s="20"/>
      <c r="M61" s="47"/>
      <c r="N61" s="47"/>
      <c r="O61" s="47"/>
      <c r="P61" s="47"/>
      <c r="S61" s="40">
        <f>N60-S60</f>
        <v>-85010.78412502632</v>
      </c>
      <c r="T61" s="40">
        <f>S60-T60</f>
        <v>65305.78000000119</v>
      </c>
      <c r="U61" s="40"/>
      <c r="V61" s="40"/>
    </row>
    <row r="62" spans="1:22" ht="20.25" customHeight="1">
      <c r="A62" s="49" t="s">
        <v>54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>
        <f>O60</f>
        <v>0.8792386097948052</v>
      </c>
      <c r="M62" s="51"/>
      <c r="N62" s="51"/>
      <c r="O62" s="51"/>
      <c r="P62" s="51"/>
      <c r="S62" s="40"/>
      <c r="T62" s="40">
        <v>7504107.35</v>
      </c>
      <c r="U62" s="40"/>
      <c r="V62" s="23"/>
    </row>
    <row r="63" spans="1:17" ht="12.75">
      <c r="A63" s="29"/>
      <c r="B63" s="29"/>
      <c r="C63" s="29"/>
      <c r="D63" s="29"/>
      <c r="E63" s="29"/>
      <c r="F63" s="28"/>
      <c r="G63" s="28"/>
      <c r="H63" s="28"/>
      <c r="I63" s="28"/>
      <c r="J63" s="28"/>
      <c r="K63" s="28"/>
      <c r="L63" s="28"/>
      <c r="M63" s="29"/>
      <c r="N63" s="29"/>
      <c r="O63" s="29"/>
      <c r="P63" s="29"/>
      <c r="Q63" s="29"/>
    </row>
    <row r="64" spans="1:16" ht="38.25" customHeight="1">
      <c r="A64" s="52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N64" s="2"/>
      <c r="O64" s="2"/>
      <c r="P64" s="2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27" customHeight="1">
      <c r="A66" s="53" t="s">
        <v>56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6.5">
      <c r="A68" s="29" t="s">
        <v>57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6.5">
      <c r="A70" s="54" t="s">
        <v>58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6.5">
      <c r="A72" s="54" t="s">
        <v>59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38.25" customHeight="1">
      <c r="A74" s="7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6.5">
      <c r="A76" s="54" t="s">
        <v>61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ht="51">
      <c r="A78" s="9" t="s">
        <v>62</v>
      </c>
      <c r="B78" s="55" t="s">
        <v>63</v>
      </c>
      <c r="C78" s="9" t="s">
        <v>64</v>
      </c>
      <c r="D78" s="9" t="s">
        <v>65</v>
      </c>
      <c r="E78" s="9" t="s">
        <v>48</v>
      </c>
      <c r="F78" s="9" t="s">
        <v>49</v>
      </c>
      <c r="G78" s="54"/>
      <c r="H78" s="54"/>
      <c r="I78" s="54"/>
      <c r="J78" s="54"/>
      <c r="K78" s="54"/>
      <c r="L78" s="54"/>
      <c r="M78" s="54"/>
    </row>
    <row r="79" spans="1:13" ht="16.5">
      <c r="A79" s="56" t="s">
        <v>66</v>
      </c>
      <c r="B79" s="57">
        <f>B60</f>
        <v>1460</v>
      </c>
      <c r="C79" s="58">
        <f>F125</f>
        <v>254.68493150684932</v>
      </c>
      <c r="D79" s="58">
        <f>E125</f>
        <v>371840</v>
      </c>
      <c r="E79" s="59">
        <f>G125</f>
        <v>0.9676621665232358</v>
      </c>
      <c r="F79" s="59">
        <f aca="true" t="shared" si="15" ref="F79:F83">D79*E79</f>
        <v>359815.5</v>
      </c>
      <c r="G79" s="54"/>
      <c r="H79" s="54"/>
      <c r="I79" s="54"/>
      <c r="J79" s="54"/>
      <c r="K79" s="54"/>
      <c r="L79" s="54"/>
      <c r="M79" s="54"/>
    </row>
    <row r="80" spans="1:13" ht="12.75">
      <c r="A80" s="13" t="s">
        <v>12</v>
      </c>
      <c r="B80" s="60">
        <f aca="true" t="shared" si="16" ref="B80:B84">B55</f>
        <v>394</v>
      </c>
      <c r="C80" s="61">
        <f>F125</f>
        <v>254.68493150684932</v>
      </c>
      <c r="D80" s="61">
        <f aca="true" t="shared" si="17" ref="D80:D83">B80*C80</f>
        <v>100345.86301369863</v>
      </c>
      <c r="E80" s="61">
        <f aca="true" t="shared" si="18" ref="E80:E83">E79</f>
        <v>0.9676621665232358</v>
      </c>
      <c r="F80" s="61">
        <f t="shared" si="15"/>
        <v>97100.89520547945</v>
      </c>
      <c r="G80" s="54"/>
      <c r="H80" s="54"/>
      <c r="I80" s="54"/>
      <c r="J80" s="54"/>
      <c r="K80" s="54"/>
      <c r="L80" s="54"/>
      <c r="M80" s="54"/>
    </row>
    <row r="81" spans="1:13" ht="12.75">
      <c r="A81" s="13" t="s">
        <v>13</v>
      </c>
      <c r="B81" s="60">
        <f t="shared" si="16"/>
        <v>382</v>
      </c>
      <c r="C81" s="61">
        <f aca="true" t="shared" si="19" ref="C81:C83">C80</f>
        <v>254.68493150684932</v>
      </c>
      <c r="D81" s="61">
        <f t="shared" si="17"/>
        <v>97289.64383561644</v>
      </c>
      <c r="E81" s="61">
        <f t="shared" si="18"/>
        <v>0.9676621665232358</v>
      </c>
      <c r="F81" s="61">
        <f t="shared" si="15"/>
        <v>94143.50753424657</v>
      </c>
      <c r="G81" s="54"/>
      <c r="H81" s="54"/>
      <c r="I81" s="54"/>
      <c r="J81" s="54"/>
      <c r="K81" s="54"/>
      <c r="L81" s="54"/>
      <c r="M81" s="54"/>
    </row>
    <row r="82" spans="1:13" ht="25.5">
      <c r="A82" s="13" t="s">
        <v>14</v>
      </c>
      <c r="B82" s="60">
        <f t="shared" si="16"/>
        <v>136</v>
      </c>
      <c r="C82" s="61">
        <f t="shared" si="19"/>
        <v>254.68493150684932</v>
      </c>
      <c r="D82" s="61">
        <f t="shared" si="17"/>
        <v>34637.150684931505</v>
      </c>
      <c r="E82" s="61">
        <f t="shared" si="18"/>
        <v>0.9676621665232358</v>
      </c>
      <c r="F82" s="61">
        <f t="shared" si="15"/>
        <v>33517.0602739726</v>
      </c>
      <c r="G82" s="54"/>
      <c r="H82" s="54"/>
      <c r="I82" s="54"/>
      <c r="J82" s="54"/>
      <c r="K82" s="54"/>
      <c r="L82" s="54"/>
      <c r="M82" s="54"/>
    </row>
    <row r="83" spans="1:13" ht="25.5">
      <c r="A83" s="13" t="s">
        <v>15</v>
      </c>
      <c r="B83" s="60">
        <f t="shared" si="16"/>
        <v>548</v>
      </c>
      <c r="C83" s="61">
        <f t="shared" si="19"/>
        <v>254.68493150684932</v>
      </c>
      <c r="D83" s="61">
        <f t="shared" si="17"/>
        <v>139567.34246575343</v>
      </c>
      <c r="E83" s="61">
        <f t="shared" si="18"/>
        <v>0.9676621665232358</v>
      </c>
      <c r="F83" s="61">
        <f t="shared" si="15"/>
        <v>135054.03698630136</v>
      </c>
      <c r="G83" s="54"/>
      <c r="H83" s="54"/>
      <c r="I83" s="54"/>
      <c r="J83" s="54"/>
      <c r="K83" s="54"/>
      <c r="L83" s="54"/>
      <c r="M83" s="54"/>
    </row>
    <row r="84" spans="1:13" ht="25.5">
      <c r="A84" s="13" t="s">
        <v>16</v>
      </c>
      <c r="B84" s="60">
        <f t="shared" si="16"/>
        <v>0</v>
      </c>
      <c r="C84" s="61">
        <v>0</v>
      </c>
      <c r="D84" s="61">
        <v>0</v>
      </c>
      <c r="E84" s="61">
        <v>0</v>
      </c>
      <c r="F84" s="61">
        <v>0</v>
      </c>
      <c r="G84" s="54"/>
      <c r="H84" s="54"/>
      <c r="I84" s="54"/>
      <c r="J84" s="54"/>
      <c r="K84" s="54"/>
      <c r="L84" s="54"/>
      <c r="M84" s="54"/>
    </row>
    <row r="85" spans="1:13" ht="16.5">
      <c r="A85" s="62" t="s">
        <v>67</v>
      </c>
      <c r="B85" s="57">
        <f aca="true" t="shared" si="20" ref="B85:B89">B79</f>
        <v>1460</v>
      </c>
      <c r="C85" s="59">
        <f>F140</f>
        <v>675.8657534246576</v>
      </c>
      <c r="D85" s="59">
        <f>E140</f>
        <v>986764</v>
      </c>
      <c r="E85" s="59">
        <f>G140</f>
        <v>0.9056395450178564</v>
      </c>
      <c r="F85" s="59">
        <f aca="true" t="shared" si="21" ref="F85:F89">D85*E85</f>
        <v>893652.5</v>
      </c>
      <c r="G85" s="54"/>
      <c r="H85" s="54"/>
      <c r="I85" s="54"/>
      <c r="J85" s="54"/>
      <c r="K85" s="54"/>
      <c r="L85" s="54"/>
      <c r="M85" s="54"/>
    </row>
    <row r="86" spans="1:13" ht="12.75">
      <c r="A86" s="13" t="s">
        <v>12</v>
      </c>
      <c r="B86" s="60">
        <f t="shared" si="20"/>
        <v>394</v>
      </c>
      <c r="C86" s="61">
        <f aca="true" t="shared" si="22" ref="C86:C89">C85</f>
        <v>675.8657534246576</v>
      </c>
      <c r="D86" s="61">
        <f aca="true" t="shared" si="23" ref="D86:D89">B86*C86</f>
        <v>266291.10684931505</v>
      </c>
      <c r="E86" s="61">
        <f aca="true" t="shared" si="24" ref="E86:E89">E85</f>
        <v>0.9056395450178564</v>
      </c>
      <c r="F86" s="61">
        <f t="shared" si="21"/>
        <v>241163.75684931505</v>
      </c>
      <c r="G86" s="54"/>
      <c r="H86" s="54"/>
      <c r="I86" s="54"/>
      <c r="J86" s="54"/>
      <c r="K86" s="54"/>
      <c r="L86" s="54"/>
      <c r="M86" s="54"/>
    </row>
    <row r="87" spans="1:13" ht="12.75">
      <c r="A87" s="13" t="s">
        <v>13</v>
      </c>
      <c r="B87" s="60">
        <f t="shared" si="20"/>
        <v>382</v>
      </c>
      <c r="C87" s="61">
        <f t="shared" si="22"/>
        <v>675.8657534246576</v>
      </c>
      <c r="D87" s="61">
        <f t="shared" si="23"/>
        <v>258180.7178082192</v>
      </c>
      <c r="E87" s="61">
        <f t="shared" si="24"/>
        <v>0.9056395450178564</v>
      </c>
      <c r="F87" s="61">
        <f t="shared" si="21"/>
        <v>233818.6678082192</v>
      </c>
      <c r="G87" s="54"/>
      <c r="H87" s="54"/>
      <c r="I87" s="54"/>
      <c r="J87" s="54"/>
      <c r="K87" s="54"/>
      <c r="L87" s="54"/>
      <c r="M87" s="54"/>
    </row>
    <row r="88" spans="1:13" ht="25.5">
      <c r="A88" s="13" t="s">
        <v>14</v>
      </c>
      <c r="B88" s="60">
        <f t="shared" si="20"/>
        <v>136</v>
      </c>
      <c r="C88" s="61">
        <f t="shared" si="22"/>
        <v>675.8657534246576</v>
      </c>
      <c r="D88" s="61">
        <f t="shared" si="23"/>
        <v>91917.74246575343</v>
      </c>
      <c r="E88" s="61">
        <f t="shared" si="24"/>
        <v>0.9056395450178564</v>
      </c>
      <c r="F88" s="61">
        <f t="shared" si="21"/>
        <v>83244.34246575343</v>
      </c>
      <c r="G88" s="54"/>
      <c r="H88" s="54"/>
      <c r="I88" s="54"/>
      <c r="J88" s="54"/>
      <c r="K88" s="54"/>
      <c r="L88" s="54"/>
      <c r="M88" s="54"/>
    </row>
    <row r="89" spans="1:13" ht="25.5">
      <c r="A89" s="13" t="s">
        <v>15</v>
      </c>
      <c r="B89" s="60">
        <f t="shared" si="20"/>
        <v>548</v>
      </c>
      <c r="C89" s="61">
        <f t="shared" si="22"/>
        <v>675.8657534246576</v>
      </c>
      <c r="D89" s="61">
        <f t="shared" si="23"/>
        <v>370374.43287671235</v>
      </c>
      <c r="E89" s="61">
        <f t="shared" si="24"/>
        <v>0.9056395450178564</v>
      </c>
      <c r="F89" s="61">
        <f t="shared" si="21"/>
        <v>335425.73287671234</v>
      </c>
      <c r="G89" s="54"/>
      <c r="H89" s="54"/>
      <c r="I89" s="54"/>
      <c r="J89" s="54"/>
      <c r="K89" s="54"/>
      <c r="L89" s="54"/>
      <c r="M89" s="54"/>
    </row>
    <row r="90" spans="1:13" ht="25.5">
      <c r="A90" s="13" t="s">
        <v>16</v>
      </c>
      <c r="B90" s="60">
        <v>0</v>
      </c>
      <c r="C90" s="61">
        <v>0</v>
      </c>
      <c r="D90" s="61">
        <v>0</v>
      </c>
      <c r="E90" s="61">
        <v>0</v>
      </c>
      <c r="F90" s="61">
        <v>0</v>
      </c>
      <c r="G90" s="54"/>
      <c r="H90" s="54"/>
      <c r="I90" s="54"/>
      <c r="J90" s="54"/>
      <c r="K90" s="54"/>
      <c r="L90" s="54"/>
      <c r="M90" s="54"/>
    </row>
    <row r="91" spans="1:13" ht="15.75">
      <c r="A91" s="63" t="s">
        <v>68</v>
      </c>
      <c r="B91" s="57">
        <f>B60</f>
        <v>1460</v>
      </c>
      <c r="C91" s="59">
        <f>F150</f>
        <v>23.785616438356165</v>
      </c>
      <c r="D91" s="59">
        <f aca="true" t="shared" si="25" ref="D91:D95">B91*C91</f>
        <v>34727</v>
      </c>
      <c r="E91" s="59">
        <f>G150</f>
        <v>0.9094364615428917</v>
      </c>
      <c r="F91" s="59">
        <f aca="true" t="shared" si="26" ref="F91:F95">D91*E91</f>
        <v>31582</v>
      </c>
      <c r="G91" s="54"/>
      <c r="H91" s="54"/>
      <c r="I91" s="54"/>
      <c r="J91" s="54"/>
      <c r="K91" s="54"/>
      <c r="L91" s="54"/>
      <c r="M91" s="54"/>
    </row>
    <row r="92" spans="1:13" ht="12.75">
      <c r="A92" s="13" t="s">
        <v>12</v>
      </c>
      <c r="B92" s="60">
        <f aca="true" t="shared" si="27" ref="B92:B95">B86</f>
        <v>394</v>
      </c>
      <c r="C92" s="61">
        <f aca="true" t="shared" si="28" ref="C92:C95">C91</f>
        <v>23.785616438356165</v>
      </c>
      <c r="D92" s="61">
        <f t="shared" si="25"/>
        <v>9371.532876712328</v>
      </c>
      <c r="E92" s="61">
        <f aca="true" t="shared" si="29" ref="E92:E95">E91</f>
        <v>0.9094364615428917</v>
      </c>
      <c r="F92" s="61">
        <f t="shared" si="26"/>
        <v>8522.813698630136</v>
      </c>
      <c r="G92" s="54"/>
      <c r="H92" s="54"/>
      <c r="I92" s="54"/>
      <c r="J92" s="54"/>
      <c r="K92" s="54"/>
      <c r="L92" s="54"/>
      <c r="M92" s="54"/>
    </row>
    <row r="93" spans="1:13" ht="12.75">
      <c r="A93" s="13" t="s">
        <v>13</v>
      </c>
      <c r="B93" s="60">
        <f t="shared" si="27"/>
        <v>382</v>
      </c>
      <c r="C93" s="61">
        <f t="shared" si="28"/>
        <v>23.785616438356165</v>
      </c>
      <c r="D93" s="61">
        <f t="shared" si="25"/>
        <v>9086.105479452055</v>
      </c>
      <c r="E93" s="61">
        <f t="shared" si="29"/>
        <v>0.9094364615428917</v>
      </c>
      <c r="F93" s="61">
        <f t="shared" si="26"/>
        <v>8263.235616438356</v>
      </c>
      <c r="G93" s="54"/>
      <c r="H93" s="54"/>
      <c r="I93" s="54"/>
      <c r="J93" s="54"/>
      <c r="K93" s="54"/>
      <c r="L93" s="54"/>
      <c r="M93" s="54"/>
    </row>
    <row r="94" spans="1:13" ht="25.5">
      <c r="A94" s="13" t="s">
        <v>14</v>
      </c>
      <c r="B94" s="60">
        <f t="shared" si="27"/>
        <v>136</v>
      </c>
      <c r="C94" s="61">
        <f t="shared" si="28"/>
        <v>23.785616438356165</v>
      </c>
      <c r="D94" s="61">
        <f t="shared" si="25"/>
        <v>3234.8438356164384</v>
      </c>
      <c r="E94" s="61">
        <f t="shared" si="29"/>
        <v>0.9094364615428917</v>
      </c>
      <c r="F94" s="61">
        <f t="shared" si="26"/>
        <v>2941.884931506849</v>
      </c>
      <c r="G94" s="54"/>
      <c r="H94" s="54"/>
      <c r="I94" s="54"/>
      <c r="J94" s="54"/>
      <c r="K94" s="54"/>
      <c r="L94" s="54"/>
      <c r="M94" s="54"/>
    </row>
    <row r="95" spans="1:13" ht="25.5">
      <c r="A95" s="13" t="s">
        <v>15</v>
      </c>
      <c r="B95" s="60">
        <f t="shared" si="27"/>
        <v>548</v>
      </c>
      <c r="C95" s="61">
        <f t="shared" si="28"/>
        <v>23.785616438356165</v>
      </c>
      <c r="D95" s="61">
        <f t="shared" si="25"/>
        <v>13034.517808219178</v>
      </c>
      <c r="E95" s="61">
        <f t="shared" si="29"/>
        <v>0.9094364615428917</v>
      </c>
      <c r="F95" s="61">
        <f t="shared" si="26"/>
        <v>11854.065753424657</v>
      </c>
      <c r="G95" s="54"/>
      <c r="H95" s="54"/>
      <c r="I95" s="54"/>
      <c r="J95" s="54"/>
      <c r="K95" s="54"/>
      <c r="L95" s="54"/>
      <c r="M95" s="54"/>
    </row>
    <row r="96" spans="1:13" ht="25.5">
      <c r="A96" s="13" t="s">
        <v>16</v>
      </c>
      <c r="B96" s="60">
        <v>0</v>
      </c>
      <c r="C96" s="61">
        <v>0</v>
      </c>
      <c r="D96" s="61">
        <v>0</v>
      </c>
      <c r="E96" s="61">
        <v>0</v>
      </c>
      <c r="F96" s="61">
        <v>0</v>
      </c>
      <c r="G96" s="54"/>
      <c r="H96" s="54"/>
      <c r="I96" s="54"/>
      <c r="J96" s="54"/>
      <c r="K96" s="54"/>
      <c r="L96" s="54"/>
      <c r="M96" s="54"/>
    </row>
    <row r="97" spans="1:13" ht="18" customHeight="1">
      <c r="A97" s="64" t="s">
        <v>69</v>
      </c>
      <c r="B97" s="65">
        <f>B60</f>
        <v>1460</v>
      </c>
      <c r="C97" s="66">
        <f>D97/B97</f>
        <v>2551.4964246575346</v>
      </c>
      <c r="D97" s="66">
        <f>D98+D99+D100+D101</f>
        <v>3725184.7800000007</v>
      </c>
      <c r="E97" s="66">
        <f>F185</f>
        <v>1</v>
      </c>
      <c r="F97" s="66">
        <f aca="true" t="shared" si="30" ref="F97:F101">D97*E97</f>
        <v>3725184.7800000007</v>
      </c>
      <c r="G97" s="67"/>
      <c r="H97" s="67"/>
      <c r="I97" s="67"/>
      <c r="J97" s="67"/>
      <c r="K97" s="67"/>
      <c r="L97" s="67"/>
      <c r="M97" s="67"/>
    </row>
    <row r="98" spans="1:13" ht="12.75">
      <c r="A98" s="13" t="s">
        <v>12</v>
      </c>
      <c r="B98" s="60">
        <f aca="true" t="shared" si="31" ref="B98:B101">B92</f>
        <v>394</v>
      </c>
      <c r="C98" s="61">
        <f aca="true" t="shared" si="32" ref="C98:C101">D180</f>
        <v>3388.133368966306</v>
      </c>
      <c r="D98" s="61">
        <f aca="true" t="shared" si="33" ref="D98:D101">B98*C98</f>
        <v>1334924.5473727246</v>
      </c>
      <c r="E98" s="61">
        <f aca="true" t="shared" si="34" ref="E98:E101">F180</f>
        <v>1</v>
      </c>
      <c r="F98" s="61">
        <f t="shared" si="30"/>
        <v>1334924.5473727246</v>
      </c>
      <c r="G98" s="54"/>
      <c r="H98" s="54"/>
      <c r="I98" s="54"/>
      <c r="J98" s="54"/>
      <c r="K98" s="54"/>
      <c r="L98" s="54"/>
      <c r="M98" s="54"/>
    </row>
    <row r="99" spans="1:13" ht="12.75">
      <c r="A99" s="13" t="s">
        <v>13</v>
      </c>
      <c r="B99" s="60">
        <f t="shared" si="31"/>
        <v>382</v>
      </c>
      <c r="C99" s="61">
        <f t="shared" si="32"/>
        <v>1795.8882948222417</v>
      </c>
      <c r="D99" s="61">
        <f t="shared" si="33"/>
        <v>686029.3286220963</v>
      </c>
      <c r="E99" s="61">
        <f t="shared" si="34"/>
        <v>1</v>
      </c>
      <c r="F99" s="61">
        <f t="shared" si="30"/>
        <v>686029.3286220963</v>
      </c>
      <c r="G99" s="54"/>
      <c r="H99" s="54"/>
      <c r="I99" s="54"/>
      <c r="J99" s="54"/>
      <c r="K99" s="54"/>
      <c r="L99" s="54"/>
      <c r="M99" s="54"/>
    </row>
    <row r="100" spans="1:13" ht="25.5">
      <c r="A100" s="13" t="s">
        <v>14</v>
      </c>
      <c r="B100" s="60">
        <f t="shared" si="31"/>
        <v>136</v>
      </c>
      <c r="C100" s="61">
        <f t="shared" si="32"/>
        <v>3130.619341456128</v>
      </c>
      <c r="D100" s="61">
        <f t="shared" si="33"/>
        <v>425764.2304380334</v>
      </c>
      <c r="E100" s="61">
        <f t="shared" si="34"/>
        <v>1</v>
      </c>
      <c r="F100" s="61">
        <f t="shared" si="30"/>
        <v>425764.2304380334</v>
      </c>
      <c r="G100" s="54"/>
      <c r="H100" s="54"/>
      <c r="I100" s="54"/>
      <c r="J100" s="54"/>
      <c r="K100" s="54"/>
      <c r="L100" s="54"/>
      <c r="M100" s="54"/>
    </row>
    <row r="101" spans="1:13" ht="25.5">
      <c r="A101" s="13" t="s">
        <v>15</v>
      </c>
      <c r="B101" s="60">
        <f t="shared" si="31"/>
        <v>548</v>
      </c>
      <c r="C101" s="61">
        <f t="shared" si="32"/>
        <v>2332.9683824217996</v>
      </c>
      <c r="D101" s="61">
        <f t="shared" si="33"/>
        <v>1278466.673567146</v>
      </c>
      <c r="E101" s="61">
        <f t="shared" si="34"/>
        <v>1</v>
      </c>
      <c r="F101" s="61">
        <f t="shared" si="30"/>
        <v>1278466.673567146</v>
      </c>
      <c r="G101" s="54"/>
      <c r="H101" s="54"/>
      <c r="I101" s="54"/>
      <c r="J101" s="54"/>
      <c r="K101" s="54"/>
      <c r="L101" s="54"/>
      <c r="M101" s="54"/>
    </row>
    <row r="102" spans="1:13" ht="25.5">
      <c r="A102" s="13" t="s">
        <v>16</v>
      </c>
      <c r="B102" s="60">
        <v>0</v>
      </c>
      <c r="C102" s="61">
        <v>0</v>
      </c>
      <c r="D102" s="61">
        <v>0</v>
      </c>
      <c r="E102" s="61">
        <v>0</v>
      </c>
      <c r="F102" s="61">
        <v>0</v>
      </c>
      <c r="G102" s="54"/>
      <c r="H102" s="54"/>
      <c r="I102" s="54"/>
      <c r="J102" s="54"/>
      <c r="K102" s="54"/>
      <c r="L102" s="54"/>
      <c r="M102" s="54"/>
    </row>
    <row r="103" spans="1:13" ht="16.5">
      <c r="A103" s="63" t="s">
        <v>70</v>
      </c>
      <c r="B103" s="65">
        <f>B60</f>
        <v>1460</v>
      </c>
      <c r="C103" s="68">
        <f>C194</f>
        <v>182.63630136986302</v>
      </c>
      <c r="D103" s="69">
        <f aca="true" t="shared" si="35" ref="D103:D107">B103*C103</f>
        <v>266649</v>
      </c>
      <c r="E103" s="59">
        <f>D194</f>
        <v>0.9092102351780805</v>
      </c>
      <c r="F103" s="59">
        <f aca="true" t="shared" si="36" ref="F103:F107">D103*E103</f>
        <v>242440</v>
      </c>
      <c r="G103" s="54"/>
      <c r="H103" s="54"/>
      <c r="I103" s="54"/>
      <c r="J103" s="54"/>
      <c r="K103" s="54"/>
      <c r="L103" s="54"/>
      <c r="M103" s="54"/>
    </row>
    <row r="104" spans="1:13" ht="12.75">
      <c r="A104" s="13" t="s">
        <v>12</v>
      </c>
      <c r="B104" s="60">
        <f aca="true" t="shared" si="37" ref="B104:B107">B98</f>
        <v>394</v>
      </c>
      <c r="C104" s="61">
        <f aca="true" t="shared" si="38" ref="C104:C107">C103</f>
        <v>182.63630136986302</v>
      </c>
      <c r="D104" s="61">
        <f t="shared" si="35"/>
        <v>71958.70273972602</v>
      </c>
      <c r="E104" s="61">
        <f aca="true" t="shared" si="39" ref="E104:E107">E103</f>
        <v>0.9092102351780805</v>
      </c>
      <c r="F104" s="61">
        <f t="shared" si="36"/>
        <v>65425.58904109589</v>
      </c>
      <c r="G104" s="54"/>
      <c r="H104" s="54"/>
      <c r="I104" s="54"/>
      <c r="J104" s="54"/>
      <c r="K104" s="54"/>
      <c r="L104" s="54"/>
      <c r="M104" s="54"/>
    </row>
    <row r="105" spans="1:13" ht="12.75">
      <c r="A105" s="13" t="s">
        <v>13</v>
      </c>
      <c r="B105" s="60">
        <f t="shared" si="37"/>
        <v>382</v>
      </c>
      <c r="C105" s="61">
        <f t="shared" si="38"/>
        <v>182.63630136986302</v>
      </c>
      <c r="D105" s="61">
        <f t="shared" si="35"/>
        <v>69767.06712328768</v>
      </c>
      <c r="E105" s="61">
        <f t="shared" si="39"/>
        <v>0.9092102351780805</v>
      </c>
      <c r="F105" s="61">
        <f t="shared" si="36"/>
        <v>63432.931506849316</v>
      </c>
      <c r="G105" s="54"/>
      <c r="H105" s="54"/>
      <c r="I105" s="54"/>
      <c r="J105" s="54"/>
      <c r="K105" s="54"/>
      <c r="L105" s="54"/>
      <c r="M105" s="54"/>
    </row>
    <row r="106" spans="1:13" ht="25.5">
      <c r="A106" s="13" t="s">
        <v>14</v>
      </c>
      <c r="B106" s="60">
        <f t="shared" si="37"/>
        <v>136</v>
      </c>
      <c r="C106" s="61">
        <f t="shared" si="38"/>
        <v>182.63630136986302</v>
      </c>
      <c r="D106" s="61">
        <f t="shared" si="35"/>
        <v>24838.53698630137</v>
      </c>
      <c r="E106" s="61">
        <f t="shared" si="39"/>
        <v>0.9092102351780805</v>
      </c>
      <c r="F106" s="61">
        <f t="shared" si="36"/>
        <v>22583.45205479452</v>
      </c>
      <c r="G106" s="54"/>
      <c r="H106" s="54"/>
      <c r="I106" s="54"/>
      <c r="J106" s="54"/>
      <c r="K106" s="54"/>
      <c r="L106" s="54"/>
      <c r="M106" s="54"/>
    </row>
    <row r="107" spans="1:13" ht="25.5">
      <c r="A107" s="13" t="s">
        <v>15</v>
      </c>
      <c r="B107" s="60">
        <f t="shared" si="37"/>
        <v>548</v>
      </c>
      <c r="C107" s="61">
        <f t="shared" si="38"/>
        <v>182.63630136986302</v>
      </c>
      <c r="D107" s="61">
        <f t="shared" si="35"/>
        <v>100084.69315068494</v>
      </c>
      <c r="E107" s="61">
        <f t="shared" si="39"/>
        <v>0.9092102351780805</v>
      </c>
      <c r="F107" s="61">
        <f t="shared" si="36"/>
        <v>90998.02739726027</v>
      </c>
      <c r="G107" s="54"/>
      <c r="H107" s="54"/>
      <c r="I107" s="54"/>
      <c r="J107" s="54"/>
      <c r="K107" s="54"/>
      <c r="L107" s="54"/>
      <c r="M107" s="54"/>
    </row>
    <row r="108" spans="1:13" ht="25.5">
      <c r="A108" s="13" t="s">
        <v>16</v>
      </c>
      <c r="B108" s="60">
        <v>0</v>
      </c>
      <c r="C108" s="61">
        <v>0</v>
      </c>
      <c r="D108" s="61">
        <v>0</v>
      </c>
      <c r="E108" s="61">
        <v>0</v>
      </c>
      <c r="F108" s="61">
        <v>0</v>
      </c>
      <c r="G108" s="54"/>
      <c r="H108" s="54"/>
      <c r="I108" s="54"/>
      <c r="J108" s="54"/>
      <c r="K108" s="54"/>
      <c r="L108" s="54"/>
      <c r="M108" s="54"/>
    </row>
    <row r="109" spans="1:13" ht="15.75">
      <c r="A109" s="70" t="s">
        <v>71</v>
      </c>
      <c r="B109" s="71">
        <f>B60</f>
        <v>1460</v>
      </c>
      <c r="C109" s="72">
        <f aca="true" t="shared" si="40" ref="C109:C113">D109/B109</f>
        <v>3688.469027397261</v>
      </c>
      <c r="D109" s="72">
        <f>D110+D111+D112+D113</f>
        <v>5385164.780000001</v>
      </c>
      <c r="E109" s="72">
        <f aca="true" t="shared" si="41" ref="E109:E113">F109/D109</f>
        <v>0.9753972245209551</v>
      </c>
      <c r="F109" s="72">
        <f>F79+F85+F91+F103+F97</f>
        <v>5252674.780000001</v>
      </c>
      <c r="G109" s="73">
        <f>F79+F85+F91+F97+F103</f>
        <v>5252674.780000001</v>
      </c>
      <c r="H109" s="54"/>
      <c r="I109" s="54"/>
      <c r="J109" s="54"/>
      <c r="K109" s="54"/>
      <c r="L109" s="54"/>
      <c r="M109" s="54"/>
    </row>
    <row r="110" spans="1:13" ht="13.5">
      <c r="A110" s="74" t="s">
        <v>12</v>
      </c>
      <c r="B110" s="75">
        <f aca="true" t="shared" si="42" ref="B110:B114">B104</f>
        <v>394</v>
      </c>
      <c r="C110" s="76">
        <f t="shared" si="40"/>
        <v>4525.1059717060325</v>
      </c>
      <c r="D110" s="76">
        <f aca="true" t="shared" si="43" ref="D110:D114">D80+D86+D92+D98+D104</f>
        <v>1782891.7528521768</v>
      </c>
      <c r="E110" s="76">
        <f t="shared" si="41"/>
        <v>0.979945977859994</v>
      </c>
      <c r="F110" s="76">
        <f aca="true" t="shared" si="44" ref="F110:F114">F80+F86+F92+F98+F104</f>
        <v>1747137.6021672452</v>
      </c>
      <c r="G110" s="54"/>
      <c r="H110" s="54"/>
      <c r="I110" s="54"/>
      <c r="J110" s="54"/>
      <c r="K110" s="54"/>
      <c r="L110" s="54"/>
      <c r="M110" s="54"/>
    </row>
    <row r="111" spans="1:13" ht="13.5">
      <c r="A111" s="74" t="s">
        <v>13</v>
      </c>
      <c r="B111" s="75">
        <f t="shared" si="42"/>
        <v>382</v>
      </c>
      <c r="C111" s="76">
        <f t="shared" si="40"/>
        <v>2932.8608975619672</v>
      </c>
      <c r="D111" s="76">
        <f t="shared" si="43"/>
        <v>1120352.8628686715</v>
      </c>
      <c r="E111" s="76">
        <f t="shared" si="41"/>
        <v>0.9690586841612908</v>
      </c>
      <c r="F111" s="76">
        <f t="shared" si="44"/>
        <v>1085687.67108785</v>
      </c>
      <c r="G111" s="73"/>
      <c r="H111" s="54"/>
      <c r="I111" s="54"/>
      <c r="J111" s="54"/>
      <c r="K111" s="54"/>
      <c r="L111" s="54"/>
      <c r="M111" s="54"/>
    </row>
    <row r="112" spans="1:13" ht="25.5">
      <c r="A112" s="74" t="s">
        <v>14</v>
      </c>
      <c r="B112" s="75">
        <f t="shared" si="42"/>
        <v>136</v>
      </c>
      <c r="C112" s="76">
        <f t="shared" si="40"/>
        <v>4267.591944195854</v>
      </c>
      <c r="D112" s="76">
        <f t="shared" si="43"/>
        <v>580392.5044106361</v>
      </c>
      <c r="E112" s="76">
        <f t="shared" si="41"/>
        <v>0.978735882781416</v>
      </c>
      <c r="F112" s="76">
        <f t="shared" si="44"/>
        <v>568050.9701640608</v>
      </c>
      <c r="G112" s="54"/>
      <c r="H112" s="54"/>
      <c r="I112" s="54"/>
      <c r="J112" s="54"/>
      <c r="K112" s="54"/>
      <c r="L112" s="54"/>
      <c r="M112" s="54"/>
    </row>
    <row r="113" spans="1:13" ht="25.5">
      <c r="A113" s="74" t="s">
        <v>15</v>
      </c>
      <c r="B113" s="75">
        <f t="shared" si="42"/>
        <v>548</v>
      </c>
      <c r="C113" s="76">
        <f t="shared" si="40"/>
        <v>3469.9409851615255</v>
      </c>
      <c r="D113" s="76">
        <f t="shared" si="43"/>
        <v>1901527.659868516</v>
      </c>
      <c r="E113" s="76">
        <f t="shared" si="41"/>
        <v>0.9738478044063215</v>
      </c>
      <c r="F113" s="76">
        <f t="shared" si="44"/>
        <v>1851798.5365808448</v>
      </c>
      <c r="G113" s="54"/>
      <c r="H113" s="54"/>
      <c r="I113" s="54"/>
      <c r="J113" s="54"/>
      <c r="K113" s="54"/>
      <c r="L113" s="54"/>
      <c r="M113" s="54"/>
    </row>
    <row r="114" spans="1:13" ht="25.5">
      <c r="A114" s="74" t="s">
        <v>16</v>
      </c>
      <c r="B114" s="75">
        <f t="shared" si="42"/>
        <v>0</v>
      </c>
      <c r="C114" s="76">
        <v>0</v>
      </c>
      <c r="D114" s="76">
        <f t="shared" si="43"/>
        <v>0</v>
      </c>
      <c r="E114" s="76">
        <v>0</v>
      </c>
      <c r="F114" s="76">
        <f t="shared" si="44"/>
        <v>0</v>
      </c>
      <c r="G114" s="73"/>
      <c r="H114" s="54"/>
      <c r="I114" s="54"/>
      <c r="J114" s="54"/>
      <c r="K114" s="54"/>
      <c r="L114" s="54"/>
      <c r="M114" s="54"/>
    </row>
    <row r="115" spans="1:13" ht="12.75">
      <c r="A115" s="77"/>
      <c r="B115" s="78"/>
      <c r="C115" s="79"/>
      <c r="D115" s="79"/>
      <c r="E115" s="79"/>
      <c r="F115" s="79"/>
      <c r="G115" s="54"/>
      <c r="H115" s="54"/>
      <c r="I115" s="54"/>
      <c r="J115" s="54"/>
      <c r="K115" s="54"/>
      <c r="L115" s="54"/>
      <c r="M115" s="54"/>
    </row>
    <row r="116" spans="1:13" ht="27.75" customHeight="1">
      <c r="A116" s="49" t="s">
        <v>72</v>
      </c>
      <c r="B116" s="49"/>
      <c r="C116" s="49"/>
      <c r="D116" s="49"/>
      <c r="E116" s="49"/>
      <c r="F116" s="80">
        <f>E109</f>
        <v>0.9753972245209551</v>
      </c>
      <c r="G116" s="51"/>
      <c r="H116" s="54"/>
      <c r="I116" s="54"/>
      <c r="J116" s="54"/>
      <c r="K116" s="54"/>
      <c r="L116" s="54"/>
      <c r="M116" s="54"/>
    </row>
    <row r="117" spans="1:1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7" ht="16.5">
      <c r="A118" s="29" t="s">
        <v>73</v>
      </c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51">
      <c r="A120" s="9" t="s">
        <v>74</v>
      </c>
      <c r="B120" s="9" t="s">
        <v>75</v>
      </c>
      <c r="C120" s="9" t="s">
        <v>76</v>
      </c>
      <c r="D120" s="9" t="s">
        <v>77</v>
      </c>
      <c r="E120" s="9" t="s">
        <v>78</v>
      </c>
      <c r="F120" s="9" t="s">
        <v>64</v>
      </c>
      <c r="G120" s="9" t="s">
        <v>48</v>
      </c>
    </row>
    <row r="121" spans="1:7" ht="12.75">
      <c r="A121" s="81" t="s">
        <v>79</v>
      </c>
      <c r="B121" s="82" t="s">
        <v>80</v>
      </c>
      <c r="C121" s="59">
        <f>70.5/2</f>
        <v>35.25</v>
      </c>
      <c r="D121" s="59">
        <f aca="true" t="shared" si="45" ref="D121:D124">E121/C121</f>
        <v>1858.723404255319</v>
      </c>
      <c r="E121" s="59">
        <f>131040/2</f>
        <v>65520</v>
      </c>
      <c r="F121" s="59">
        <f aca="true" t="shared" si="46" ref="F121:F124">E121/$B$60</f>
        <v>44.87671232876713</v>
      </c>
      <c r="G121" s="59">
        <f>(106991/2/E121)</f>
        <v>0.8164758852258852</v>
      </c>
    </row>
    <row r="122" spans="1:7" ht="12.75">
      <c r="A122" s="81" t="s">
        <v>81</v>
      </c>
      <c r="B122" s="82" t="s">
        <v>82</v>
      </c>
      <c r="C122" s="59">
        <f>23000/2</f>
        <v>11500</v>
      </c>
      <c r="D122" s="59">
        <f t="shared" si="45"/>
        <v>0</v>
      </c>
      <c r="E122" s="59">
        <v>0</v>
      </c>
      <c r="F122" s="59">
        <f t="shared" si="46"/>
        <v>0</v>
      </c>
      <c r="G122" s="59" t="e">
        <f>(0/2/E122)</f>
        <v>#DIV/0!</v>
      </c>
    </row>
    <row r="123" spans="1:7" ht="12.75">
      <c r="A123" s="81" t="s">
        <v>83</v>
      </c>
      <c r="B123" s="82" t="s">
        <v>84</v>
      </c>
      <c r="C123" s="59">
        <f>14000*90%</f>
        <v>12600</v>
      </c>
      <c r="D123" s="59">
        <f t="shared" si="45"/>
        <v>18.56</v>
      </c>
      <c r="E123" s="59">
        <f>259840*90%</f>
        <v>233856</v>
      </c>
      <c r="F123" s="59">
        <f t="shared" si="46"/>
        <v>160.17534246575343</v>
      </c>
      <c r="G123" s="59">
        <f>(259840*90%/E123)</f>
        <v>1</v>
      </c>
    </row>
    <row r="124" spans="1:7" ht="12.75">
      <c r="A124" s="81" t="s">
        <v>85</v>
      </c>
      <c r="B124" s="82" t="s">
        <v>82</v>
      </c>
      <c r="C124" s="59">
        <f>600+225</f>
        <v>825</v>
      </c>
      <c r="D124" s="59">
        <f t="shared" si="45"/>
        <v>87.83515151515151</v>
      </c>
      <c r="E124" s="59">
        <v>72464</v>
      </c>
      <c r="F124" s="59">
        <f t="shared" si="46"/>
        <v>49.632876712328766</v>
      </c>
      <c r="G124" s="59">
        <f>(72464/E124)</f>
        <v>1</v>
      </c>
    </row>
    <row r="125" spans="1:7" ht="12.75">
      <c r="A125" s="83" t="s">
        <v>17</v>
      </c>
      <c r="B125" s="84"/>
      <c r="C125" s="59"/>
      <c r="D125" s="59"/>
      <c r="E125" s="59">
        <f>E121+E122+E123+E124</f>
        <v>371840</v>
      </c>
      <c r="F125" s="59">
        <f>F121+F122+F123+F124</f>
        <v>254.68493150684932</v>
      </c>
      <c r="G125" s="59">
        <f>(106991/2+259840*90%+72464)/E125</f>
        <v>0.9676621665232358</v>
      </c>
    </row>
    <row r="126" spans="1:7" ht="12.75">
      <c r="A126" s="29"/>
      <c r="B126" s="29"/>
      <c r="C126" s="29"/>
      <c r="D126" s="29"/>
      <c r="E126" s="29"/>
      <c r="F126" s="29"/>
      <c r="G126" s="29"/>
    </row>
    <row r="127" spans="1:9" ht="27.75" customHeight="1">
      <c r="A127" s="49" t="s">
        <v>86</v>
      </c>
      <c r="B127" s="49"/>
      <c r="C127" s="49"/>
      <c r="D127" s="49"/>
      <c r="E127" s="49"/>
      <c r="F127" s="49"/>
      <c r="G127" s="50">
        <f>G125</f>
        <v>0.9676621665232358</v>
      </c>
      <c r="I127" s="2"/>
    </row>
    <row r="128" spans="1:7" ht="12.75">
      <c r="A128" s="29"/>
      <c r="B128" s="29"/>
      <c r="C128" s="29"/>
      <c r="D128" s="29"/>
      <c r="E128" s="29"/>
      <c r="F128" s="29"/>
      <c r="G128" s="29"/>
    </row>
    <row r="129" spans="1:7" ht="15.75">
      <c r="A129" s="29" t="s">
        <v>87</v>
      </c>
      <c r="B129" s="29"/>
      <c r="C129" s="29"/>
      <c r="D129" s="29"/>
      <c r="E129" s="29"/>
      <c r="F129" s="29"/>
      <c r="G129" s="29"/>
    </row>
    <row r="130" spans="1:7" ht="12.75">
      <c r="A130" s="29"/>
      <c r="B130" s="29"/>
      <c r="C130" s="29"/>
      <c r="D130" s="29"/>
      <c r="E130" s="29"/>
      <c r="F130" s="29"/>
      <c r="G130" s="29"/>
    </row>
    <row r="131" spans="1:7" ht="51">
      <c r="A131" s="9" t="s">
        <v>74</v>
      </c>
      <c r="B131" s="9" t="s">
        <v>75</v>
      </c>
      <c r="C131" s="9" t="s">
        <v>88</v>
      </c>
      <c r="D131" s="9" t="s">
        <v>89</v>
      </c>
      <c r="E131" s="9" t="s">
        <v>78</v>
      </c>
      <c r="F131" s="9" t="s">
        <v>64</v>
      </c>
      <c r="G131" s="9" t="s">
        <v>48</v>
      </c>
    </row>
    <row r="132" spans="1:7" ht="38.25">
      <c r="A132" s="81" t="s">
        <v>90</v>
      </c>
      <c r="B132" s="85"/>
      <c r="C132" s="59"/>
      <c r="D132" s="59"/>
      <c r="E132" s="59">
        <v>28788</v>
      </c>
      <c r="F132" s="59">
        <f aca="true" t="shared" si="47" ref="F132:F139">E132/$B$60</f>
        <v>19.71780821917808</v>
      </c>
      <c r="G132" s="59">
        <f>(26181)/E132</f>
        <v>0.9094414339308045</v>
      </c>
    </row>
    <row r="133" spans="1:7" ht="12.75">
      <c r="A133" s="81" t="s">
        <v>91</v>
      </c>
      <c r="B133" s="85"/>
      <c r="C133" s="59">
        <v>0</v>
      </c>
      <c r="D133" s="59">
        <v>0</v>
      </c>
      <c r="E133" s="59">
        <v>0</v>
      </c>
      <c r="F133" s="59">
        <f t="shared" si="47"/>
        <v>0</v>
      </c>
      <c r="G133" s="59" t="e">
        <f>(0/E133)</f>
        <v>#DIV/0!</v>
      </c>
    </row>
    <row r="134" spans="1:7" ht="12.75">
      <c r="A134" s="81" t="s">
        <v>92</v>
      </c>
      <c r="B134" s="85"/>
      <c r="C134" s="59"/>
      <c r="D134" s="59"/>
      <c r="E134" s="59">
        <f>56052+747360</f>
        <v>803412</v>
      </c>
      <c r="F134" s="59">
        <f t="shared" si="47"/>
        <v>550.2821917808219</v>
      </c>
      <c r="G134" s="59">
        <f>(679669+50975)/E134</f>
        <v>0.9094262968439605</v>
      </c>
    </row>
    <row r="135" spans="1:7" ht="12.75">
      <c r="A135" s="81" t="s">
        <v>79</v>
      </c>
      <c r="B135" s="82" t="s">
        <v>80</v>
      </c>
      <c r="C135" s="59">
        <f>70.5/2</f>
        <v>35.25</v>
      </c>
      <c r="D135" s="59">
        <f aca="true" t="shared" si="48" ref="D135:D137">E135/C135</f>
        <v>1858.723404255319</v>
      </c>
      <c r="E135" s="59">
        <f>131040/2</f>
        <v>65520</v>
      </c>
      <c r="F135" s="59">
        <f t="shared" si="47"/>
        <v>44.87671232876713</v>
      </c>
      <c r="G135" s="59">
        <f>(106991/2/E135)</f>
        <v>0.8164758852258852</v>
      </c>
    </row>
    <row r="136" spans="1:7" ht="12.75">
      <c r="A136" s="81" t="s">
        <v>81</v>
      </c>
      <c r="B136" s="82" t="s">
        <v>82</v>
      </c>
      <c r="C136" s="59">
        <f>23000/2</f>
        <v>11500</v>
      </c>
      <c r="D136" s="59">
        <f t="shared" si="48"/>
        <v>0</v>
      </c>
      <c r="E136" s="59">
        <v>0</v>
      </c>
      <c r="F136" s="59">
        <f t="shared" si="47"/>
        <v>0</v>
      </c>
      <c r="G136" s="59" t="e">
        <f>(0/E136)</f>
        <v>#DIV/0!</v>
      </c>
    </row>
    <row r="137" spans="1:7" ht="12.75">
      <c r="A137" s="81" t="s">
        <v>83</v>
      </c>
      <c r="B137" s="82" t="s">
        <v>84</v>
      </c>
      <c r="C137" s="59">
        <f>14000*10%</f>
        <v>1400</v>
      </c>
      <c r="D137" s="59">
        <f t="shared" si="48"/>
        <v>18.56</v>
      </c>
      <c r="E137" s="59">
        <f>259840*10%</f>
        <v>25984</v>
      </c>
      <c r="F137" s="59">
        <f t="shared" si="47"/>
        <v>17.797260273972604</v>
      </c>
      <c r="G137" s="59">
        <f>(259840*10%/E137)</f>
        <v>1</v>
      </c>
    </row>
    <row r="138" spans="1:7" ht="12.75">
      <c r="A138" s="81" t="s">
        <v>93</v>
      </c>
      <c r="B138" s="85"/>
      <c r="C138" s="59"/>
      <c r="D138" s="59"/>
      <c r="E138" s="59">
        <v>52212</v>
      </c>
      <c r="F138" s="59">
        <f t="shared" si="47"/>
        <v>35.76164383561644</v>
      </c>
      <c r="G138" s="59">
        <f>(47483/E138)</f>
        <v>0.9094269516586225</v>
      </c>
    </row>
    <row r="139" spans="1:7" ht="12.75">
      <c r="A139" s="81" t="s">
        <v>94</v>
      </c>
      <c r="B139" s="85"/>
      <c r="C139" s="59"/>
      <c r="D139" s="59"/>
      <c r="E139" s="59">
        <v>10848</v>
      </c>
      <c r="F139" s="59">
        <f t="shared" si="47"/>
        <v>7.4301369863013695</v>
      </c>
      <c r="G139" s="59">
        <f>(9865/E139)</f>
        <v>0.9093842182890856</v>
      </c>
    </row>
    <row r="140" spans="1:7" ht="12.75">
      <c r="A140" s="83" t="s">
        <v>17</v>
      </c>
      <c r="B140" s="86"/>
      <c r="C140" s="59"/>
      <c r="D140" s="59"/>
      <c r="E140" s="59">
        <f>SUM(E132:E139)</f>
        <v>986764</v>
      </c>
      <c r="F140" s="59">
        <f>SUM(F132:F139)</f>
        <v>675.8657534246576</v>
      </c>
      <c r="G140" s="59">
        <f>(26181+50975+679669+106991/2+259840*10%+9865+47483)/E140</f>
        <v>0.9056395450178564</v>
      </c>
    </row>
    <row r="141" spans="1:7" ht="12.75">
      <c r="A141" s="29"/>
      <c r="B141" s="29"/>
      <c r="C141" s="29"/>
      <c r="D141" s="29"/>
      <c r="E141" s="29"/>
      <c r="F141" s="29"/>
      <c r="G141" s="29"/>
    </row>
    <row r="142" spans="1:7" ht="30" customHeight="1">
      <c r="A142" s="49" t="s">
        <v>95</v>
      </c>
      <c r="B142" s="49"/>
      <c r="C142" s="49"/>
      <c r="D142" s="49"/>
      <c r="E142" s="49"/>
      <c r="F142" s="49"/>
      <c r="G142" s="50">
        <f>G140</f>
        <v>0.9056395450178564</v>
      </c>
    </row>
    <row r="143" spans="1:7" ht="15.75" customHeight="1">
      <c r="A143" s="87"/>
      <c r="B143" s="87"/>
      <c r="C143" s="87"/>
      <c r="D143" s="87"/>
      <c r="E143" s="87"/>
      <c r="F143" s="87"/>
      <c r="G143" s="87"/>
    </row>
    <row r="144" spans="1:7" ht="15.75" customHeight="1">
      <c r="A144" s="29" t="s">
        <v>96</v>
      </c>
      <c r="B144" s="87"/>
      <c r="C144" s="87"/>
      <c r="D144" s="87"/>
      <c r="E144" s="87"/>
      <c r="F144" s="87"/>
      <c r="G144" s="87"/>
    </row>
    <row r="146" spans="1:7" ht="63.75">
      <c r="A146" s="88" t="s">
        <v>97</v>
      </c>
      <c r="B146" s="89" t="s">
        <v>98</v>
      </c>
      <c r="C146" s="9" t="s">
        <v>89</v>
      </c>
      <c r="D146" s="89" t="s">
        <v>99</v>
      </c>
      <c r="E146" s="89" t="s">
        <v>100</v>
      </c>
      <c r="F146" s="9" t="s">
        <v>64</v>
      </c>
      <c r="G146" s="9" t="s">
        <v>48</v>
      </c>
    </row>
    <row r="147" spans="1:8" ht="12.75">
      <c r="A147" s="90" t="s">
        <v>101</v>
      </c>
      <c r="B147" s="88">
        <v>3</v>
      </c>
      <c r="C147" s="91">
        <f aca="true" t="shared" si="49" ref="C147:C148">E147/D147/B147</f>
        <v>349.4444444444444</v>
      </c>
      <c r="D147" s="92">
        <v>12</v>
      </c>
      <c r="E147" s="58">
        <v>12580</v>
      </c>
      <c r="F147" s="59">
        <f aca="true" t="shared" si="50" ref="F147:F149">E147/$B$60</f>
        <v>8.616438356164384</v>
      </c>
      <c r="G147" s="59">
        <f>(2023*3)/E147</f>
        <v>0.48243243243243245</v>
      </c>
      <c r="H147" s="93"/>
    </row>
    <row r="148" spans="1:8" ht="12.75">
      <c r="A148" s="90" t="s">
        <v>102</v>
      </c>
      <c r="B148" s="89">
        <v>3</v>
      </c>
      <c r="C148" s="91">
        <f t="shared" si="49"/>
        <v>445.8333333333333</v>
      </c>
      <c r="D148" s="92">
        <v>12</v>
      </c>
      <c r="E148" s="58">
        <v>16050</v>
      </c>
      <c r="F148" s="59">
        <f t="shared" si="50"/>
        <v>10.993150684931507</v>
      </c>
      <c r="G148" s="59">
        <f>6071/E148</f>
        <v>0.37825545171339564</v>
      </c>
      <c r="H148" s="93"/>
    </row>
    <row r="149" spans="1:8" ht="12.75">
      <c r="A149" s="90" t="s">
        <v>103</v>
      </c>
      <c r="B149" s="88"/>
      <c r="C149" s="88"/>
      <c r="D149" s="92"/>
      <c r="E149" s="58">
        <v>6097</v>
      </c>
      <c r="F149" s="59">
        <f t="shared" si="50"/>
        <v>4.176027397260274</v>
      </c>
      <c r="G149" s="59">
        <f>(19440/E149)</f>
        <v>3.188453337707069</v>
      </c>
      <c r="H149" s="93"/>
    </row>
    <row r="150" spans="1:7" ht="12.75">
      <c r="A150" s="94" t="s">
        <v>104</v>
      </c>
      <c r="B150" s="95"/>
      <c r="C150" s="95"/>
      <c r="D150" s="95"/>
      <c r="E150" s="58">
        <f>E147+E148+E149</f>
        <v>34727</v>
      </c>
      <c r="F150" s="59">
        <f>F147+F148+F149</f>
        <v>23.785616438356165</v>
      </c>
      <c r="G150" s="59">
        <f>31582/E150</f>
        <v>0.9094364615428917</v>
      </c>
    </row>
    <row r="152" spans="1:4" ht="12.75">
      <c r="A152" s="96" t="s">
        <v>105</v>
      </c>
      <c r="B152" s="96"/>
      <c r="C152" s="96"/>
      <c r="D152" s="97">
        <f>G150</f>
        <v>0.9094364615428917</v>
      </c>
    </row>
    <row r="154" spans="1:13" ht="12.75" customHeight="1">
      <c r="A154" s="7" t="s">
        <v>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6" spans="1:7" ht="43.5" customHeight="1">
      <c r="A156" s="7" t="s">
        <v>107</v>
      </c>
      <c r="B156" s="7"/>
      <c r="C156" s="7"/>
      <c r="D156" s="7"/>
      <c r="E156" s="7"/>
      <c r="F156" s="7"/>
      <c r="G156" s="7"/>
    </row>
    <row r="157" spans="1:7" ht="12.75">
      <c r="A157" s="29"/>
      <c r="B157" s="29"/>
      <c r="C157" s="29"/>
      <c r="D157" s="29"/>
      <c r="E157" s="29"/>
      <c r="F157" s="29"/>
      <c r="G157" s="29"/>
    </row>
    <row r="158" spans="1:7" ht="12.75">
      <c r="A158" s="29" t="s">
        <v>108</v>
      </c>
      <c r="B158" s="29"/>
      <c r="C158" s="29"/>
      <c r="D158" s="29"/>
      <c r="E158" s="29"/>
      <c r="F158" s="29"/>
      <c r="G158" s="29"/>
    </row>
    <row r="159" spans="1:7" ht="12.75">
      <c r="A159" s="29"/>
      <c r="B159" s="29"/>
      <c r="C159" s="29"/>
      <c r="D159" s="29"/>
      <c r="E159" s="29"/>
      <c r="F159" s="29"/>
      <c r="G159" s="29"/>
    </row>
    <row r="160" spans="1:7" ht="15.75">
      <c r="A160" s="53" t="s">
        <v>109</v>
      </c>
      <c r="B160" s="98" t="s">
        <v>110</v>
      </c>
      <c r="C160" s="98"/>
      <c r="D160" s="29"/>
      <c r="E160" s="29"/>
      <c r="F160" s="29"/>
      <c r="G160" s="29"/>
    </row>
    <row r="161" spans="1:7" ht="15.75">
      <c r="A161" s="53"/>
      <c r="B161" s="99" t="s">
        <v>111</v>
      </c>
      <c r="C161" s="99"/>
      <c r="D161" s="29"/>
      <c r="E161" s="29"/>
      <c r="F161" s="29"/>
      <c r="G161" s="29"/>
    </row>
    <row r="162" spans="1:7" ht="12.75">
      <c r="A162" s="100"/>
      <c r="B162" s="53"/>
      <c r="C162" s="53"/>
      <c r="D162" s="29"/>
      <c r="E162" s="29"/>
      <c r="F162" s="29"/>
      <c r="G162" s="29"/>
    </row>
    <row r="163" spans="1:7" ht="15.75" customHeight="1">
      <c r="A163" s="101" t="s">
        <v>112</v>
      </c>
      <c r="B163" s="53"/>
      <c r="C163" s="53"/>
      <c r="D163" s="29"/>
      <c r="E163" s="29"/>
      <c r="F163" s="29"/>
      <c r="G163" s="29"/>
    </row>
    <row r="164" spans="1:7" ht="12.75">
      <c r="A164" s="100"/>
      <c r="B164" s="53"/>
      <c r="C164" s="53"/>
      <c r="D164" s="29"/>
      <c r="E164" s="29"/>
      <c r="F164" s="29"/>
      <c r="G164" s="29"/>
    </row>
    <row r="165" spans="1:7" ht="15.75">
      <c r="A165" s="96" t="s">
        <v>113</v>
      </c>
      <c r="B165" s="96"/>
      <c r="C165" s="96"/>
      <c r="D165" s="96"/>
      <c r="E165" s="96"/>
      <c r="F165" s="96"/>
      <c r="G165" s="96"/>
    </row>
    <row r="166" spans="1:7" ht="12.75">
      <c r="A166" s="100"/>
      <c r="B166" s="53"/>
      <c r="C166" s="53"/>
      <c r="D166" s="29"/>
      <c r="E166" s="29"/>
      <c r="F166" s="29"/>
      <c r="G166" s="29"/>
    </row>
    <row r="167" spans="1:7" ht="15.75">
      <c r="A167" s="96" t="s">
        <v>114</v>
      </c>
      <c r="B167" s="96"/>
      <c r="C167" s="96"/>
      <c r="D167" s="96"/>
      <c r="E167" s="96"/>
      <c r="F167" s="96"/>
      <c r="G167" s="96"/>
    </row>
    <row r="168" spans="1:7" ht="12.75">
      <c r="A168" s="100"/>
      <c r="B168" s="53"/>
      <c r="C168" s="53"/>
      <c r="D168" s="29"/>
      <c r="E168" s="29"/>
      <c r="F168" s="29"/>
      <c r="G168" s="29"/>
    </row>
    <row r="169" spans="1:7" ht="33" customHeight="1">
      <c r="A169" s="49" t="s">
        <v>115</v>
      </c>
      <c r="B169" s="49"/>
      <c r="C169" s="49"/>
      <c r="D169" s="49"/>
      <c r="E169" s="49"/>
      <c r="F169" s="49"/>
      <c r="G169" s="49"/>
    </row>
    <row r="170" spans="1:7" ht="12.75">
      <c r="A170" s="100"/>
      <c r="B170" s="53"/>
      <c r="C170" s="53"/>
      <c r="D170" s="29"/>
      <c r="E170" s="29"/>
      <c r="F170" s="29"/>
      <c r="G170" s="29"/>
    </row>
    <row r="171" spans="1:10" ht="156">
      <c r="A171" s="9" t="s">
        <v>116</v>
      </c>
      <c r="B171" s="9" t="s">
        <v>117</v>
      </c>
      <c r="C171" s="9" t="s">
        <v>118</v>
      </c>
      <c r="D171" s="9" t="s">
        <v>119</v>
      </c>
      <c r="E171" s="9" t="s">
        <v>120</v>
      </c>
      <c r="F171" s="10"/>
      <c r="G171" s="12"/>
      <c r="H171" s="102"/>
      <c r="I171" s="102"/>
      <c r="J171" s="102"/>
    </row>
    <row r="172" spans="1:9" ht="12.75">
      <c r="A172" s="68">
        <v>1745654</v>
      </c>
      <c r="B172" s="68">
        <v>610430</v>
      </c>
      <c r="C172" s="68">
        <v>1369100.78</v>
      </c>
      <c r="D172" s="68">
        <f>N60</f>
        <v>11175045.215874974</v>
      </c>
      <c r="E172" s="68">
        <f>(A172+B172+C172)/D172</f>
        <v>0.33334851967382656</v>
      </c>
      <c r="F172" s="103"/>
      <c r="G172" s="104">
        <f>F97</f>
        <v>3725184.7800000007</v>
      </c>
      <c r="I172" s="23">
        <v>-2413424.81</v>
      </c>
    </row>
    <row r="173" spans="1:7" ht="12.75">
      <c r="A173" s="29"/>
      <c r="B173" s="29"/>
      <c r="C173" s="29"/>
      <c r="D173" s="29"/>
      <c r="E173" s="29"/>
      <c r="F173" s="29"/>
      <c r="G173" s="29"/>
    </row>
    <row r="174" spans="1:7" ht="42.75" customHeight="1">
      <c r="A174" s="7" t="s">
        <v>121</v>
      </c>
      <c r="B174" s="7"/>
      <c r="C174" s="7"/>
      <c r="D174" s="7"/>
      <c r="E174" s="7"/>
      <c r="F174" s="7"/>
      <c r="G174" s="7"/>
    </row>
    <row r="175" spans="1:7" ht="12.75">
      <c r="A175" s="29" t="s">
        <v>122</v>
      </c>
      <c r="B175" s="29"/>
      <c r="C175" s="29"/>
      <c r="D175" s="29"/>
      <c r="E175" s="105"/>
      <c r="F175" s="29"/>
      <c r="G175" s="29"/>
    </row>
    <row r="176" spans="1:7" ht="12.75">
      <c r="A176" s="29"/>
      <c r="B176" s="29"/>
      <c r="C176" s="29"/>
      <c r="D176" s="29"/>
      <c r="E176" s="105"/>
      <c r="F176" s="29"/>
      <c r="G176" s="29"/>
    </row>
    <row r="177" spans="1:13" ht="19.5" customHeight="1">
      <c r="A177" s="10" t="s">
        <v>123</v>
      </c>
      <c r="B177" s="10"/>
      <c r="C177" s="10"/>
      <c r="D177" s="10"/>
      <c r="E177" s="10"/>
      <c r="F177" s="67"/>
      <c r="G177" s="67"/>
      <c r="H177" s="67"/>
      <c r="I177" s="67"/>
      <c r="J177" s="67"/>
      <c r="K177" s="67"/>
      <c r="L177" s="67"/>
      <c r="M177" s="67"/>
    </row>
    <row r="178" spans="1:7" ht="12.75">
      <c r="A178" s="29"/>
      <c r="B178" s="29"/>
      <c r="C178" s="29"/>
      <c r="D178" s="29"/>
      <c r="E178" s="29"/>
      <c r="F178" s="29"/>
      <c r="G178" s="29"/>
    </row>
    <row r="179" spans="1:7" ht="105">
      <c r="A179" s="9" t="s">
        <v>5</v>
      </c>
      <c r="B179" s="32" t="s">
        <v>124</v>
      </c>
      <c r="C179" s="32" t="s">
        <v>125</v>
      </c>
      <c r="D179" s="32" t="s">
        <v>126</v>
      </c>
      <c r="E179" s="32" t="s">
        <v>127</v>
      </c>
      <c r="F179" s="9" t="s">
        <v>48</v>
      </c>
      <c r="G179" s="9" t="s">
        <v>128</v>
      </c>
    </row>
    <row r="180" spans="1:7" ht="12.75">
      <c r="A180" s="13" t="s">
        <v>12</v>
      </c>
      <c r="B180" s="106">
        <f aca="true" t="shared" si="51" ref="B180:B183">M55</f>
        <v>10163.937047872636</v>
      </c>
      <c r="C180" s="106">
        <f>E172</f>
        <v>0.33334851967382656</v>
      </c>
      <c r="D180" s="106">
        <f aca="true" t="shared" si="52" ref="D180:D183">B180*C180</f>
        <v>3388.133368966306</v>
      </c>
      <c r="E180" s="106">
        <f aca="true" t="shared" si="53" ref="E180:E183">D180*B55</f>
        <v>1334924.5473727246</v>
      </c>
      <c r="F180" s="106">
        <v>1</v>
      </c>
      <c r="G180" s="106">
        <f aca="true" t="shared" si="54" ref="G180:G183">E180*F180</f>
        <v>1334924.5473727246</v>
      </c>
    </row>
    <row r="181" spans="1:7" ht="12.75">
      <c r="A181" s="13" t="s">
        <v>13</v>
      </c>
      <c r="B181" s="106">
        <f t="shared" si="51"/>
        <v>5387.419438908788</v>
      </c>
      <c r="C181" s="106">
        <f aca="true" t="shared" si="55" ref="C181:C183">C180</f>
        <v>0.33334851967382656</v>
      </c>
      <c r="D181" s="106">
        <f t="shared" si="52"/>
        <v>1795.8882948222417</v>
      </c>
      <c r="E181" s="106">
        <f t="shared" si="53"/>
        <v>686029.3286220963</v>
      </c>
      <c r="F181" s="106">
        <v>1</v>
      </c>
      <c r="G181" s="106">
        <f t="shared" si="54"/>
        <v>686029.3286220963</v>
      </c>
    </row>
    <row r="182" spans="1:7" ht="25.5">
      <c r="A182" s="13" t="s">
        <v>14</v>
      </c>
      <c r="B182" s="106">
        <f t="shared" si="51"/>
        <v>9391.43016</v>
      </c>
      <c r="C182" s="106">
        <f t="shared" si="55"/>
        <v>0.33334851967382656</v>
      </c>
      <c r="D182" s="106">
        <f t="shared" si="52"/>
        <v>3130.619341456128</v>
      </c>
      <c r="E182" s="106">
        <f t="shared" si="53"/>
        <v>425764.2304380334</v>
      </c>
      <c r="F182" s="106">
        <v>1</v>
      </c>
      <c r="G182" s="106">
        <f t="shared" si="54"/>
        <v>425764.2304380334</v>
      </c>
    </row>
    <row r="183" spans="1:7" ht="25.5">
      <c r="A183" s="13" t="s">
        <v>15</v>
      </c>
      <c r="B183" s="106">
        <f t="shared" si="51"/>
        <v>6998.586298521896</v>
      </c>
      <c r="C183" s="106">
        <f t="shared" si="55"/>
        <v>0.33334851967382656</v>
      </c>
      <c r="D183" s="106">
        <f t="shared" si="52"/>
        <v>2332.9683824217996</v>
      </c>
      <c r="E183" s="106">
        <f t="shared" si="53"/>
        <v>1278466.673567146</v>
      </c>
      <c r="F183" s="106">
        <v>1</v>
      </c>
      <c r="G183" s="106">
        <f t="shared" si="54"/>
        <v>1278466.673567146</v>
      </c>
    </row>
    <row r="184" spans="1:7" ht="25.5">
      <c r="A184" s="13" t="s">
        <v>16</v>
      </c>
      <c r="B184" s="106">
        <v>0</v>
      </c>
      <c r="C184" s="106">
        <v>0</v>
      </c>
      <c r="D184" s="106">
        <v>0</v>
      </c>
      <c r="E184" s="106">
        <v>0</v>
      </c>
      <c r="F184" s="106">
        <v>0</v>
      </c>
      <c r="G184" s="106">
        <v>0</v>
      </c>
    </row>
    <row r="185" spans="1:7" ht="31.5" customHeight="1">
      <c r="A185" s="107" t="s">
        <v>17</v>
      </c>
      <c r="B185" s="108">
        <f>M60</f>
        <v>7654.140558818475</v>
      </c>
      <c r="C185" s="32"/>
      <c r="D185" s="108">
        <f>E185/B60</f>
        <v>2551.4964246575346</v>
      </c>
      <c r="E185" s="108">
        <f>SUM(E180:E183)</f>
        <v>3725184.7800000003</v>
      </c>
      <c r="F185" s="108">
        <v>1</v>
      </c>
      <c r="G185" s="108">
        <f>SUM(G180:G183)</f>
        <v>3725184.7800000003</v>
      </c>
    </row>
    <row r="186" spans="1:7" ht="12.75">
      <c r="A186" s="29"/>
      <c r="B186" s="29"/>
      <c r="C186" s="29"/>
      <c r="D186" s="29"/>
      <c r="E186" s="29"/>
      <c r="F186" s="29"/>
      <c r="G186" s="29"/>
    </row>
    <row r="187" spans="1:7" ht="12.75">
      <c r="A187" s="29" t="s">
        <v>129</v>
      </c>
      <c r="B187" s="29"/>
      <c r="C187" s="29"/>
      <c r="D187" s="29"/>
      <c r="E187" s="29"/>
      <c r="F187" s="29"/>
      <c r="G187" s="29"/>
    </row>
    <row r="188" spans="1:7" ht="12.75">
      <c r="A188" s="29"/>
      <c r="B188" s="29"/>
      <c r="C188" s="29"/>
      <c r="D188" s="29"/>
      <c r="E188" s="29"/>
      <c r="F188" s="29"/>
      <c r="G188" s="29"/>
    </row>
    <row r="189" spans="1:7" ht="16.5">
      <c r="A189" s="29" t="s">
        <v>130</v>
      </c>
      <c r="B189" s="29"/>
      <c r="C189" s="29"/>
      <c r="D189" s="29"/>
      <c r="E189" s="29"/>
      <c r="F189" s="29"/>
      <c r="G189" s="29"/>
    </row>
    <row r="190" spans="1:7" ht="12.75">
      <c r="A190" s="29"/>
      <c r="B190" s="29"/>
      <c r="C190" s="29"/>
      <c r="D190" s="29"/>
      <c r="E190" s="29"/>
      <c r="F190" s="29"/>
      <c r="G190" s="29"/>
    </row>
    <row r="191" spans="1:7" ht="51">
      <c r="A191" s="9" t="s">
        <v>74</v>
      </c>
      <c r="B191" s="9" t="s">
        <v>78</v>
      </c>
      <c r="C191" s="9" t="s">
        <v>64</v>
      </c>
      <c r="D191" s="9" t="s">
        <v>48</v>
      </c>
      <c r="E191" s="10"/>
      <c r="F191" s="10"/>
      <c r="G191" s="10"/>
    </row>
    <row r="192" spans="1:7" ht="25.5">
      <c r="A192" s="81" t="s">
        <v>131</v>
      </c>
      <c r="B192" s="108">
        <v>7029</v>
      </c>
      <c r="C192" s="59">
        <f aca="true" t="shared" si="56" ref="C192:C193">B192/$B$60</f>
        <v>4.814383561643836</v>
      </c>
      <c r="D192" s="59">
        <f>(6392/B192)</f>
        <v>0.9093754445867122</v>
      </c>
      <c r="E192" s="109"/>
      <c r="F192" s="110"/>
      <c r="G192" s="110"/>
    </row>
    <row r="193" spans="1:7" ht="16.5" customHeight="1">
      <c r="A193" s="81" t="s">
        <v>132</v>
      </c>
      <c r="B193" s="108">
        <v>259620</v>
      </c>
      <c r="C193" s="59">
        <f t="shared" si="56"/>
        <v>177.82191780821918</v>
      </c>
      <c r="D193" s="59">
        <f>(15874+220174)/B193</f>
        <v>0.90920576226793</v>
      </c>
      <c r="E193" s="109"/>
      <c r="F193" s="110"/>
      <c r="G193" s="110"/>
    </row>
    <row r="194" spans="1:7" ht="12.75">
      <c r="A194" s="83" t="s">
        <v>17</v>
      </c>
      <c r="B194" s="108">
        <f>SUM(B192:B193)</f>
        <v>266649</v>
      </c>
      <c r="C194" s="108">
        <f>SUM(C192:C193)</f>
        <v>182.63630136986302</v>
      </c>
      <c r="D194" s="108">
        <f>(15874+6392+220174)/B194</f>
        <v>0.9092102351780805</v>
      </c>
      <c r="E194" s="111"/>
      <c r="F194" s="111"/>
      <c r="G194" s="111"/>
    </row>
    <row r="195" spans="1:7" ht="12.75">
      <c r="A195" s="29"/>
      <c r="B195" s="29"/>
      <c r="C195" s="29"/>
      <c r="D195" s="29"/>
      <c r="E195" s="29"/>
      <c r="F195" s="29"/>
      <c r="G195" s="29"/>
    </row>
    <row r="196" spans="1:7" ht="27" customHeight="1">
      <c r="A196" s="49" t="s">
        <v>133</v>
      </c>
      <c r="B196" s="49"/>
      <c r="C196" s="49"/>
      <c r="D196" s="80"/>
      <c r="E196" s="51"/>
      <c r="F196" s="51"/>
      <c r="G196" s="51"/>
    </row>
    <row r="199" spans="3:4" ht="12.75">
      <c r="C199" s="112"/>
      <c r="D199" s="112"/>
    </row>
    <row r="200" ht="12.75">
      <c r="A200" s="2">
        <f>E125+E140+E150+B194+11443648+600+3455982</f>
        <v>16560210</v>
      </c>
    </row>
  </sheetData>
  <sheetProtection selectLockedCells="1" selectUnlockedCells="1"/>
  <mergeCells count="28">
    <mergeCell ref="A1:K1"/>
    <mergeCell ref="A3:K3"/>
    <mergeCell ref="A5:K5"/>
    <mergeCell ref="A7:K7"/>
    <mergeCell ref="A9:K9"/>
    <mergeCell ref="A19:K19"/>
    <mergeCell ref="A21:K21"/>
    <mergeCell ref="A23:K23"/>
    <mergeCell ref="L52:M52"/>
    <mergeCell ref="A62:K62"/>
    <mergeCell ref="A64:K64"/>
    <mergeCell ref="A66:M66"/>
    <mergeCell ref="A74:M74"/>
    <mergeCell ref="A116:E116"/>
    <mergeCell ref="A127:F127"/>
    <mergeCell ref="A142:F142"/>
    <mergeCell ref="A152:C152"/>
    <mergeCell ref="A154:M154"/>
    <mergeCell ref="A156:G156"/>
    <mergeCell ref="A160:A161"/>
    <mergeCell ref="B161:C161"/>
    <mergeCell ref="A165:G165"/>
    <mergeCell ref="A167:G167"/>
    <mergeCell ref="A169:G169"/>
    <mergeCell ref="A174:G174"/>
    <mergeCell ref="A177:E177"/>
    <mergeCell ref="A196:C196"/>
    <mergeCell ref="C199:D199"/>
  </mergeCells>
  <printOptions/>
  <pageMargins left="0" right="0" top="0" bottom="0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200"/>
  <sheetViews>
    <sheetView zoomScale="70" zoomScaleNormal="70" workbookViewId="0" topLeftCell="A80">
      <selection activeCell="I115" sqref="I115"/>
    </sheetView>
  </sheetViews>
  <sheetFormatPr defaultColWidth="8.00390625" defaultRowHeight="12.75"/>
  <cols>
    <col min="1" max="1" width="27.875" style="1" customWidth="1"/>
    <col min="2" max="2" width="12.875" style="1" customWidth="1"/>
    <col min="3" max="3" width="14.875" style="1" customWidth="1"/>
    <col min="4" max="4" width="14.625" style="1" customWidth="1"/>
    <col min="5" max="5" width="14.375" style="1" customWidth="1"/>
    <col min="6" max="6" width="14.875" style="1" customWidth="1"/>
    <col min="7" max="7" width="19.125" style="1" customWidth="1"/>
    <col min="8" max="8" width="13.75390625" style="1" customWidth="1"/>
    <col min="9" max="9" width="15.00390625" style="1" customWidth="1"/>
    <col min="10" max="10" width="12.875" style="1" customWidth="1"/>
    <col min="11" max="11" width="12.375" style="1" customWidth="1"/>
    <col min="12" max="12" width="15.625" style="1" customWidth="1"/>
    <col min="13" max="13" width="14.375" style="1" customWidth="1"/>
    <col min="14" max="14" width="13.625" style="1" customWidth="1"/>
    <col min="15" max="15" width="12.875" style="1" customWidth="1"/>
    <col min="16" max="16" width="14.375" style="1" customWidth="1"/>
    <col min="17" max="17" width="12.875" style="1" customWidth="1"/>
    <col min="18" max="18" width="11.625" style="1" customWidth="1"/>
    <col min="19" max="19" width="13.125" style="1" customWidth="1"/>
    <col min="20" max="20" width="12.75390625" style="1" customWidth="1"/>
    <col min="21" max="16384" width="9.125" style="1" customWidth="1"/>
  </cols>
  <sheetData>
    <row r="1" spans="1:11" ht="60" customHeight="1">
      <c r="A1" s="3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47.25" customHeight="1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0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14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10"/>
      <c r="I11" s="11"/>
      <c r="J11" s="12"/>
      <c r="K11" s="4"/>
    </row>
    <row r="12" spans="1:11" ht="15.75" customHeight="1">
      <c r="A12" s="13" t="s">
        <v>12</v>
      </c>
      <c r="B12" s="14">
        <f aca="true" t="shared" si="0" ref="B12:B13">M55</f>
        <v>50512.76401008813</v>
      </c>
      <c r="C12" s="14">
        <f aca="true" t="shared" si="1" ref="C12:C13">O55</f>
        <v>0.17225308639049677</v>
      </c>
      <c r="D12" s="14">
        <f aca="true" t="shared" si="2" ref="D12:D16">C110</f>
        <v>6119.2402375656175</v>
      </c>
      <c r="E12" s="14">
        <f aca="true" t="shared" si="3" ref="E12:E16">E110</f>
        <v>0.96551966063739</v>
      </c>
      <c r="F12" s="14">
        <f aca="true" t="shared" si="4" ref="F12:F17">B12*C12+D12*E12</f>
        <v>14609.226260385505</v>
      </c>
      <c r="G12" s="14">
        <f aca="true" t="shared" si="5" ref="G12:G13">F12*B55</f>
        <v>12929165.240441171</v>
      </c>
      <c r="H12" s="15"/>
      <c r="I12" s="15"/>
      <c r="J12" s="12"/>
      <c r="K12" s="4"/>
    </row>
    <row r="13" spans="1:11" ht="23.25" customHeight="1" hidden="1">
      <c r="A13" s="13" t="s">
        <v>13</v>
      </c>
      <c r="B13" s="14">
        <f t="shared" si="0"/>
        <v>19784.448</v>
      </c>
      <c r="C13" s="14">
        <f t="shared" si="1"/>
        <v>0.4397888433810479</v>
      </c>
      <c r="D13" s="14" t="e">
        <f t="shared" si="2"/>
        <v>#DIV/0!</v>
      </c>
      <c r="E13" s="14" t="e">
        <f t="shared" si="3"/>
        <v>#DIV/0!</v>
      </c>
      <c r="F13" s="14" t="e">
        <f t="shared" si="4"/>
        <v>#DIV/0!</v>
      </c>
      <c r="G13" s="14" t="e">
        <f t="shared" si="5"/>
        <v>#DIV/0!</v>
      </c>
      <c r="H13" s="15"/>
      <c r="I13" s="15"/>
      <c r="J13" s="12"/>
      <c r="K13" s="4"/>
    </row>
    <row r="14" spans="1:11" ht="25.5" customHeight="1">
      <c r="A14" s="13" t="s">
        <v>135</v>
      </c>
      <c r="B14" s="14">
        <f>M56</f>
        <v>19784.448</v>
      </c>
      <c r="C14" s="14">
        <f>O56</f>
        <v>0.4397888433810479</v>
      </c>
      <c r="D14" s="14">
        <f t="shared" si="2"/>
        <v>3633.5730111754847</v>
      </c>
      <c r="E14" s="14">
        <f t="shared" si="3"/>
        <v>0.9419322305114926</v>
      </c>
      <c r="F14" s="14">
        <f t="shared" si="4"/>
        <v>12123.55903399537</v>
      </c>
      <c r="G14" s="14">
        <f>F14*B56</f>
        <v>2291352.657425125</v>
      </c>
      <c r="H14" s="15"/>
      <c r="I14" s="15"/>
      <c r="J14" s="12"/>
      <c r="K14" s="4"/>
    </row>
    <row r="15" spans="1:11" ht="26.25" customHeight="1" hidden="1">
      <c r="A15" s="13" t="s">
        <v>15</v>
      </c>
      <c r="B15" s="14">
        <f aca="true" t="shared" si="6" ref="B15:B16">M58</f>
        <v>2570.7417119999996</v>
      </c>
      <c r="C15" s="14">
        <f aca="true" t="shared" si="7" ref="C15:C16">O58</f>
        <v>3.384618323278869</v>
      </c>
      <c r="D15" s="14">
        <f t="shared" si="2"/>
        <v>2241.126202481505</v>
      </c>
      <c r="E15" s="14">
        <f t="shared" si="3"/>
        <v>0.9058538159078345</v>
      </c>
      <c r="F15" s="14">
        <f t="shared" si="4"/>
        <v>10731.112225301393</v>
      </c>
      <c r="G15" s="14">
        <f aca="true" t="shared" si="8" ref="G15:G16">F15*B58</f>
        <v>107311.12225301392</v>
      </c>
      <c r="H15" s="15"/>
      <c r="I15" s="15"/>
      <c r="J15" s="12"/>
      <c r="K15" s="4"/>
    </row>
    <row r="16" spans="1:11" ht="26.25" customHeight="1">
      <c r="A16" s="13" t="s">
        <v>16</v>
      </c>
      <c r="B16" s="14">
        <f t="shared" si="6"/>
        <v>7690.252984615383</v>
      </c>
      <c r="C16" s="14">
        <f t="shared" si="7"/>
        <v>1.1314295537817936</v>
      </c>
      <c r="D16" s="14">
        <f t="shared" si="2"/>
        <v>2655.2524234334483</v>
      </c>
      <c r="E16" s="14">
        <f t="shared" si="3"/>
        <v>0.920537317593418</v>
      </c>
      <c r="F16" s="14">
        <f t="shared" si="4"/>
        <v>11145.238446253337</v>
      </c>
      <c r="G16" s="14">
        <f t="shared" si="8"/>
        <v>1593769.0978142272</v>
      </c>
      <c r="H16" s="15"/>
      <c r="I16" s="15"/>
      <c r="J16" s="12"/>
      <c r="K16" s="4"/>
    </row>
    <row r="17" spans="1:11" ht="15.75" customHeight="1">
      <c r="A17" s="17" t="s">
        <v>17</v>
      </c>
      <c r="B17" s="18">
        <f>N60/B60</f>
        <v>40377.14995739853</v>
      </c>
      <c r="C17" s="19">
        <f>P60/N60</f>
        <v>0.2154926613699281</v>
      </c>
      <c r="D17" s="18">
        <f>C109</f>
        <v>4991.592641713572</v>
      </c>
      <c r="E17" s="18">
        <f>E109</f>
        <v>1.019725441046491</v>
      </c>
      <c r="F17" s="18">
        <f t="shared" si="4"/>
        <v>13791.03351094828</v>
      </c>
      <c r="G17" s="18">
        <f>G12+G14+G16</f>
        <v>16814286.995680526</v>
      </c>
      <c r="H17" s="113">
        <f>16814287-G17</f>
        <v>0.004319474101066589</v>
      </c>
      <c r="I17" s="114"/>
      <c r="J17" s="12"/>
      <c r="K17" s="4"/>
    </row>
    <row r="18" spans="1:11" ht="15.75" customHeight="1">
      <c r="A18" s="4"/>
      <c r="B18" s="4"/>
      <c r="C18" s="4"/>
      <c r="D18" s="4"/>
      <c r="E18" s="4"/>
      <c r="F18" s="4"/>
      <c r="G18" s="115"/>
      <c r="H18" s="4"/>
      <c r="I18" s="4"/>
      <c r="J18" s="4"/>
      <c r="K18" s="4"/>
    </row>
    <row r="19" spans="1:11" ht="57" customHeight="1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42" customHeight="1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5"/>
    </row>
    <row r="22" spans="1:12" ht="17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5"/>
    </row>
    <row r="23" spans="1:13" ht="18" customHeight="1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</row>
    <row r="24" spans="1:13" ht="17.25" customHeight="1">
      <c r="A24" s="29"/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9"/>
    </row>
    <row r="25" spans="1:13" ht="17.25" customHeight="1">
      <c r="A25" s="29" t="s">
        <v>21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9"/>
    </row>
    <row r="26" spans="1:13" ht="17.25" customHeight="1">
      <c r="A26" s="29"/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9"/>
    </row>
    <row r="27" spans="1:13" ht="17.25" customHeight="1">
      <c r="A27" s="29" t="s"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9"/>
    </row>
    <row r="28" spans="1:13" ht="17.25" customHeight="1">
      <c r="A28" s="29"/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9"/>
    </row>
    <row r="29" spans="1:13" ht="17.25" customHeight="1">
      <c r="A29" s="29" t="s">
        <v>23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9"/>
    </row>
    <row r="30" spans="1:13" ht="17.25" customHeight="1">
      <c r="A30" s="29"/>
      <c r="B30" s="29"/>
      <c r="C30" s="29"/>
      <c r="D30" s="29"/>
      <c r="E30" s="29"/>
      <c r="F30" s="28"/>
      <c r="G30" s="28"/>
      <c r="H30" s="28"/>
      <c r="I30" s="28"/>
      <c r="J30" s="28"/>
      <c r="K30" s="28"/>
      <c r="L30" s="28"/>
      <c r="M30" s="29"/>
    </row>
    <row r="31" spans="1:13" ht="17.25" customHeight="1">
      <c r="A31" s="29" t="s">
        <v>24</v>
      </c>
      <c r="B31" s="29"/>
      <c r="C31" s="29"/>
      <c r="D31" s="29"/>
      <c r="E31" s="29"/>
      <c r="F31" s="28"/>
      <c r="G31" s="28"/>
      <c r="H31" s="28"/>
      <c r="I31" s="28"/>
      <c r="J31" s="28"/>
      <c r="K31" s="28"/>
      <c r="L31" s="28"/>
      <c r="M31" s="29"/>
    </row>
    <row r="32" spans="1:13" ht="17.25" customHeight="1">
      <c r="A32" s="29"/>
      <c r="B32" s="29"/>
      <c r="C32" s="29"/>
      <c r="D32" s="29"/>
      <c r="E32" s="29"/>
      <c r="F32" s="28"/>
      <c r="G32" s="28"/>
      <c r="H32" s="28"/>
      <c r="I32" s="28"/>
      <c r="J32" s="28"/>
      <c r="K32" s="28"/>
      <c r="L32" s="28"/>
      <c r="M32" s="29"/>
    </row>
    <row r="33" spans="1:13" ht="17.25" customHeight="1">
      <c r="A33" s="29" t="s">
        <v>25</v>
      </c>
      <c r="B33" s="29"/>
      <c r="C33" s="29"/>
      <c r="D33" s="29"/>
      <c r="E33" s="29"/>
      <c r="F33" s="28"/>
      <c r="G33" s="28"/>
      <c r="H33" s="28"/>
      <c r="I33" s="28"/>
      <c r="J33" s="28"/>
      <c r="K33" s="28"/>
      <c r="L33" s="28"/>
      <c r="M33" s="29"/>
    </row>
    <row r="34" spans="1:13" ht="17.25" customHeight="1">
      <c r="A34" s="29"/>
      <c r="B34" s="29"/>
      <c r="C34" s="29"/>
      <c r="D34" s="29"/>
      <c r="E34" s="29"/>
      <c r="F34" s="28"/>
      <c r="G34" s="28"/>
      <c r="H34" s="28"/>
      <c r="I34" s="28"/>
      <c r="J34" s="28"/>
      <c r="K34" s="28"/>
      <c r="L34" s="28"/>
      <c r="M34" s="29"/>
    </row>
    <row r="35" spans="1:13" ht="17.25" customHeight="1">
      <c r="A35" s="29" t="s">
        <v>26</v>
      </c>
      <c r="B35" s="29"/>
      <c r="C35" s="29"/>
      <c r="D35" s="29"/>
      <c r="E35" s="29"/>
      <c r="F35" s="28"/>
      <c r="G35" s="28"/>
      <c r="H35" s="28"/>
      <c r="I35" s="28"/>
      <c r="J35" s="28"/>
      <c r="K35" s="28"/>
      <c r="L35" s="28"/>
      <c r="M35" s="29"/>
    </row>
    <row r="36" spans="1:13" ht="17.25" customHeight="1">
      <c r="A36" s="29"/>
      <c r="B36" s="29"/>
      <c r="C36" s="29"/>
      <c r="D36" s="29"/>
      <c r="E36" s="29"/>
      <c r="F36" s="28"/>
      <c r="G36" s="28"/>
      <c r="H36" s="28"/>
      <c r="I36" s="28"/>
      <c r="J36" s="28"/>
      <c r="K36" s="28"/>
      <c r="L36" s="28"/>
      <c r="M36" s="29"/>
    </row>
    <row r="37" spans="1:13" ht="17.25" customHeight="1">
      <c r="A37" s="30" t="s">
        <v>27</v>
      </c>
      <c r="B37" s="30"/>
      <c r="C37" s="30"/>
      <c r="D37" s="30"/>
      <c r="E37" s="30"/>
      <c r="F37" s="28"/>
      <c r="G37" s="28"/>
      <c r="H37" s="28"/>
      <c r="I37" s="28"/>
      <c r="J37" s="28"/>
      <c r="K37" s="28"/>
      <c r="L37" s="28"/>
      <c r="M37" s="29"/>
    </row>
    <row r="38" spans="1:13" ht="17.25" customHeight="1">
      <c r="A38" s="29"/>
      <c r="B38" s="29"/>
      <c r="C38" s="29"/>
      <c r="D38" s="29"/>
      <c r="E38" s="29"/>
      <c r="F38" s="28"/>
      <c r="G38" s="28"/>
      <c r="H38" s="28"/>
      <c r="I38" s="28"/>
      <c r="J38" s="28"/>
      <c r="K38" s="28"/>
      <c r="L38" s="28"/>
      <c r="M38" s="29"/>
    </row>
    <row r="39" spans="1:13" ht="17.25" customHeight="1">
      <c r="A39" s="29" t="s">
        <v>28</v>
      </c>
      <c r="B39" s="29"/>
      <c r="C39" s="29"/>
      <c r="D39" s="29"/>
      <c r="E39" s="29"/>
      <c r="F39" s="28"/>
      <c r="G39" s="28"/>
      <c r="H39" s="28"/>
      <c r="I39" s="28"/>
      <c r="J39" s="28"/>
      <c r="K39" s="28"/>
      <c r="L39" s="28"/>
      <c r="M39" s="29"/>
    </row>
    <row r="40" spans="1:13" ht="17.25" customHeight="1">
      <c r="A40" s="29"/>
      <c r="B40" s="29"/>
      <c r="C40" s="29"/>
      <c r="D40" s="29"/>
      <c r="E40" s="29"/>
      <c r="F40" s="28"/>
      <c r="G40" s="28"/>
      <c r="H40" s="28"/>
      <c r="I40" s="28"/>
      <c r="J40" s="28"/>
      <c r="K40" s="28"/>
      <c r="L40" s="28"/>
      <c r="M40" s="29"/>
    </row>
    <row r="41" spans="1:13" ht="17.25" customHeight="1">
      <c r="A41" s="29" t="s">
        <v>29</v>
      </c>
      <c r="B41" s="29"/>
      <c r="C41" s="29"/>
      <c r="D41" s="29"/>
      <c r="E41" s="29"/>
      <c r="F41" s="28"/>
      <c r="G41" s="28"/>
      <c r="H41" s="28"/>
      <c r="I41" s="28"/>
      <c r="J41" s="28"/>
      <c r="K41" s="28"/>
      <c r="L41" s="28"/>
      <c r="M41" s="29"/>
    </row>
    <row r="42" spans="1:13" ht="17.25" customHeight="1">
      <c r="A42" s="29"/>
      <c r="B42" s="29"/>
      <c r="C42" s="29"/>
      <c r="D42" s="29"/>
      <c r="E42" s="29"/>
      <c r="F42" s="28"/>
      <c r="G42" s="28"/>
      <c r="H42" s="28"/>
      <c r="I42" s="28"/>
      <c r="J42" s="28"/>
      <c r="K42" s="28"/>
      <c r="L42" s="28"/>
      <c r="M42" s="29"/>
    </row>
    <row r="43" spans="1:13" ht="17.25" customHeight="1">
      <c r="A43" s="29" t="s">
        <v>30</v>
      </c>
      <c r="B43" s="29"/>
      <c r="C43" s="29"/>
      <c r="D43" s="29"/>
      <c r="E43" s="29"/>
      <c r="F43" s="28"/>
      <c r="G43" s="28"/>
      <c r="H43" s="28"/>
      <c r="I43" s="28"/>
      <c r="J43" s="28"/>
      <c r="K43" s="28"/>
      <c r="L43" s="28"/>
      <c r="M43" s="29"/>
    </row>
    <row r="44" spans="1:13" ht="17.25" customHeight="1">
      <c r="A44" s="29"/>
      <c r="B44" s="29"/>
      <c r="C44" s="29"/>
      <c r="D44" s="29"/>
      <c r="E44" s="29"/>
      <c r="F44" s="28"/>
      <c r="G44" s="28"/>
      <c r="H44" s="28"/>
      <c r="I44" s="28"/>
      <c r="J44" s="28"/>
      <c r="K44" s="28"/>
      <c r="L44" s="28"/>
      <c r="M44" s="29"/>
    </row>
    <row r="45" spans="1:13" ht="17.25" customHeight="1">
      <c r="A45" s="30" t="s">
        <v>31</v>
      </c>
      <c r="B45" s="30"/>
      <c r="C45" s="30"/>
      <c r="D45" s="30"/>
      <c r="E45" s="30"/>
      <c r="F45" s="28"/>
      <c r="G45" s="28"/>
      <c r="H45" s="28"/>
      <c r="I45" s="28"/>
      <c r="J45" s="28"/>
      <c r="K45" s="28"/>
      <c r="L45" s="28"/>
      <c r="M45" s="29"/>
    </row>
    <row r="46" spans="1:13" ht="17.25" customHeight="1">
      <c r="A46" s="29"/>
      <c r="B46" s="29"/>
      <c r="C46" s="29"/>
      <c r="D46" s="29"/>
      <c r="E46" s="29"/>
      <c r="F46" s="28"/>
      <c r="G46" s="28"/>
      <c r="H46" s="28"/>
      <c r="I46" s="28"/>
      <c r="J46" s="28"/>
      <c r="K46" s="28"/>
      <c r="L46" s="28"/>
      <c r="M46" s="29"/>
    </row>
    <row r="47" spans="1:13" ht="17.25" customHeight="1">
      <c r="A47" s="29" t="s">
        <v>32</v>
      </c>
      <c r="B47" s="29"/>
      <c r="C47" s="29"/>
      <c r="D47" s="29"/>
      <c r="E47" s="29"/>
      <c r="F47" s="28"/>
      <c r="G47" s="28"/>
      <c r="H47" s="28"/>
      <c r="I47" s="28"/>
      <c r="J47" s="28"/>
      <c r="K47" s="28"/>
      <c r="L47" s="28"/>
      <c r="M47" s="29"/>
    </row>
    <row r="48" spans="1:13" ht="17.25" customHeight="1">
      <c r="A48" s="29"/>
      <c r="B48" s="29"/>
      <c r="C48" s="29"/>
      <c r="D48" s="29"/>
      <c r="E48" s="29"/>
      <c r="F48" s="28"/>
      <c r="G48" s="28"/>
      <c r="H48" s="28"/>
      <c r="I48" s="28"/>
      <c r="J48" s="28"/>
      <c r="K48" s="28"/>
      <c r="L48" s="28"/>
      <c r="M48" s="29"/>
    </row>
    <row r="49" spans="1:13" ht="17.25" customHeight="1">
      <c r="A49" s="29" t="s">
        <v>33</v>
      </c>
      <c r="B49" s="29"/>
      <c r="C49" s="29"/>
      <c r="D49" s="29"/>
      <c r="E49" s="29"/>
      <c r="F49" s="28"/>
      <c r="G49" s="28"/>
      <c r="H49" s="28"/>
      <c r="I49" s="28"/>
      <c r="J49" s="28"/>
      <c r="K49" s="28"/>
      <c r="L49" s="28"/>
      <c r="M49" s="29"/>
    </row>
    <row r="50" spans="1:13" ht="17.25" customHeight="1">
      <c r="A50" s="29"/>
      <c r="B50" s="29"/>
      <c r="C50" s="29"/>
      <c r="D50" s="29"/>
      <c r="E50" s="29"/>
      <c r="F50" s="28"/>
      <c r="G50" s="28"/>
      <c r="H50" s="28"/>
      <c r="I50" s="28"/>
      <c r="J50" s="28"/>
      <c r="K50" s="28"/>
      <c r="L50" s="28"/>
      <c r="M50" s="29"/>
    </row>
    <row r="51" spans="1:13" ht="17.25" customHeight="1">
      <c r="A51" s="29" t="s">
        <v>34</v>
      </c>
      <c r="B51" s="29"/>
      <c r="C51" s="29"/>
      <c r="D51" s="29"/>
      <c r="E51" s="29"/>
      <c r="F51" s="28"/>
      <c r="G51" s="28"/>
      <c r="H51" s="28"/>
      <c r="I51" s="28"/>
      <c r="J51" s="28"/>
      <c r="K51" s="28"/>
      <c r="L51" s="28"/>
      <c r="M51" s="29"/>
    </row>
    <row r="52" spans="1:13" ht="17.25" customHeight="1">
      <c r="A52" s="29"/>
      <c r="B52" s="29"/>
      <c r="C52" s="29"/>
      <c r="D52" s="29"/>
      <c r="E52" s="29"/>
      <c r="F52" s="28"/>
      <c r="G52" s="28"/>
      <c r="H52" s="28"/>
      <c r="I52" s="28"/>
      <c r="J52" s="28"/>
      <c r="K52" s="28"/>
      <c r="L52" s="31"/>
      <c r="M52" s="31"/>
    </row>
    <row r="53" spans="1:20" ht="111" customHeight="1">
      <c r="A53" s="9" t="s">
        <v>5</v>
      </c>
      <c r="B53" s="32" t="s">
        <v>35</v>
      </c>
      <c r="C53" s="32" t="s">
        <v>36</v>
      </c>
      <c r="D53" s="32" t="s">
        <v>37</v>
      </c>
      <c r="E53" s="32" t="s">
        <v>38</v>
      </c>
      <c r="F53" s="32" t="s">
        <v>39</v>
      </c>
      <c r="G53" s="32" t="s">
        <v>40</v>
      </c>
      <c r="H53" s="32" t="s">
        <v>41</v>
      </c>
      <c r="I53" s="32" t="s">
        <v>42</v>
      </c>
      <c r="J53" s="32" t="s">
        <v>43</v>
      </c>
      <c r="K53" s="32" t="s">
        <v>44</v>
      </c>
      <c r="L53" s="32" t="s">
        <v>45</v>
      </c>
      <c r="M53" s="32" t="s">
        <v>46</v>
      </c>
      <c r="N53" s="32" t="s">
        <v>47</v>
      </c>
      <c r="O53" s="9" t="s">
        <v>48</v>
      </c>
      <c r="P53" s="9" t="s">
        <v>49</v>
      </c>
      <c r="Q53" s="10"/>
      <c r="R53" s="10"/>
      <c r="S53" s="116"/>
      <c r="T53" s="23"/>
    </row>
    <row r="54" spans="1:20" ht="23.25" customHeight="1">
      <c r="A54" s="33">
        <v>1</v>
      </c>
      <c r="B54" s="34">
        <v>2</v>
      </c>
      <c r="C54" s="34">
        <v>3</v>
      </c>
      <c r="D54" s="34">
        <v>4</v>
      </c>
      <c r="E54" s="34">
        <v>5</v>
      </c>
      <c r="F54" s="34" t="s">
        <v>50</v>
      </c>
      <c r="G54" s="34" t="s">
        <v>51</v>
      </c>
      <c r="H54" s="34" t="s">
        <v>52</v>
      </c>
      <c r="I54" s="34" t="s">
        <v>53</v>
      </c>
      <c r="J54" s="34">
        <v>10</v>
      </c>
      <c r="K54" s="34">
        <v>11</v>
      </c>
      <c r="L54" s="34">
        <v>12</v>
      </c>
      <c r="M54" s="34">
        <v>13</v>
      </c>
      <c r="N54" s="34">
        <v>14</v>
      </c>
      <c r="O54" s="34">
        <v>15</v>
      </c>
      <c r="P54" s="34">
        <v>16</v>
      </c>
      <c r="Q54" s="117"/>
      <c r="R54" s="116"/>
      <c r="S54" s="116"/>
      <c r="T54" s="23"/>
    </row>
    <row r="55" spans="1:20" ht="42" customHeight="1">
      <c r="A55" s="13" t="s">
        <v>12</v>
      </c>
      <c r="B55" s="118">
        <v>885</v>
      </c>
      <c r="C55" s="118">
        <v>116</v>
      </c>
      <c r="D55" s="118">
        <v>20</v>
      </c>
      <c r="E55" s="118">
        <f>391+191</f>
        <v>582</v>
      </c>
      <c r="F55" s="37">
        <f aca="true" t="shared" si="9" ref="F55:F56">E55/D55</f>
        <v>29.1</v>
      </c>
      <c r="G55" s="37">
        <f aca="true" t="shared" si="10" ref="G55:G56">B55/C55</f>
        <v>7.629310344827586</v>
      </c>
      <c r="H55" s="38">
        <f aca="true" t="shared" si="11" ref="H55:H56">F55/G55</f>
        <v>3.8142372881355935</v>
      </c>
      <c r="I55" s="39">
        <f aca="true" t="shared" si="12" ref="I55:I56">H55/18</f>
        <v>0.21190207156308852</v>
      </c>
      <c r="J55" s="38">
        <v>8587</v>
      </c>
      <c r="K55" s="38">
        <v>0.08</v>
      </c>
      <c r="L55" s="38">
        <f aca="true" t="shared" si="13" ref="L55:L56">(10360.1+45122.98+294.6)/$D$60*D55/(10360.1+45122.98+294.6)</f>
        <v>0.6451612903225806</v>
      </c>
      <c r="M55" s="38">
        <f aca="true" t="shared" si="14" ref="M55:M59">I55*(J55*K55+J55)*(L55+1)*12*1.302</f>
        <v>50512.76401008813</v>
      </c>
      <c r="N55" s="38">
        <f aca="true" t="shared" si="15" ref="N55:N59">M55*B55</f>
        <v>44703796.148927994</v>
      </c>
      <c r="O55" s="38">
        <f aca="true" t="shared" si="16" ref="O55:O56">P55/N55</f>
        <v>0.17225308639049677</v>
      </c>
      <c r="P55" s="38">
        <f>P60/B60*B55</f>
        <v>7700366.860024451</v>
      </c>
      <c r="Q55" s="16"/>
      <c r="R55" s="119"/>
      <c r="S55" s="119"/>
      <c r="T55" s="40"/>
    </row>
    <row r="56" spans="1:20" ht="42" customHeight="1">
      <c r="A56" s="13" t="s">
        <v>136</v>
      </c>
      <c r="B56" s="118">
        <v>189</v>
      </c>
      <c r="C56" s="118">
        <v>25</v>
      </c>
      <c r="D56" s="118">
        <v>5</v>
      </c>
      <c r="E56" s="118">
        <f>62+18</f>
        <v>80</v>
      </c>
      <c r="F56" s="37">
        <f t="shared" si="9"/>
        <v>16</v>
      </c>
      <c r="G56" s="37">
        <f t="shared" si="10"/>
        <v>7.56</v>
      </c>
      <c r="H56" s="38">
        <f t="shared" si="11"/>
        <v>2.1164021164021167</v>
      </c>
      <c r="I56" s="39">
        <f t="shared" si="12"/>
        <v>0.11757789535567315</v>
      </c>
      <c r="J56" s="38">
        <v>8587</v>
      </c>
      <c r="K56" s="38">
        <v>0.08</v>
      </c>
      <c r="L56" s="38">
        <f t="shared" si="13"/>
        <v>0.16129032258064516</v>
      </c>
      <c r="M56" s="38">
        <f t="shared" si="14"/>
        <v>19784.448</v>
      </c>
      <c r="N56" s="38">
        <f t="shared" si="15"/>
        <v>3739260.6720000003</v>
      </c>
      <c r="O56" s="38">
        <f t="shared" si="16"/>
        <v>0.4397888433810479</v>
      </c>
      <c r="P56" s="38">
        <f aca="true" t="shared" si="17" ref="P56:P57">P60/B60*B56</f>
        <v>1644485.1260391201</v>
      </c>
      <c r="Q56" s="16"/>
      <c r="R56" s="119"/>
      <c r="S56" s="119"/>
      <c r="T56" s="23"/>
    </row>
    <row r="57" spans="1:20" ht="42" customHeight="1">
      <c r="A57" s="13" t="s">
        <v>14</v>
      </c>
      <c r="B57" s="118"/>
      <c r="C57" s="118"/>
      <c r="D57" s="118"/>
      <c r="E57" s="118"/>
      <c r="F57" s="37"/>
      <c r="G57" s="37">
        <v>0</v>
      </c>
      <c r="H57" s="38">
        <v>0</v>
      </c>
      <c r="I57" s="39">
        <v>0</v>
      </c>
      <c r="J57" s="38">
        <v>8587</v>
      </c>
      <c r="K57" s="38">
        <v>0</v>
      </c>
      <c r="L57" s="38">
        <f aca="true" t="shared" si="18" ref="L57:L58">(615.5+9355.61+52394.32)/$D$60*D57/(615.5+9355.61+52394.32)</f>
        <v>0</v>
      </c>
      <c r="M57" s="38">
        <f t="shared" si="14"/>
        <v>0</v>
      </c>
      <c r="N57" s="38">
        <f t="shared" si="15"/>
        <v>0</v>
      </c>
      <c r="O57" s="38">
        <v>0</v>
      </c>
      <c r="P57" s="38" t="e">
        <f t="shared" si="17"/>
        <v>#DIV/0!</v>
      </c>
      <c r="Q57" s="16"/>
      <c r="R57" s="119"/>
      <c r="S57" s="119"/>
      <c r="T57" s="23"/>
    </row>
    <row r="58" spans="1:20" ht="42" customHeight="1">
      <c r="A58" s="13" t="s">
        <v>15</v>
      </c>
      <c r="B58" s="118">
        <v>10</v>
      </c>
      <c r="C58" s="118">
        <v>1</v>
      </c>
      <c r="D58" s="118">
        <v>2</v>
      </c>
      <c r="E58" s="118">
        <v>6</v>
      </c>
      <c r="F58" s="37">
        <f aca="true" t="shared" si="19" ref="F58:F60">E58/D58</f>
        <v>3</v>
      </c>
      <c r="G58" s="37">
        <f aca="true" t="shared" si="20" ref="G58:G60">B58/C58</f>
        <v>10</v>
      </c>
      <c r="H58" s="38">
        <f aca="true" t="shared" si="21" ref="H58:H60">F58/G58</f>
        <v>0.3</v>
      </c>
      <c r="I58" s="39">
        <f aca="true" t="shared" si="22" ref="I58:I60">H58/18</f>
        <v>0.016666666666666666</v>
      </c>
      <c r="J58" s="38">
        <v>8587</v>
      </c>
      <c r="K58" s="38">
        <v>0.08</v>
      </c>
      <c r="L58" s="38">
        <f t="shared" si="18"/>
        <v>0.06451612903225806</v>
      </c>
      <c r="M58" s="38">
        <f t="shared" si="14"/>
        <v>2570.7417119999996</v>
      </c>
      <c r="N58" s="38">
        <f t="shared" si="15"/>
        <v>25707.417119999995</v>
      </c>
      <c r="O58" s="38">
        <f aca="true" t="shared" si="23" ref="O58:O60">P58/N58</f>
        <v>3.384618323278869</v>
      </c>
      <c r="P58" s="38">
        <f>P60/B60*B58</f>
        <v>87009.79502852488</v>
      </c>
      <c r="Q58" s="16"/>
      <c r="R58" s="119"/>
      <c r="S58" s="119"/>
      <c r="T58" s="23"/>
    </row>
    <row r="59" spans="1:20" ht="42" customHeight="1">
      <c r="A59" s="13" t="s">
        <v>16</v>
      </c>
      <c r="B59" s="118">
        <v>143</v>
      </c>
      <c r="C59" s="118">
        <v>11</v>
      </c>
      <c r="D59" s="118">
        <v>4</v>
      </c>
      <c r="E59" s="118">
        <v>44</v>
      </c>
      <c r="F59" s="37">
        <f t="shared" si="19"/>
        <v>11</v>
      </c>
      <c r="G59" s="37">
        <f t="shared" si="20"/>
        <v>13</v>
      </c>
      <c r="H59" s="38">
        <f t="shared" si="21"/>
        <v>0.8461538461538461</v>
      </c>
      <c r="I59" s="39">
        <f t="shared" si="22"/>
        <v>0.04700854700854701</v>
      </c>
      <c r="J59" s="38">
        <v>8587</v>
      </c>
      <c r="K59" s="38">
        <v>0.08</v>
      </c>
      <c r="L59" s="38">
        <f>(10360.1+45122.98+294.6)/$D$60*D59/(10360.1+45122.98+294.6)</f>
        <v>0.12903225806451613</v>
      </c>
      <c r="M59" s="38">
        <f t="shared" si="14"/>
        <v>7690.252984615383</v>
      </c>
      <c r="N59" s="38">
        <f t="shared" si="15"/>
        <v>1099706.1767999998</v>
      </c>
      <c r="O59" s="38">
        <f t="shared" si="23"/>
        <v>1.1314295537817936</v>
      </c>
      <c r="P59" s="38">
        <f>P60/B60*B59</f>
        <v>1244240.0689079058</v>
      </c>
      <c r="Q59" s="16"/>
      <c r="R59" s="119"/>
      <c r="S59" s="119"/>
      <c r="T59" s="23"/>
    </row>
    <row r="60" spans="1:20" ht="42" customHeight="1">
      <c r="A60" s="17" t="s">
        <v>17</v>
      </c>
      <c r="B60" s="118">
        <f>B55+B56+B57+B58+B59</f>
        <v>1227</v>
      </c>
      <c r="C60" s="118">
        <f>C55+C56+C57+C58+C59</f>
        <v>153</v>
      </c>
      <c r="D60" s="118">
        <f>D55+D56+D57+D58+D59</f>
        <v>31</v>
      </c>
      <c r="E60" s="118">
        <f>E55+E56+E57+E58+E59</f>
        <v>712</v>
      </c>
      <c r="F60" s="37">
        <f t="shared" si="19"/>
        <v>22.967741935483872</v>
      </c>
      <c r="G60" s="37">
        <f t="shared" si="20"/>
        <v>8.019607843137255</v>
      </c>
      <c r="H60" s="38">
        <f t="shared" si="21"/>
        <v>2.863948260903857</v>
      </c>
      <c r="I60" s="39">
        <f t="shared" si="22"/>
        <v>0.15910823671688093</v>
      </c>
      <c r="J60" s="38">
        <v>8587</v>
      </c>
      <c r="K60" s="18">
        <v>0.08</v>
      </c>
      <c r="L60" s="18">
        <f>L55+L56+L57+L58+L59</f>
        <v>0.9999999999999999</v>
      </c>
      <c r="M60" s="38">
        <f>N60/B60</f>
        <v>40377.14995739853</v>
      </c>
      <c r="N60" s="38">
        <f>N55+N56+N59</f>
        <v>49542762.99772799</v>
      </c>
      <c r="O60" s="38">
        <f t="shared" si="23"/>
        <v>0.2154926613699281</v>
      </c>
      <c r="P60" s="38">
        <f>11196982+3381489-A172-B172-C172+107404.14+882.53-2784.44-270.63</f>
        <v>10676101.850000001</v>
      </c>
      <c r="Q60" s="120"/>
      <c r="R60" s="119"/>
      <c r="S60" s="119"/>
      <c r="T60" s="23"/>
    </row>
    <row r="61" spans="1:18" ht="19.5" customHeight="1">
      <c r="A61" s="44"/>
      <c r="B61" s="45"/>
      <c r="C61" s="45"/>
      <c r="D61" s="45"/>
      <c r="E61" s="45"/>
      <c r="F61" s="46"/>
      <c r="G61" s="46"/>
      <c r="H61" s="47"/>
      <c r="I61" s="48"/>
      <c r="J61" s="20"/>
      <c r="K61" s="20"/>
      <c r="L61" s="20"/>
      <c r="M61" s="47"/>
      <c r="N61" s="47"/>
      <c r="O61" s="47"/>
      <c r="P61" s="47"/>
      <c r="Q61" s="47"/>
      <c r="R61" s="2"/>
    </row>
    <row r="62" spans="1:18" ht="19.5" customHeight="1">
      <c r="A62" s="49" t="s">
        <v>54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>
        <f>O60</f>
        <v>0.2154926613699281</v>
      </c>
      <c r="M62" s="51"/>
      <c r="N62" s="51"/>
      <c r="O62" s="51"/>
      <c r="P62" s="51"/>
      <c r="Q62" s="87"/>
      <c r="R62" s="2"/>
    </row>
    <row r="63" spans="1:18" ht="12.75">
      <c r="A63" s="29"/>
      <c r="B63" s="29"/>
      <c r="C63" s="29"/>
      <c r="D63" s="29"/>
      <c r="E63" s="29"/>
      <c r="F63" s="28"/>
      <c r="G63" s="28"/>
      <c r="H63" s="28"/>
      <c r="I63" s="28"/>
      <c r="J63" s="28"/>
      <c r="K63" s="28"/>
      <c r="L63" s="28"/>
      <c r="M63" s="29"/>
      <c r="N63" s="29"/>
      <c r="O63" s="29"/>
      <c r="P63" s="29"/>
      <c r="Q63" s="29"/>
      <c r="R63" s="29"/>
    </row>
    <row r="64" spans="1:17" ht="38.25" customHeight="1">
      <c r="A64" s="52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N64" s="2"/>
      <c r="O64" s="2"/>
      <c r="P64" s="2"/>
      <c r="Q64" s="2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27" customHeight="1">
      <c r="A66" s="53" t="s">
        <v>56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6.5">
      <c r="A68" s="29" t="s">
        <v>57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6.5">
      <c r="A70" s="54" t="s">
        <v>58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6.5">
      <c r="A72" s="54" t="s">
        <v>59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38.25" customHeight="1">
      <c r="A74" s="7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6.5">
      <c r="A76" s="54" t="s">
        <v>61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ht="51">
      <c r="A78" s="9" t="s">
        <v>62</v>
      </c>
      <c r="B78" s="55" t="s">
        <v>63</v>
      </c>
      <c r="C78" s="9" t="s">
        <v>64</v>
      </c>
      <c r="D78" s="9" t="s">
        <v>65</v>
      </c>
      <c r="E78" s="9" t="s">
        <v>48</v>
      </c>
      <c r="F78" s="9" t="s">
        <v>49</v>
      </c>
      <c r="G78" s="54"/>
      <c r="H78" s="54"/>
      <c r="I78" s="54"/>
      <c r="J78" s="54"/>
      <c r="K78" s="54"/>
      <c r="L78" s="54"/>
      <c r="M78" s="54"/>
    </row>
    <row r="79" spans="1:13" ht="16.5">
      <c r="A79" s="56" t="s">
        <v>66</v>
      </c>
      <c r="B79" s="57">
        <f>B60</f>
        <v>1227</v>
      </c>
      <c r="C79" s="58">
        <f>F125</f>
        <v>744.2216788916056</v>
      </c>
      <c r="D79" s="58">
        <f>E125</f>
        <v>913160</v>
      </c>
      <c r="E79" s="59">
        <f>G125</f>
        <v>0.9134187875071181</v>
      </c>
      <c r="F79" s="59">
        <f aca="true" t="shared" si="24" ref="F79:F108">D79*E79</f>
        <v>834097.5</v>
      </c>
      <c r="G79" s="54"/>
      <c r="H79" s="54"/>
      <c r="I79" s="54"/>
      <c r="J79" s="54"/>
      <c r="K79" s="54"/>
      <c r="L79" s="54"/>
      <c r="M79" s="54"/>
    </row>
    <row r="80" spans="1:13" ht="25.5">
      <c r="A80" s="13" t="s">
        <v>12</v>
      </c>
      <c r="B80" s="121">
        <f>B55</f>
        <v>885</v>
      </c>
      <c r="C80" s="61">
        <f>F125</f>
        <v>744.2216788916056</v>
      </c>
      <c r="D80" s="61">
        <f aca="true" t="shared" si="25" ref="D80:D84">B80*C80</f>
        <v>658636.185819071</v>
      </c>
      <c r="E80" s="61">
        <f>E79</f>
        <v>0.9134187875071181</v>
      </c>
      <c r="F80" s="61">
        <f t="shared" si="24"/>
        <v>601610.6662591688</v>
      </c>
      <c r="G80" s="73"/>
      <c r="H80" s="54"/>
      <c r="I80" s="54"/>
      <c r="J80" s="54"/>
      <c r="K80" s="54"/>
      <c r="L80" s="54"/>
      <c r="M80" s="54"/>
    </row>
    <row r="81" spans="1:13" ht="25.5">
      <c r="A81" s="13" t="s">
        <v>13</v>
      </c>
      <c r="B81" s="121">
        <v>0</v>
      </c>
      <c r="C81" s="61">
        <v>0</v>
      </c>
      <c r="D81" s="61">
        <f t="shared" si="25"/>
        <v>0</v>
      </c>
      <c r="E81" s="61">
        <f>E79</f>
        <v>0.9134187875071181</v>
      </c>
      <c r="F81" s="61">
        <f t="shared" si="24"/>
        <v>0</v>
      </c>
      <c r="G81" s="54"/>
      <c r="H81" s="54"/>
      <c r="I81" s="54"/>
      <c r="J81" s="54"/>
      <c r="K81" s="54"/>
      <c r="L81" s="54"/>
      <c r="M81" s="54"/>
    </row>
    <row r="82" spans="1:13" ht="12.75">
      <c r="A82" s="13" t="s">
        <v>136</v>
      </c>
      <c r="B82" s="121">
        <f>B56</f>
        <v>189</v>
      </c>
      <c r="C82" s="61">
        <f aca="true" t="shared" si="26" ref="C82:C83">C79</f>
        <v>744.2216788916056</v>
      </c>
      <c r="D82" s="61">
        <f t="shared" si="25"/>
        <v>140657.89731051345</v>
      </c>
      <c r="E82" s="61">
        <f>E79</f>
        <v>0.9134187875071181</v>
      </c>
      <c r="F82" s="61">
        <f t="shared" si="24"/>
        <v>128479.56601466992</v>
      </c>
      <c r="G82" s="54"/>
      <c r="H82" s="54"/>
      <c r="I82" s="54"/>
      <c r="J82" s="54"/>
      <c r="K82" s="54"/>
      <c r="L82" s="54"/>
      <c r="M82" s="54"/>
    </row>
    <row r="83" spans="1:13" ht="25.5">
      <c r="A83" s="13" t="s">
        <v>15</v>
      </c>
      <c r="B83" s="121">
        <f aca="true" t="shared" si="27" ref="B83:B84">B58</f>
        <v>10</v>
      </c>
      <c r="C83" s="61">
        <f t="shared" si="26"/>
        <v>744.2216788916056</v>
      </c>
      <c r="D83" s="61">
        <f t="shared" si="25"/>
        <v>7442.216788916056</v>
      </c>
      <c r="E83" s="61">
        <f>E79</f>
        <v>0.9134187875071181</v>
      </c>
      <c r="F83" s="61">
        <f t="shared" si="24"/>
        <v>6797.860635696822</v>
      </c>
      <c r="G83" s="54"/>
      <c r="H83" s="54"/>
      <c r="I83" s="54"/>
      <c r="J83" s="54"/>
      <c r="K83" s="54"/>
      <c r="L83" s="54"/>
      <c r="M83" s="54"/>
    </row>
    <row r="84" spans="1:13" ht="25.5">
      <c r="A84" s="13" t="s">
        <v>16</v>
      </c>
      <c r="B84" s="121">
        <f t="shared" si="27"/>
        <v>143</v>
      </c>
      <c r="C84" s="61">
        <f>C79</f>
        <v>744.2216788916056</v>
      </c>
      <c r="D84" s="61">
        <f t="shared" si="25"/>
        <v>106423.7000814996</v>
      </c>
      <c r="E84" s="61">
        <f>E79</f>
        <v>0.9134187875071181</v>
      </c>
      <c r="F84" s="61">
        <f t="shared" si="24"/>
        <v>97209.40709046455</v>
      </c>
      <c r="G84" s="54"/>
      <c r="H84" s="54"/>
      <c r="I84" s="54"/>
      <c r="J84" s="54"/>
      <c r="K84" s="54"/>
      <c r="L84" s="54"/>
      <c r="M84" s="54"/>
    </row>
    <row r="85" spans="1:13" ht="16.5">
      <c r="A85" s="62" t="s">
        <v>67</v>
      </c>
      <c r="B85" s="57">
        <f aca="true" t="shared" si="28" ref="B85:B90">B79</f>
        <v>1227</v>
      </c>
      <c r="C85" s="59">
        <f>F140</f>
        <v>1229.928280358598</v>
      </c>
      <c r="D85" s="59">
        <f>E140</f>
        <v>1509122</v>
      </c>
      <c r="E85" s="59">
        <f>G140</f>
        <v>0.8851872148176224</v>
      </c>
      <c r="F85" s="59">
        <f t="shared" si="24"/>
        <v>1335855.5</v>
      </c>
      <c r="G85" s="73"/>
      <c r="H85" s="54"/>
      <c r="I85" s="54"/>
      <c r="J85" s="54"/>
      <c r="K85" s="54"/>
      <c r="L85" s="54"/>
      <c r="M85" s="54"/>
    </row>
    <row r="86" spans="1:13" ht="25.5">
      <c r="A86" s="13" t="s">
        <v>12</v>
      </c>
      <c r="B86" s="121">
        <f t="shared" si="28"/>
        <v>885</v>
      </c>
      <c r="C86" s="61">
        <f>C85</f>
        <v>1229.928280358598</v>
      </c>
      <c r="D86" s="61">
        <f aca="true" t="shared" si="29" ref="D86:D96">B86*C86</f>
        <v>1088486.5281173592</v>
      </c>
      <c r="E86" s="61">
        <f>E85</f>
        <v>0.8851872148176224</v>
      </c>
      <c r="F86" s="61">
        <f t="shared" si="24"/>
        <v>963514.3581907088</v>
      </c>
      <c r="G86" s="54"/>
      <c r="H86" s="54"/>
      <c r="I86" s="54"/>
      <c r="J86" s="54"/>
      <c r="K86" s="54"/>
      <c r="L86" s="54"/>
      <c r="M86" s="54"/>
    </row>
    <row r="87" spans="1:13" ht="25.5">
      <c r="A87" s="13" t="s">
        <v>13</v>
      </c>
      <c r="B87" s="121">
        <f t="shared" si="28"/>
        <v>0</v>
      </c>
      <c r="C87" s="61">
        <v>0</v>
      </c>
      <c r="D87" s="61">
        <f t="shared" si="29"/>
        <v>0</v>
      </c>
      <c r="E87" s="61">
        <f>E85</f>
        <v>0.8851872148176224</v>
      </c>
      <c r="F87" s="61">
        <f t="shared" si="24"/>
        <v>0</v>
      </c>
      <c r="G87" s="54"/>
      <c r="H87" s="54"/>
      <c r="I87" s="54"/>
      <c r="J87" s="54"/>
      <c r="K87" s="54"/>
      <c r="L87" s="54"/>
      <c r="M87" s="54"/>
    </row>
    <row r="88" spans="1:13" ht="12.75">
      <c r="A88" s="13" t="s">
        <v>136</v>
      </c>
      <c r="B88" s="121">
        <f t="shared" si="28"/>
        <v>189</v>
      </c>
      <c r="C88" s="61">
        <f aca="true" t="shared" si="30" ref="C88:C89">C85</f>
        <v>1229.928280358598</v>
      </c>
      <c r="D88" s="61">
        <f t="shared" si="29"/>
        <v>232456.444987775</v>
      </c>
      <c r="E88" s="61">
        <f>E85</f>
        <v>0.8851872148176224</v>
      </c>
      <c r="F88" s="61">
        <f t="shared" si="24"/>
        <v>205767.4731051344</v>
      </c>
      <c r="G88" s="54"/>
      <c r="H88" s="54"/>
      <c r="I88" s="54"/>
      <c r="J88" s="54"/>
      <c r="K88" s="54"/>
      <c r="L88" s="54"/>
      <c r="M88" s="54"/>
    </row>
    <row r="89" spans="1:13" ht="25.5">
      <c r="A89" s="13" t="s">
        <v>15</v>
      </c>
      <c r="B89" s="121">
        <f t="shared" si="28"/>
        <v>10</v>
      </c>
      <c r="C89" s="61">
        <f t="shared" si="30"/>
        <v>1229.928280358598</v>
      </c>
      <c r="D89" s="61">
        <f t="shared" si="29"/>
        <v>12299.282803585978</v>
      </c>
      <c r="E89" s="61">
        <f>E85</f>
        <v>0.8851872148176224</v>
      </c>
      <c r="F89" s="61">
        <f t="shared" si="24"/>
        <v>10887.167889160552</v>
      </c>
      <c r="G89" s="54"/>
      <c r="H89" s="54"/>
      <c r="I89" s="54"/>
      <c r="J89" s="54"/>
      <c r="K89" s="54"/>
      <c r="L89" s="54"/>
      <c r="M89" s="54"/>
    </row>
    <row r="90" spans="1:13" ht="25.5">
      <c r="A90" s="13" t="s">
        <v>16</v>
      </c>
      <c r="B90" s="121">
        <f t="shared" si="28"/>
        <v>143</v>
      </c>
      <c r="C90" s="61">
        <f>C85</f>
        <v>1229.928280358598</v>
      </c>
      <c r="D90" s="61">
        <f t="shared" si="29"/>
        <v>175879.7440912795</v>
      </c>
      <c r="E90" s="61">
        <f>E85</f>
        <v>0.8851872148176224</v>
      </c>
      <c r="F90" s="61">
        <f t="shared" si="24"/>
        <v>155686.5008149959</v>
      </c>
      <c r="G90" s="54"/>
      <c r="H90" s="54"/>
      <c r="I90" s="54"/>
      <c r="J90" s="54"/>
      <c r="K90" s="54"/>
      <c r="L90" s="54"/>
      <c r="M90" s="54"/>
    </row>
    <row r="91" spans="1:13" ht="15.75">
      <c r="A91" s="63" t="s">
        <v>68</v>
      </c>
      <c r="B91" s="57">
        <f>B60</f>
        <v>1227</v>
      </c>
      <c r="C91" s="59">
        <f>F150</f>
        <v>37.78728606356968</v>
      </c>
      <c r="D91" s="59">
        <f t="shared" si="29"/>
        <v>46365</v>
      </c>
      <c r="E91" s="59">
        <f>G150</f>
        <v>0.9094359969804809</v>
      </c>
      <c r="F91" s="59">
        <f t="shared" si="24"/>
        <v>42166</v>
      </c>
      <c r="G91" s="54"/>
      <c r="H91" s="54"/>
      <c r="I91" s="54"/>
      <c r="J91" s="54"/>
      <c r="K91" s="54"/>
      <c r="L91" s="54"/>
      <c r="M91" s="54"/>
    </row>
    <row r="92" spans="1:13" ht="25.5">
      <c r="A92" s="13" t="s">
        <v>12</v>
      </c>
      <c r="B92" s="121">
        <f aca="true" t="shared" si="31" ref="B92:B96">B86</f>
        <v>885</v>
      </c>
      <c r="C92" s="61">
        <f>C91</f>
        <v>37.78728606356968</v>
      </c>
      <c r="D92" s="61">
        <f t="shared" si="29"/>
        <v>33441.74816625917</v>
      </c>
      <c r="E92" s="61">
        <f aca="true" t="shared" si="32" ref="E92:E96">E91</f>
        <v>0.9094359969804809</v>
      </c>
      <c r="F92" s="61">
        <f t="shared" si="24"/>
        <v>30413.129584352075</v>
      </c>
      <c r="G92" s="54"/>
      <c r="H92" s="54"/>
      <c r="I92" s="54"/>
      <c r="J92" s="54"/>
      <c r="K92" s="54"/>
      <c r="L92" s="54"/>
      <c r="M92" s="54"/>
    </row>
    <row r="93" spans="1:13" ht="25.5">
      <c r="A93" s="13" t="s">
        <v>13</v>
      </c>
      <c r="B93" s="121">
        <f t="shared" si="31"/>
        <v>0</v>
      </c>
      <c r="C93" s="61">
        <v>0</v>
      </c>
      <c r="D93" s="61">
        <f t="shared" si="29"/>
        <v>0</v>
      </c>
      <c r="E93" s="61">
        <f t="shared" si="32"/>
        <v>0.9094359969804809</v>
      </c>
      <c r="F93" s="61">
        <f t="shared" si="24"/>
        <v>0</v>
      </c>
      <c r="G93" s="54"/>
      <c r="H93" s="54"/>
      <c r="I93" s="54"/>
      <c r="J93" s="54"/>
      <c r="K93" s="54"/>
      <c r="L93" s="54"/>
      <c r="M93" s="54"/>
    </row>
    <row r="94" spans="1:13" ht="12.75">
      <c r="A94" s="13" t="s">
        <v>136</v>
      </c>
      <c r="B94" s="121">
        <f t="shared" si="31"/>
        <v>189</v>
      </c>
      <c r="C94" s="61">
        <f aca="true" t="shared" si="33" ref="C94:C95">C91</f>
        <v>37.78728606356968</v>
      </c>
      <c r="D94" s="61">
        <f t="shared" si="29"/>
        <v>7141.797066014669</v>
      </c>
      <c r="E94" s="61">
        <f t="shared" si="32"/>
        <v>0.9094359969804809</v>
      </c>
      <c r="F94" s="61">
        <f t="shared" si="24"/>
        <v>6495.007334963325</v>
      </c>
      <c r="G94" s="54"/>
      <c r="H94" s="54"/>
      <c r="I94" s="54"/>
      <c r="J94" s="54"/>
      <c r="K94" s="54"/>
      <c r="L94" s="54"/>
      <c r="M94" s="54"/>
    </row>
    <row r="95" spans="1:13" ht="25.5">
      <c r="A95" s="13" t="s">
        <v>15</v>
      </c>
      <c r="B95" s="121">
        <f t="shared" si="31"/>
        <v>10</v>
      </c>
      <c r="C95" s="61">
        <f t="shared" si="33"/>
        <v>37.78728606356968</v>
      </c>
      <c r="D95" s="61">
        <f t="shared" si="29"/>
        <v>377.87286063569684</v>
      </c>
      <c r="E95" s="61">
        <f t="shared" si="32"/>
        <v>0.9094359969804809</v>
      </c>
      <c r="F95" s="61">
        <f t="shared" si="24"/>
        <v>343.6511817440913</v>
      </c>
      <c r="G95" s="54"/>
      <c r="H95" s="54"/>
      <c r="I95" s="54"/>
      <c r="J95" s="54"/>
      <c r="K95" s="54"/>
      <c r="L95" s="54"/>
      <c r="M95" s="54"/>
    </row>
    <row r="96" spans="1:13" ht="25.5">
      <c r="A96" s="13" t="s">
        <v>16</v>
      </c>
      <c r="B96" s="121">
        <f t="shared" si="31"/>
        <v>143</v>
      </c>
      <c r="C96" s="61">
        <f>C91</f>
        <v>37.78728606356968</v>
      </c>
      <c r="D96" s="61">
        <f t="shared" si="29"/>
        <v>5403.5819070904645</v>
      </c>
      <c r="E96" s="61">
        <f t="shared" si="32"/>
        <v>0.9094359969804809</v>
      </c>
      <c r="F96" s="61">
        <f t="shared" si="24"/>
        <v>4914.211898940505</v>
      </c>
      <c r="G96" s="54"/>
      <c r="H96" s="54"/>
      <c r="I96" s="54"/>
      <c r="J96" s="54"/>
      <c r="K96" s="54"/>
      <c r="L96" s="54"/>
      <c r="M96" s="54"/>
    </row>
    <row r="97" spans="1:13" ht="18" customHeight="1">
      <c r="A97" s="64" t="s">
        <v>69</v>
      </c>
      <c r="B97" s="65">
        <f>B60</f>
        <v>1227</v>
      </c>
      <c r="C97" s="66">
        <f>D97/B97</f>
        <v>3267.873079000437</v>
      </c>
      <c r="D97" s="66">
        <f>D98+D99+D100+D101+D102</f>
        <v>4009680.2679335363</v>
      </c>
      <c r="E97" s="66">
        <f>F185</f>
        <v>1</v>
      </c>
      <c r="F97" s="66">
        <f t="shared" si="24"/>
        <v>4009680.2679335363</v>
      </c>
      <c r="G97" s="67"/>
      <c r="H97" s="67"/>
      <c r="I97" s="67"/>
      <c r="J97" s="67"/>
      <c r="K97" s="67"/>
      <c r="L97" s="67"/>
      <c r="M97" s="67"/>
    </row>
    <row r="98" spans="1:13" ht="25.5">
      <c r="A98" s="13" t="s">
        <v>12</v>
      </c>
      <c r="B98" s="121">
        <f aca="true" t="shared" si="34" ref="B98:B102">B92</f>
        <v>885</v>
      </c>
      <c r="C98" s="61">
        <f>D180</f>
        <v>4086.065828437663</v>
      </c>
      <c r="D98" s="61">
        <f aca="true" t="shared" si="35" ref="D98:D108">B98*C98</f>
        <v>3616168.258167332</v>
      </c>
      <c r="E98" s="61">
        <f aca="true" t="shared" si="36" ref="E98:E102">F180</f>
        <v>1</v>
      </c>
      <c r="F98" s="61">
        <f t="shared" si="24"/>
        <v>3616168.258167332</v>
      </c>
      <c r="G98" s="54"/>
      <c r="H98" s="54"/>
      <c r="I98" s="54"/>
      <c r="J98" s="54"/>
      <c r="K98" s="54"/>
      <c r="L98" s="54"/>
      <c r="M98" s="54"/>
    </row>
    <row r="99" spans="1:13" ht="25.5">
      <c r="A99" s="13" t="s">
        <v>13</v>
      </c>
      <c r="B99" s="121">
        <f t="shared" si="34"/>
        <v>0</v>
      </c>
      <c r="C99" s="61">
        <v>0</v>
      </c>
      <c r="D99" s="61">
        <f t="shared" si="35"/>
        <v>0</v>
      </c>
      <c r="E99" s="61">
        <f t="shared" si="36"/>
        <v>1</v>
      </c>
      <c r="F99" s="61">
        <f t="shared" si="24"/>
        <v>0</v>
      </c>
      <c r="G99" s="54"/>
      <c r="H99" s="54"/>
      <c r="I99" s="54"/>
      <c r="J99" s="54"/>
      <c r="K99" s="54"/>
      <c r="L99" s="54"/>
      <c r="M99" s="54"/>
    </row>
    <row r="100" spans="1:13" ht="12.75">
      <c r="A100" s="13" t="s">
        <v>136</v>
      </c>
      <c r="B100" s="121">
        <f t="shared" si="34"/>
        <v>189</v>
      </c>
      <c r="C100" s="61">
        <f aca="true" t="shared" si="37" ref="C100:C102">D182</f>
        <v>1600.3986020475306</v>
      </c>
      <c r="D100" s="61">
        <f t="shared" si="35"/>
        <v>302475.3357869833</v>
      </c>
      <c r="E100" s="61">
        <f t="shared" si="36"/>
        <v>1</v>
      </c>
      <c r="F100" s="61">
        <f t="shared" si="24"/>
        <v>302475.3357869833</v>
      </c>
      <c r="G100" s="54"/>
      <c r="H100" s="54"/>
      <c r="I100" s="54"/>
      <c r="J100" s="54"/>
      <c r="K100" s="54"/>
      <c r="L100" s="54"/>
      <c r="M100" s="54"/>
    </row>
    <row r="101" spans="1:13" ht="25.5">
      <c r="A101" s="13" t="s">
        <v>15</v>
      </c>
      <c r="B101" s="121">
        <f t="shared" si="34"/>
        <v>10</v>
      </c>
      <c r="C101" s="61">
        <f t="shared" si="37"/>
        <v>207.95179335355098</v>
      </c>
      <c r="D101" s="61">
        <f t="shared" si="35"/>
        <v>2079.5179335355097</v>
      </c>
      <c r="E101" s="61">
        <f t="shared" si="36"/>
        <v>1</v>
      </c>
      <c r="F101" s="61">
        <f t="shared" si="24"/>
        <v>2079.5179335355097</v>
      </c>
      <c r="G101" s="54"/>
      <c r="H101" s="54"/>
      <c r="I101" s="54"/>
      <c r="J101" s="54"/>
      <c r="K101" s="54"/>
      <c r="L101" s="54"/>
      <c r="M101" s="54"/>
    </row>
    <row r="102" spans="1:13" ht="25.5">
      <c r="A102" s="13" t="s">
        <v>16</v>
      </c>
      <c r="B102" s="121">
        <f t="shared" si="34"/>
        <v>143</v>
      </c>
      <c r="C102" s="61">
        <f t="shared" si="37"/>
        <v>622.0780143054943</v>
      </c>
      <c r="D102" s="61">
        <f t="shared" si="35"/>
        <v>88957.15604568568</v>
      </c>
      <c r="E102" s="61">
        <f t="shared" si="36"/>
        <v>1</v>
      </c>
      <c r="F102" s="61">
        <f t="shared" si="24"/>
        <v>88957.15604568568</v>
      </c>
      <c r="G102" s="54"/>
      <c r="H102" s="54"/>
      <c r="I102" s="54"/>
      <c r="J102" s="54"/>
      <c r="K102" s="54"/>
      <c r="L102" s="54"/>
      <c r="M102" s="54"/>
    </row>
    <row r="103" spans="1:13" ht="16.5">
      <c r="A103" s="63" t="s">
        <v>70</v>
      </c>
      <c r="B103" s="65">
        <f>B60</f>
        <v>1227</v>
      </c>
      <c r="C103" s="68">
        <f>C194</f>
        <v>21.237163814180928</v>
      </c>
      <c r="D103" s="69">
        <f t="shared" si="35"/>
        <v>26058</v>
      </c>
      <c r="E103" s="59">
        <f>D194</f>
        <v>0.9093944278148746</v>
      </c>
      <c r="F103" s="59">
        <f t="shared" si="24"/>
        <v>23697</v>
      </c>
      <c r="G103" s="54"/>
      <c r="H103" s="54"/>
      <c r="I103" s="54"/>
      <c r="J103" s="54"/>
      <c r="K103" s="54"/>
      <c r="L103" s="54"/>
      <c r="M103" s="54"/>
    </row>
    <row r="104" spans="1:13" ht="25.5">
      <c r="A104" s="13" t="s">
        <v>12</v>
      </c>
      <c r="B104" s="121">
        <f aca="true" t="shared" si="38" ref="B104:B108">B98</f>
        <v>885</v>
      </c>
      <c r="C104" s="61">
        <f aca="true" t="shared" si="39" ref="C104:C105">C103</f>
        <v>21.237163814180928</v>
      </c>
      <c r="D104" s="61">
        <f t="shared" si="35"/>
        <v>18794.889975550122</v>
      </c>
      <c r="E104" s="61">
        <f aca="true" t="shared" si="40" ref="E104:E108">E103</f>
        <v>0.9093944278148746</v>
      </c>
      <c r="F104" s="61">
        <f t="shared" si="24"/>
        <v>17091.968215158926</v>
      </c>
      <c r="G104" s="54"/>
      <c r="H104" s="54"/>
      <c r="I104" s="54"/>
      <c r="J104" s="54"/>
      <c r="K104" s="54"/>
      <c r="L104" s="54"/>
      <c r="M104" s="54"/>
    </row>
    <row r="105" spans="1:13" ht="25.5">
      <c r="A105" s="13" t="s">
        <v>13</v>
      </c>
      <c r="B105" s="121">
        <f t="shared" si="38"/>
        <v>0</v>
      </c>
      <c r="C105" s="61">
        <f t="shared" si="39"/>
        <v>21.237163814180928</v>
      </c>
      <c r="D105" s="61">
        <f t="shared" si="35"/>
        <v>0</v>
      </c>
      <c r="E105" s="61">
        <f t="shared" si="40"/>
        <v>0.9093944278148746</v>
      </c>
      <c r="F105" s="61">
        <f t="shared" si="24"/>
        <v>0</v>
      </c>
      <c r="G105" s="54"/>
      <c r="H105" s="54"/>
      <c r="I105" s="54"/>
      <c r="J105" s="54"/>
      <c r="K105" s="54"/>
      <c r="L105" s="54"/>
      <c r="M105" s="54"/>
    </row>
    <row r="106" spans="1:13" ht="12.75">
      <c r="A106" s="13" t="s">
        <v>136</v>
      </c>
      <c r="B106" s="121">
        <f t="shared" si="38"/>
        <v>189</v>
      </c>
      <c r="C106" s="61">
        <f aca="true" t="shared" si="41" ref="C106:C108">C103</f>
        <v>21.237163814180928</v>
      </c>
      <c r="D106" s="61">
        <f t="shared" si="35"/>
        <v>4013.8239608801955</v>
      </c>
      <c r="E106" s="61">
        <f t="shared" si="40"/>
        <v>0.9093944278148746</v>
      </c>
      <c r="F106" s="61">
        <f t="shared" si="24"/>
        <v>3650.149144254279</v>
      </c>
      <c r="G106" s="54"/>
      <c r="H106" s="54"/>
      <c r="I106" s="54"/>
      <c r="J106" s="54"/>
      <c r="K106" s="54"/>
      <c r="L106" s="54"/>
      <c r="M106" s="54"/>
    </row>
    <row r="107" spans="1:13" ht="25.5">
      <c r="A107" s="13" t="s">
        <v>15</v>
      </c>
      <c r="B107" s="121">
        <f t="shared" si="38"/>
        <v>10</v>
      </c>
      <c r="C107" s="61">
        <f t="shared" si="41"/>
        <v>21.237163814180928</v>
      </c>
      <c r="D107" s="61">
        <f t="shared" si="35"/>
        <v>212.37163814180929</v>
      </c>
      <c r="E107" s="61">
        <f t="shared" si="40"/>
        <v>0.9093944278148746</v>
      </c>
      <c r="F107" s="61">
        <f t="shared" si="24"/>
        <v>193.12958435207824</v>
      </c>
      <c r="G107" s="54"/>
      <c r="H107" s="54"/>
      <c r="I107" s="54"/>
      <c r="J107" s="54"/>
      <c r="K107" s="54"/>
      <c r="L107" s="54"/>
      <c r="M107" s="54"/>
    </row>
    <row r="108" spans="1:13" ht="25.5">
      <c r="A108" s="13" t="s">
        <v>16</v>
      </c>
      <c r="B108" s="121">
        <f t="shared" si="38"/>
        <v>143</v>
      </c>
      <c r="C108" s="61">
        <f t="shared" si="41"/>
        <v>21.237163814180928</v>
      </c>
      <c r="D108" s="61">
        <f t="shared" si="35"/>
        <v>3036.9144254278726</v>
      </c>
      <c r="E108" s="61">
        <f t="shared" si="40"/>
        <v>0.9093944278148746</v>
      </c>
      <c r="F108" s="61">
        <f t="shared" si="24"/>
        <v>2761.7530562347188</v>
      </c>
      <c r="G108" s="54"/>
      <c r="H108" s="54"/>
      <c r="I108" s="54"/>
      <c r="J108" s="54"/>
      <c r="K108" s="54"/>
      <c r="L108" s="54"/>
      <c r="M108" s="54"/>
    </row>
    <row r="109" spans="1:13" ht="15.75">
      <c r="A109" s="70" t="s">
        <v>71</v>
      </c>
      <c r="B109" s="71">
        <f>B60</f>
        <v>1227</v>
      </c>
      <c r="C109" s="72">
        <f aca="true" t="shared" si="42" ref="C109:C114">D109/B109</f>
        <v>4991.592641713572</v>
      </c>
      <c r="D109" s="72">
        <f>D110+D111+D112+D113</f>
        <v>6124684.171382553</v>
      </c>
      <c r="E109" s="72">
        <f aca="true" t="shared" si="43" ref="E109:E114">F109/D109</f>
        <v>1.019725441046491</v>
      </c>
      <c r="F109" s="72">
        <f>F79+F85+F91+F103+F97</f>
        <v>6245496.267933536</v>
      </c>
      <c r="G109" s="73">
        <f>F79+F85+F91+F97+F103</f>
        <v>6245496.267933536</v>
      </c>
      <c r="H109" s="54"/>
      <c r="I109" s="54"/>
      <c r="J109" s="54"/>
      <c r="K109" s="54"/>
      <c r="L109" s="54"/>
      <c r="M109" s="54"/>
    </row>
    <row r="110" spans="1:13" ht="25.5">
      <c r="A110" s="74" t="s">
        <v>12</v>
      </c>
      <c r="B110" s="122">
        <f aca="true" t="shared" si="44" ref="B110:B114">B104</f>
        <v>885</v>
      </c>
      <c r="C110" s="76">
        <f t="shared" si="42"/>
        <v>6119.2402375656175</v>
      </c>
      <c r="D110" s="76">
        <f aca="true" t="shared" si="45" ref="D110:D114">D80+D86+D92+D98+D104</f>
        <v>5415527.6102455715</v>
      </c>
      <c r="E110" s="76">
        <f t="shared" si="43"/>
        <v>0.96551966063739</v>
      </c>
      <c r="F110" s="76">
        <f aca="true" t="shared" si="46" ref="F110:F114">F80+F86+F92+F98+F104</f>
        <v>5228798.38041672</v>
      </c>
      <c r="G110" s="73"/>
      <c r="H110" s="54"/>
      <c r="I110" s="54"/>
      <c r="J110" s="54"/>
      <c r="K110" s="54"/>
      <c r="L110" s="54"/>
      <c r="M110" s="54"/>
    </row>
    <row r="111" spans="1:13" ht="25.5">
      <c r="A111" s="74" t="s">
        <v>13</v>
      </c>
      <c r="B111" s="122">
        <f t="shared" si="44"/>
        <v>0</v>
      </c>
      <c r="C111" s="76" t="e">
        <f t="shared" si="42"/>
        <v>#DIV/0!</v>
      </c>
      <c r="D111" s="76">
        <f t="shared" si="45"/>
        <v>0</v>
      </c>
      <c r="E111" s="76" t="e">
        <f t="shared" si="43"/>
        <v>#DIV/0!</v>
      </c>
      <c r="F111" s="76">
        <f t="shared" si="46"/>
        <v>0</v>
      </c>
      <c r="G111" s="73"/>
      <c r="H111" s="54"/>
      <c r="I111" s="54"/>
      <c r="J111" s="54"/>
      <c r="K111" s="54"/>
      <c r="L111" s="54"/>
      <c r="M111" s="54"/>
    </row>
    <row r="112" spans="1:13" ht="12.75">
      <c r="A112" s="13" t="s">
        <v>136</v>
      </c>
      <c r="B112" s="122">
        <f t="shared" si="44"/>
        <v>189</v>
      </c>
      <c r="C112" s="76">
        <f t="shared" si="42"/>
        <v>3633.5730111754847</v>
      </c>
      <c r="D112" s="76">
        <f t="shared" si="45"/>
        <v>686745.2991121666</v>
      </c>
      <c r="E112" s="76">
        <f t="shared" si="43"/>
        <v>0.9419322305114926</v>
      </c>
      <c r="F112" s="76">
        <f t="shared" si="46"/>
        <v>646867.5313860052</v>
      </c>
      <c r="G112" s="54"/>
      <c r="H112" s="54"/>
      <c r="I112" s="54"/>
      <c r="J112" s="54"/>
      <c r="K112" s="54"/>
      <c r="L112" s="54"/>
      <c r="M112" s="54"/>
    </row>
    <row r="113" spans="1:13" ht="25.5">
      <c r="A113" s="74" t="s">
        <v>15</v>
      </c>
      <c r="B113" s="122">
        <f t="shared" si="44"/>
        <v>10</v>
      </c>
      <c r="C113" s="76">
        <f t="shared" si="42"/>
        <v>2241.126202481505</v>
      </c>
      <c r="D113" s="76">
        <f t="shared" si="45"/>
        <v>22411.26202481505</v>
      </c>
      <c r="E113" s="76">
        <f t="shared" si="43"/>
        <v>0.9058538159078345</v>
      </c>
      <c r="F113" s="76">
        <f t="shared" si="46"/>
        <v>20301.327224489054</v>
      </c>
      <c r="G113" s="54"/>
      <c r="H113" s="54"/>
      <c r="I113" s="54"/>
      <c r="J113" s="54"/>
      <c r="K113" s="54"/>
      <c r="L113" s="54"/>
      <c r="M113" s="54"/>
    </row>
    <row r="114" spans="1:13" ht="25.5">
      <c r="A114" s="74" t="s">
        <v>16</v>
      </c>
      <c r="B114" s="122">
        <f t="shared" si="44"/>
        <v>143</v>
      </c>
      <c r="C114" s="76">
        <f t="shared" si="42"/>
        <v>2655.2524234334483</v>
      </c>
      <c r="D114" s="76">
        <f t="shared" si="45"/>
        <v>379701.0965509831</v>
      </c>
      <c r="E114" s="76">
        <f t="shared" si="43"/>
        <v>0.920537317593418</v>
      </c>
      <c r="F114" s="76">
        <f t="shared" si="46"/>
        <v>349529.0289063214</v>
      </c>
      <c r="G114" s="73"/>
      <c r="H114" s="54"/>
      <c r="I114" s="54"/>
      <c r="J114" s="54"/>
      <c r="K114" s="54"/>
      <c r="L114" s="54"/>
      <c r="M114" s="54"/>
    </row>
    <row r="115" spans="1:1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33" customHeight="1">
      <c r="A116" s="49" t="s">
        <v>137</v>
      </c>
      <c r="B116" s="49"/>
      <c r="C116" s="49"/>
      <c r="D116" s="49"/>
      <c r="E116" s="49"/>
      <c r="F116" s="80">
        <f>E109</f>
        <v>1.019725441046491</v>
      </c>
      <c r="G116" s="51"/>
      <c r="H116" s="29"/>
      <c r="I116" s="29"/>
      <c r="J116" s="29"/>
      <c r="K116" s="29"/>
      <c r="L116" s="29"/>
      <c r="M116" s="29"/>
    </row>
    <row r="117" spans="1:1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7" ht="16.5">
      <c r="A118" s="29" t="s">
        <v>73</v>
      </c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51">
      <c r="A120" s="9" t="s">
        <v>74</v>
      </c>
      <c r="B120" s="9" t="s">
        <v>75</v>
      </c>
      <c r="C120" s="9" t="s">
        <v>76</v>
      </c>
      <c r="D120" s="9" t="s">
        <v>77</v>
      </c>
      <c r="E120" s="9" t="s">
        <v>78</v>
      </c>
      <c r="F120" s="9" t="s">
        <v>64</v>
      </c>
      <c r="G120" s="9" t="s">
        <v>48</v>
      </c>
    </row>
    <row r="121" spans="1:7" ht="25.5">
      <c r="A121" s="81" t="s">
        <v>79</v>
      </c>
      <c r="B121" s="82" t="s">
        <v>80</v>
      </c>
      <c r="C121" s="59">
        <f>229.3/2</f>
        <v>114.65</v>
      </c>
      <c r="D121" s="59">
        <f>E121/C121</f>
        <v>3757.575228957697</v>
      </c>
      <c r="E121" s="59">
        <f>861612/2</f>
        <v>430806</v>
      </c>
      <c r="F121" s="59">
        <f aca="true" t="shared" si="47" ref="F121:F124">E121/$B$60</f>
        <v>351.10513447432766</v>
      </c>
      <c r="G121" s="59">
        <f>(703487/2/E121)</f>
        <v>0.8164777185090273</v>
      </c>
    </row>
    <row r="122" spans="1:7" ht="12.75">
      <c r="A122" s="81" t="s">
        <v>81</v>
      </c>
      <c r="B122" s="82" t="s">
        <v>82</v>
      </c>
      <c r="C122" s="59">
        <v>0</v>
      </c>
      <c r="D122" s="59">
        <v>0</v>
      </c>
      <c r="E122" s="59">
        <v>0</v>
      </c>
      <c r="F122" s="59">
        <f t="shared" si="47"/>
        <v>0</v>
      </c>
      <c r="G122" s="59" t="e">
        <f>(0/2/E122)</f>
        <v>#DIV/0!</v>
      </c>
    </row>
    <row r="123" spans="1:7" ht="25.5">
      <c r="A123" s="81" t="s">
        <v>83</v>
      </c>
      <c r="B123" s="82" t="s">
        <v>84</v>
      </c>
      <c r="C123" s="59">
        <f>19300*90%</f>
        <v>17370</v>
      </c>
      <c r="D123" s="59">
        <f aca="true" t="shared" si="48" ref="D123:D124">E123/C123</f>
        <v>19.806217616580312</v>
      </c>
      <c r="E123" s="59">
        <f>382260*90%</f>
        <v>344034</v>
      </c>
      <c r="F123" s="59">
        <f t="shared" si="47"/>
        <v>280.38630806845964</v>
      </c>
      <c r="G123" s="59">
        <f>(382260*90%/E123)</f>
        <v>1</v>
      </c>
    </row>
    <row r="124" spans="1:7" ht="12.75">
      <c r="A124" s="81" t="s">
        <v>85</v>
      </c>
      <c r="B124" s="82" t="s">
        <v>82</v>
      </c>
      <c r="C124" s="59">
        <f>1500+2490</f>
        <v>3990</v>
      </c>
      <c r="D124" s="59">
        <f t="shared" si="48"/>
        <v>34.666666666666664</v>
      </c>
      <c r="E124" s="59">
        <v>138320</v>
      </c>
      <c r="F124" s="59">
        <f t="shared" si="47"/>
        <v>112.73023634881825</v>
      </c>
      <c r="G124" s="59">
        <f>(138320/E124)</f>
        <v>1</v>
      </c>
    </row>
    <row r="125" spans="1:7" ht="12.75">
      <c r="A125" s="83" t="s">
        <v>17</v>
      </c>
      <c r="B125" s="84"/>
      <c r="C125" s="59"/>
      <c r="D125" s="59"/>
      <c r="E125" s="59">
        <f>SUM(E121:E124)</f>
        <v>913160</v>
      </c>
      <c r="F125" s="59">
        <f>F121+F122+F123+F124</f>
        <v>744.2216788916056</v>
      </c>
      <c r="G125" s="59">
        <f>(703487/2+382260*90%+138320)/E125</f>
        <v>0.9134187875071181</v>
      </c>
    </row>
    <row r="126" spans="1:7" ht="12.75">
      <c r="A126" s="29"/>
      <c r="B126" s="29"/>
      <c r="C126" s="29"/>
      <c r="D126" s="29"/>
      <c r="E126" s="29"/>
      <c r="F126" s="29"/>
      <c r="G126" s="29"/>
    </row>
    <row r="127" spans="1:7" ht="27.75" customHeight="1">
      <c r="A127" s="49" t="s">
        <v>86</v>
      </c>
      <c r="B127" s="49"/>
      <c r="C127" s="49"/>
      <c r="D127" s="49"/>
      <c r="E127" s="49"/>
      <c r="F127" s="49"/>
      <c r="G127" s="50">
        <f>G125</f>
        <v>0.9134187875071181</v>
      </c>
    </row>
    <row r="128" spans="1:7" ht="12.75">
      <c r="A128" s="29"/>
      <c r="B128" s="29"/>
      <c r="C128" s="29"/>
      <c r="D128" s="29"/>
      <c r="E128" s="29"/>
      <c r="F128" s="29"/>
      <c r="G128" s="29"/>
    </row>
    <row r="129" spans="1:7" ht="15.75">
      <c r="A129" s="29" t="s">
        <v>87</v>
      </c>
      <c r="B129" s="29"/>
      <c r="C129" s="29"/>
      <c r="D129" s="29"/>
      <c r="E129" s="29"/>
      <c r="F129" s="29"/>
      <c r="G129" s="29"/>
    </row>
    <row r="130" spans="1:7" ht="12.75">
      <c r="A130" s="29"/>
      <c r="B130" s="29"/>
      <c r="C130" s="29"/>
      <c r="D130" s="29"/>
      <c r="E130" s="29"/>
      <c r="F130" s="29"/>
      <c r="G130" s="29"/>
    </row>
    <row r="131" spans="1:7" ht="51">
      <c r="A131" s="9" t="s">
        <v>74</v>
      </c>
      <c r="B131" s="9" t="s">
        <v>75</v>
      </c>
      <c r="C131" s="9" t="s">
        <v>88</v>
      </c>
      <c r="D131" s="9" t="s">
        <v>89</v>
      </c>
      <c r="E131" s="9" t="s">
        <v>78</v>
      </c>
      <c r="F131" s="9" t="s">
        <v>64</v>
      </c>
      <c r="G131" s="9" t="s">
        <v>48</v>
      </c>
    </row>
    <row r="132" spans="1:7" ht="25.5">
      <c r="A132" s="81" t="s">
        <v>138</v>
      </c>
      <c r="B132" s="85"/>
      <c r="C132" s="59"/>
      <c r="D132" s="59"/>
      <c r="E132" s="59">
        <v>87993</v>
      </c>
      <c r="F132" s="59">
        <f aca="true" t="shared" si="49" ref="F132:F139">E132/$B$60</f>
        <v>71.71393643031784</v>
      </c>
      <c r="G132" s="59">
        <f>(80023/E132)</f>
        <v>0.9094246133215143</v>
      </c>
    </row>
    <row r="133" spans="1:7" ht="25.5">
      <c r="A133" s="81" t="s">
        <v>139</v>
      </c>
      <c r="B133" s="85" t="s">
        <v>140</v>
      </c>
      <c r="C133" s="59"/>
      <c r="D133" s="59" t="e">
        <f>E133/C133</f>
        <v>#DIV/0!</v>
      </c>
      <c r="E133" s="59">
        <v>0</v>
      </c>
      <c r="F133" s="59">
        <f t="shared" si="49"/>
        <v>0</v>
      </c>
      <c r="G133" s="59" t="e">
        <f>(0/E133)</f>
        <v>#DIV/0!</v>
      </c>
    </row>
    <row r="134" spans="1:7" ht="12.75">
      <c r="A134" s="81"/>
      <c r="B134" s="85"/>
      <c r="C134" s="59"/>
      <c r="D134" s="59"/>
      <c r="E134" s="59">
        <v>0</v>
      </c>
      <c r="F134" s="59">
        <f t="shared" si="49"/>
        <v>0</v>
      </c>
      <c r="G134" s="59" t="e">
        <f>(60038/E134)</f>
        <v>#DIV/0!</v>
      </c>
    </row>
    <row r="135" spans="1:7" ht="25.5">
      <c r="A135" s="81" t="s">
        <v>79</v>
      </c>
      <c r="B135" s="82" t="s">
        <v>80</v>
      </c>
      <c r="C135" s="59">
        <f>229.3/2</f>
        <v>114.65</v>
      </c>
      <c r="D135" s="59">
        <f>E135/C135</f>
        <v>3757.575228957697</v>
      </c>
      <c r="E135" s="59">
        <f>861612/2</f>
        <v>430806</v>
      </c>
      <c r="F135" s="59">
        <f t="shared" si="49"/>
        <v>351.10513447432766</v>
      </c>
      <c r="G135" s="59">
        <f>(703487/2/E135)</f>
        <v>0.8164777185090273</v>
      </c>
    </row>
    <row r="136" spans="1:7" ht="12.75">
      <c r="A136" s="81" t="s">
        <v>141</v>
      </c>
      <c r="B136" s="82"/>
      <c r="C136" s="59">
        <v>0</v>
      </c>
      <c r="D136" s="59">
        <v>0</v>
      </c>
      <c r="E136" s="59">
        <f>747360+66017</f>
        <v>813377</v>
      </c>
      <c r="F136" s="59">
        <f t="shared" si="49"/>
        <v>662.8989405052974</v>
      </c>
      <c r="G136" s="59">
        <f>(679669+60038)/E136</f>
        <v>0.9094269938786074</v>
      </c>
    </row>
    <row r="137" spans="1:7" ht="25.5">
      <c r="A137" s="81" t="s">
        <v>83</v>
      </c>
      <c r="B137" s="82" t="s">
        <v>84</v>
      </c>
      <c r="C137" s="59">
        <f>19300*10%</f>
        <v>1930</v>
      </c>
      <c r="D137" s="59">
        <f>E137/C137</f>
        <v>19.806217616580312</v>
      </c>
      <c r="E137" s="59">
        <f>382260*10%</f>
        <v>38226</v>
      </c>
      <c r="F137" s="59">
        <f t="shared" si="49"/>
        <v>31.154034229828852</v>
      </c>
      <c r="G137" s="59">
        <f>(382260*10%/E137)</f>
        <v>1</v>
      </c>
    </row>
    <row r="138" spans="1:7" ht="12.75">
      <c r="A138" s="81" t="s">
        <v>93</v>
      </c>
      <c r="B138" s="85"/>
      <c r="C138" s="59"/>
      <c r="D138" s="59"/>
      <c r="E138" s="59">
        <v>77848</v>
      </c>
      <c r="F138" s="59">
        <f t="shared" si="49"/>
        <v>63.44580277098615</v>
      </c>
      <c r="G138" s="59">
        <f>(70797/E138)</f>
        <v>0.9094260610420306</v>
      </c>
    </row>
    <row r="139" spans="1:7" ht="12.75">
      <c r="A139" s="81" t="s">
        <v>94</v>
      </c>
      <c r="B139" s="85"/>
      <c r="C139" s="59"/>
      <c r="D139" s="59"/>
      <c r="E139" s="59">
        <v>60872</v>
      </c>
      <c r="F139" s="59">
        <f t="shared" si="49"/>
        <v>49.61043194784026</v>
      </c>
      <c r="G139" s="59">
        <f>(55359/E139)</f>
        <v>0.9094329083979498</v>
      </c>
    </row>
    <row r="140" spans="1:7" ht="12.75">
      <c r="A140" s="83" t="s">
        <v>17</v>
      </c>
      <c r="B140" s="86"/>
      <c r="C140" s="59"/>
      <c r="D140" s="59"/>
      <c r="E140" s="59">
        <f>SUM(E132:E139)</f>
        <v>1509122</v>
      </c>
      <c r="F140" s="59">
        <f>SUM(F132:F139)</f>
        <v>1229.928280358598</v>
      </c>
      <c r="G140" s="59">
        <f>(80023+703487/2+382260*10%+60038+679669+55359+70797)/E140</f>
        <v>0.8851872148176224</v>
      </c>
    </row>
    <row r="141" spans="1:7" ht="12.75">
      <c r="A141" s="29"/>
      <c r="B141" s="29"/>
      <c r="C141" s="29"/>
      <c r="D141" s="29"/>
      <c r="E141" s="29"/>
      <c r="F141" s="29"/>
      <c r="G141" s="29"/>
    </row>
    <row r="142" spans="1:7" ht="30" customHeight="1">
      <c r="A142" s="49" t="s">
        <v>142</v>
      </c>
      <c r="B142" s="49"/>
      <c r="C142" s="49"/>
      <c r="D142" s="49"/>
      <c r="E142" s="49"/>
      <c r="F142" s="49"/>
      <c r="G142" s="50">
        <f>G140</f>
        <v>0.8851872148176224</v>
      </c>
    </row>
    <row r="143" spans="1:7" ht="15.75" customHeight="1">
      <c r="A143" s="87"/>
      <c r="B143" s="87"/>
      <c r="C143" s="87"/>
      <c r="D143" s="87"/>
      <c r="E143" s="87"/>
      <c r="F143" s="87"/>
      <c r="G143" s="87"/>
    </row>
    <row r="144" spans="1:7" ht="15.75" customHeight="1">
      <c r="A144" s="29" t="s">
        <v>96</v>
      </c>
      <c r="B144" s="87"/>
      <c r="C144" s="87"/>
      <c r="D144" s="87"/>
      <c r="E144" s="87"/>
      <c r="F144" s="87"/>
      <c r="G144" s="87"/>
    </row>
    <row r="146" spans="1:7" ht="63.75">
      <c r="A146" s="88" t="s">
        <v>97</v>
      </c>
      <c r="B146" s="89" t="s">
        <v>98</v>
      </c>
      <c r="C146" s="9" t="s">
        <v>89</v>
      </c>
      <c r="D146" s="89" t="s">
        <v>99</v>
      </c>
      <c r="E146" s="89" t="s">
        <v>100</v>
      </c>
      <c r="F146" s="9" t="s">
        <v>64</v>
      </c>
      <c r="G146" s="9" t="s">
        <v>48</v>
      </c>
    </row>
    <row r="147" spans="1:9" ht="12.75">
      <c r="A147" s="90" t="s">
        <v>101</v>
      </c>
      <c r="B147" s="88">
        <v>4</v>
      </c>
      <c r="C147" s="123">
        <f aca="true" t="shared" si="50" ref="C147:C148">E147/D147/B147</f>
        <v>250.41666666666666</v>
      </c>
      <c r="D147" s="124">
        <v>12</v>
      </c>
      <c r="E147" s="58">
        <v>12020</v>
      </c>
      <c r="F147" s="59">
        <f aca="true" t="shared" si="51" ref="F147:F149">E147/$B$60</f>
        <v>9.796251018744906</v>
      </c>
      <c r="G147" s="59">
        <f>(10565*4/E147)</f>
        <v>3.5158069883527454</v>
      </c>
      <c r="H147" s="125"/>
      <c r="I147" s="125"/>
    </row>
    <row r="148" spans="1:9" ht="12.75">
      <c r="A148" s="90" t="s">
        <v>102</v>
      </c>
      <c r="B148" s="89">
        <v>4</v>
      </c>
      <c r="C148" s="123">
        <f t="shared" si="50"/>
        <v>273.3333333333333</v>
      </c>
      <c r="D148" s="124">
        <v>12</v>
      </c>
      <c r="E148" s="58">
        <v>13120</v>
      </c>
      <c r="F148" s="59">
        <f t="shared" si="51"/>
        <v>10.692746536267318</v>
      </c>
      <c r="G148" s="59">
        <f>(8273/E148)</f>
        <v>0.630564024390244</v>
      </c>
      <c r="H148" s="125"/>
      <c r="I148" s="125"/>
    </row>
    <row r="149" spans="1:9" ht="12.75">
      <c r="A149" s="90" t="s">
        <v>103</v>
      </c>
      <c r="B149" s="88"/>
      <c r="C149" s="126"/>
      <c r="D149" s="124"/>
      <c r="E149" s="58">
        <v>21225</v>
      </c>
      <c r="F149" s="59">
        <f t="shared" si="51"/>
        <v>17.29828850855746</v>
      </c>
      <c r="G149" s="59">
        <f>(23328/E149)</f>
        <v>1.0990812720848055</v>
      </c>
      <c r="H149" s="125"/>
      <c r="I149" s="125"/>
    </row>
    <row r="150" spans="1:8" ht="12.75">
      <c r="A150" s="94" t="s">
        <v>104</v>
      </c>
      <c r="B150" s="95"/>
      <c r="C150" s="95"/>
      <c r="D150" s="95"/>
      <c r="E150" s="58">
        <f>E147+E148+E149</f>
        <v>46365</v>
      </c>
      <c r="F150" s="59">
        <f>F147+F148+F149</f>
        <v>37.78728606356968</v>
      </c>
      <c r="G150" s="59">
        <f>42166/E150</f>
        <v>0.9094359969804809</v>
      </c>
      <c r="H150" s="125"/>
    </row>
    <row r="151" spans="5:8" ht="12.75">
      <c r="E151" s="127"/>
      <c r="H151" s="125"/>
    </row>
    <row r="152" spans="1:6" ht="12.75">
      <c r="A152" s="96" t="s">
        <v>105</v>
      </c>
      <c r="B152" s="96"/>
      <c r="C152" s="96"/>
      <c r="D152" s="96"/>
      <c r="E152" s="96"/>
      <c r="F152" s="97">
        <f>G150</f>
        <v>0.9094359969804809</v>
      </c>
    </row>
    <row r="154" spans="1:13" ht="12.75" customHeight="1">
      <c r="A154" s="7" t="s">
        <v>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6" spans="1:7" ht="43.5" customHeight="1">
      <c r="A156" s="7" t="s">
        <v>107</v>
      </c>
      <c r="B156" s="7"/>
      <c r="C156" s="7"/>
      <c r="D156" s="7"/>
      <c r="E156" s="7"/>
      <c r="F156" s="7"/>
      <c r="G156" s="7"/>
    </row>
    <row r="157" spans="1:7" ht="12.75">
      <c r="A157" s="29"/>
      <c r="B157" s="29"/>
      <c r="C157" s="29"/>
      <c r="D157" s="29"/>
      <c r="E157" s="29"/>
      <c r="F157" s="29"/>
      <c r="G157" s="29"/>
    </row>
    <row r="158" spans="1:7" ht="12.75">
      <c r="A158" s="29" t="s">
        <v>108</v>
      </c>
      <c r="B158" s="29"/>
      <c r="C158" s="29"/>
      <c r="D158" s="29"/>
      <c r="E158" s="29"/>
      <c r="F158" s="29"/>
      <c r="G158" s="29"/>
    </row>
    <row r="159" spans="1:7" ht="12.75">
      <c r="A159" s="29"/>
      <c r="B159" s="29"/>
      <c r="C159" s="29"/>
      <c r="D159" s="29"/>
      <c r="E159" s="29"/>
      <c r="F159" s="29"/>
      <c r="G159" s="29"/>
    </row>
    <row r="160" spans="1:7" ht="15.75">
      <c r="A160" s="53" t="s">
        <v>109</v>
      </c>
      <c r="B160" s="98" t="s">
        <v>110</v>
      </c>
      <c r="C160" s="98"/>
      <c r="D160" s="29"/>
      <c r="E160" s="29"/>
      <c r="F160" s="29"/>
      <c r="G160" s="29"/>
    </row>
    <row r="161" spans="1:7" ht="15.75">
      <c r="A161" s="53"/>
      <c r="B161" s="99" t="s">
        <v>111</v>
      </c>
      <c r="C161" s="99"/>
      <c r="D161" s="29"/>
      <c r="E161" s="29"/>
      <c r="F161" s="29"/>
      <c r="G161" s="29"/>
    </row>
    <row r="162" spans="1:7" ht="12.75">
      <c r="A162" s="100"/>
      <c r="B162" s="53"/>
      <c r="C162" s="53"/>
      <c r="D162" s="29"/>
      <c r="E162" s="29"/>
      <c r="F162" s="29"/>
      <c r="G162" s="29"/>
    </row>
    <row r="163" spans="1:7" ht="15.75" customHeight="1">
      <c r="A163" s="101" t="s">
        <v>112</v>
      </c>
      <c r="B163" s="53"/>
      <c r="C163" s="53"/>
      <c r="D163" s="29"/>
      <c r="E163" s="29"/>
      <c r="F163" s="29"/>
      <c r="G163" s="29"/>
    </row>
    <row r="164" spans="1:7" ht="12.75">
      <c r="A164" s="100"/>
      <c r="B164" s="53"/>
      <c r="C164" s="53"/>
      <c r="D164" s="29"/>
      <c r="E164" s="29"/>
      <c r="F164" s="29"/>
      <c r="G164" s="29"/>
    </row>
    <row r="165" spans="1:7" ht="15.75">
      <c r="A165" s="96" t="s">
        <v>113</v>
      </c>
      <c r="B165" s="96"/>
      <c r="C165" s="96"/>
      <c r="D165" s="96"/>
      <c r="E165" s="96"/>
      <c r="F165" s="96"/>
      <c r="G165" s="96"/>
    </row>
    <row r="166" spans="1:7" ht="12.75">
      <c r="A166" s="100"/>
      <c r="B166" s="53"/>
      <c r="C166" s="53"/>
      <c r="D166" s="29"/>
      <c r="E166" s="29"/>
      <c r="F166" s="29"/>
      <c r="G166" s="29"/>
    </row>
    <row r="167" spans="1:7" ht="15.75">
      <c r="A167" s="96" t="s">
        <v>114</v>
      </c>
      <c r="B167" s="96"/>
      <c r="C167" s="96"/>
      <c r="D167" s="96"/>
      <c r="E167" s="96"/>
      <c r="F167" s="96"/>
      <c r="G167" s="96"/>
    </row>
    <row r="168" spans="1:7" ht="12.75">
      <c r="A168" s="100"/>
      <c r="B168" s="53"/>
      <c r="C168" s="53"/>
      <c r="D168" s="29"/>
      <c r="E168" s="29"/>
      <c r="F168" s="29"/>
      <c r="G168" s="29"/>
    </row>
    <row r="169" spans="1:7" ht="33" customHeight="1">
      <c r="A169" s="49" t="s">
        <v>115</v>
      </c>
      <c r="B169" s="49"/>
      <c r="C169" s="49"/>
      <c r="D169" s="49"/>
      <c r="E169" s="49"/>
      <c r="F169" s="49"/>
      <c r="G169" s="49"/>
    </row>
    <row r="170" spans="1:7" ht="12.75">
      <c r="A170" s="100"/>
      <c r="B170" s="53"/>
      <c r="C170" s="53"/>
      <c r="D170" s="29"/>
      <c r="E170" s="29"/>
      <c r="F170" s="29"/>
      <c r="G170" s="29"/>
    </row>
    <row r="171" spans="1:10" ht="156">
      <c r="A171" s="9" t="s">
        <v>116</v>
      </c>
      <c r="B171" s="9" t="s">
        <v>117</v>
      </c>
      <c r="C171" s="9" t="s">
        <v>118</v>
      </c>
      <c r="D171" s="9" t="s">
        <v>119</v>
      </c>
      <c r="E171" s="9" t="s">
        <v>120</v>
      </c>
      <c r="F171" s="10"/>
      <c r="G171" s="12"/>
      <c r="H171" s="102"/>
      <c r="I171" s="102"/>
      <c r="J171" s="102"/>
    </row>
    <row r="172" spans="1:7" ht="12.75">
      <c r="A172" s="68">
        <f>F172*12%</f>
        <v>1923648.3599999999</v>
      </c>
      <c r="B172" s="68">
        <f>F172*4%</f>
        <v>641216.12</v>
      </c>
      <c r="C172" s="68">
        <f>F172*9%</f>
        <v>1442736.27</v>
      </c>
      <c r="D172" s="128">
        <f>N60</f>
        <v>49542762.99772799</v>
      </c>
      <c r="E172" s="128">
        <f>(A172+B172+C172)/D172</f>
        <v>0.0808917490165776</v>
      </c>
      <c r="F172" s="103">
        <f>12312138+3718265</f>
        <v>16030403</v>
      </c>
      <c r="G172" s="29"/>
    </row>
    <row r="173" spans="1:7" ht="12.75">
      <c r="A173" s="29"/>
      <c r="B173" s="29"/>
      <c r="C173" s="29"/>
      <c r="D173" s="29"/>
      <c r="E173" s="29"/>
      <c r="F173" s="29"/>
      <c r="G173" s="29"/>
    </row>
    <row r="174" spans="1:7" ht="42.75" customHeight="1">
      <c r="A174" s="7" t="s">
        <v>121</v>
      </c>
      <c r="B174" s="7"/>
      <c r="C174" s="7"/>
      <c r="D174" s="7"/>
      <c r="E174" s="7"/>
      <c r="F174" s="7"/>
      <c r="G174" s="7"/>
    </row>
    <row r="175" spans="1:7" ht="12.75">
      <c r="A175" s="29" t="s">
        <v>122</v>
      </c>
      <c r="B175" s="29"/>
      <c r="C175" s="29"/>
      <c r="D175" s="29"/>
      <c r="E175" s="105"/>
      <c r="F175" s="29"/>
      <c r="G175" s="29"/>
    </row>
    <row r="176" spans="1:7" ht="12.75">
      <c r="A176" s="29"/>
      <c r="B176" s="29"/>
      <c r="C176" s="29"/>
      <c r="D176" s="29"/>
      <c r="E176" s="105"/>
      <c r="F176" s="29"/>
      <c r="G176" s="29"/>
    </row>
    <row r="177" spans="1:13" ht="19.5" customHeight="1">
      <c r="A177" s="10" t="s">
        <v>123</v>
      </c>
      <c r="B177" s="10"/>
      <c r="C177" s="10"/>
      <c r="D177" s="10"/>
      <c r="E177" s="10"/>
      <c r="F177" s="67"/>
      <c r="G177" s="67"/>
      <c r="H177" s="67"/>
      <c r="I177" s="67"/>
      <c r="J177" s="67"/>
      <c r="K177" s="67"/>
      <c r="L177" s="67"/>
      <c r="M177" s="67"/>
    </row>
    <row r="178" spans="1:7" ht="12.75">
      <c r="A178" s="29"/>
      <c r="B178" s="29"/>
      <c r="C178" s="29"/>
      <c r="D178" s="29"/>
      <c r="E178" s="29"/>
      <c r="F178" s="29"/>
      <c r="G178" s="29"/>
    </row>
    <row r="179" spans="1:7" ht="105">
      <c r="A179" s="9" t="s">
        <v>5</v>
      </c>
      <c r="B179" s="32" t="s">
        <v>124</v>
      </c>
      <c r="C179" s="32" t="s">
        <v>125</v>
      </c>
      <c r="D179" s="32" t="s">
        <v>126</v>
      </c>
      <c r="E179" s="32" t="s">
        <v>127</v>
      </c>
      <c r="F179" s="9" t="s">
        <v>48</v>
      </c>
      <c r="G179" s="9" t="s">
        <v>128</v>
      </c>
    </row>
    <row r="180" spans="1:7" ht="25.5">
      <c r="A180" s="13" t="s">
        <v>12</v>
      </c>
      <c r="B180" s="106">
        <f>M55</f>
        <v>50512.76401008813</v>
      </c>
      <c r="C180" s="106">
        <f>E172</f>
        <v>0.0808917490165776</v>
      </c>
      <c r="D180" s="106">
        <f aca="true" t="shared" si="52" ref="D180:D184">B180*C180</f>
        <v>4086.065828437663</v>
      </c>
      <c r="E180" s="106">
        <f aca="true" t="shared" si="53" ref="E180:E181">D180*B55</f>
        <v>3616168.258167332</v>
      </c>
      <c r="F180" s="106">
        <v>1</v>
      </c>
      <c r="G180" s="106">
        <f aca="true" t="shared" si="54" ref="G180:G184">E180*F180</f>
        <v>3616168.258167332</v>
      </c>
    </row>
    <row r="181" spans="1:7" ht="25.5">
      <c r="A181" s="13" t="s">
        <v>13</v>
      </c>
      <c r="B181" s="106">
        <v>0</v>
      </c>
      <c r="C181" s="106">
        <f aca="true" t="shared" si="55" ref="C181:C184">C180</f>
        <v>0.0808917490165776</v>
      </c>
      <c r="D181" s="106">
        <f t="shared" si="52"/>
        <v>0</v>
      </c>
      <c r="E181" s="106">
        <f t="shared" si="53"/>
        <v>0</v>
      </c>
      <c r="F181" s="106">
        <v>1</v>
      </c>
      <c r="G181" s="106">
        <f t="shared" si="54"/>
        <v>0</v>
      </c>
    </row>
    <row r="182" spans="1:7" ht="12.75">
      <c r="A182" s="13" t="s">
        <v>136</v>
      </c>
      <c r="B182" s="106">
        <f>M56</f>
        <v>19784.448</v>
      </c>
      <c r="C182" s="106">
        <f t="shared" si="55"/>
        <v>0.0808917490165776</v>
      </c>
      <c r="D182" s="106">
        <f t="shared" si="52"/>
        <v>1600.3986020475306</v>
      </c>
      <c r="E182" s="106">
        <f>D182*B56</f>
        <v>302475.3357869833</v>
      </c>
      <c r="F182" s="106">
        <v>1</v>
      </c>
      <c r="G182" s="106">
        <f t="shared" si="54"/>
        <v>302475.3357869833</v>
      </c>
    </row>
    <row r="183" spans="1:7" ht="25.5">
      <c r="A183" s="13" t="s">
        <v>15</v>
      </c>
      <c r="B183" s="106">
        <f aca="true" t="shared" si="56" ref="B183:B185">M58</f>
        <v>2570.7417119999996</v>
      </c>
      <c r="C183" s="106">
        <f t="shared" si="55"/>
        <v>0.0808917490165776</v>
      </c>
      <c r="D183" s="106">
        <f t="shared" si="52"/>
        <v>207.95179335355098</v>
      </c>
      <c r="E183" s="106">
        <f aca="true" t="shared" si="57" ref="E183:E184">D183*B58</f>
        <v>2079.5179335355097</v>
      </c>
      <c r="F183" s="106">
        <v>1</v>
      </c>
      <c r="G183" s="106">
        <f t="shared" si="54"/>
        <v>2079.5179335355097</v>
      </c>
    </row>
    <row r="184" spans="1:7" ht="25.5">
      <c r="A184" s="13" t="s">
        <v>16</v>
      </c>
      <c r="B184" s="106">
        <f t="shared" si="56"/>
        <v>7690.252984615383</v>
      </c>
      <c r="C184" s="106">
        <f t="shared" si="55"/>
        <v>0.0808917490165776</v>
      </c>
      <c r="D184" s="106">
        <f t="shared" si="52"/>
        <v>622.0780143054943</v>
      </c>
      <c r="E184" s="106">
        <f t="shared" si="57"/>
        <v>88957.15604568568</v>
      </c>
      <c r="F184" s="106">
        <v>1</v>
      </c>
      <c r="G184" s="106">
        <f t="shared" si="54"/>
        <v>88957.15604568568</v>
      </c>
    </row>
    <row r="185" spans="1:7" ht="31.5" customHeight="1">
      <c r="A185" s="107" t="s">
        <v>17</v>
      </c>
      <c r="B185" s="108">
        <f t="shared" si="56"/>
        <v>40377.14995739853</v>
      </c>
      <c r="C185" s="32"/>
      <c r="D185" s="108">
        <f>E185/B60</f>
        <v>3267.873079000437</v>
      </c>
      <c r="E185" s="108">
        <f>SUM(E180:E184)</f>
        <v>4009680.2679335363</v>
      </c>
      <c r="F185" s="108">
        <v>1</v>
      </c>
      <c r="G185" s="108">
        <f>SUM(G180:G184)</f>
        <v>4009680.2679335363</v>
      </c>
    </row>
    <row r="186" spans="1:7" ht="12.75">
      <c r="A186" s="29"/>
      <c r="B186" s="29"/>
      <c r="C186" s="29"/>
      <c r="D186" s="29"/>
      <c r="E186" s="29"/>
      <c r="F186" s="29"/>
      <c r="G186" s="29"/>
    </row>
    <row r="187" spans="1:7" ht="12.75">
      <c r="A187" s="29" t="s">
        <v>129</v>
      </c>
      <c r="B187" s="29"/>
      <c r="C187" s="29"/>
      <c r="D187" s="29"/>
      <c r="E187" s="29"/>
      <c r="F187" s="29"/>
      <c r="G187" s="29"/>
    </row>
    <row r="188" spans="1:7" ht="12.75">
      <c r="A188" s="29"/>
      <c r="B188" s="29"/>
      <c r="C188" s="29"/>
      <c r="D188" s="29"/>
      <c r="E188" s="29"/>
      <c r="F188" s="29"/>
      <c r="G188" s="29"/>
    </row>
    <row r="189" spans="1:7" ht="16.5">
      <c r="A189" s="29" t="s">
        <v>130</v>
      </c>
      <c r="B189" s="29"/>
      <c r="C189" s="29"/>
      <c r="D189" s="29"/>
      <c r="E189" s="29"/>
      <c r="F189" s="29"/>
      <c r="G189" s="29"/>
    </row>
    <row r="190" spans="1:7" ht="12.75">
      <c r="A190" s="29"/>
      <c r="B190" s="29"/>
      <c r="C190" s="29"/>
      <c r="D190" s="29"/>
      <c r="E190" s="29"/>
      <c r="F190" s="29"/>
      <c r="G190" s="29"/>
    </row>
    <row r="191" spans="1:7" ht="51">
      <c r="A191" s="9" t="s">
        <v>74</v>
      </c>
      <c r="B191" s="9" t="s">
        <v>78</v>
      </c>
      <c r="C191" s="9" t="s">
        <v>64</v>
      </c>
      <c r="D191" s="9" t="s">
        <v>48</v>
      </c>
      <c r="E191" s="10"/>
      <c r="F191" s="10"/>
      <c r="G191" s="10"/>
    </row>
    <row r="192" spans="1:7" ht="38.25">
      <c r="A192" s="81" t="s">
        <v>131</v>
      </c>
      <c r="B192" s="108">
        <v>2105</v>
      </c>
      <c r="C192" s="59">
        <f aca="true" t="shared" si="58" ref="C192:C193">B192/$B$60</f>
        <v>1.7155664221678892</v>
      </c>
      <c r="D192" s="59">
        <f>1914/B192</f>
        <v>0.9092636579572446</v>
      </c>
      <c r="E192" s="109"/>
      <c r="F192" s="110"/>
      <c r="G192" s="110"/>
    </row>
    <row r="193" spans="1:7" ht="16.5" customHeight="1">
      <c r="A193" s="81" t="s">
        <v>132</v>
      </c>
      <c r="B193" s="108">
        <f>17455+6498</f>
        <v>23953</v>
      </c>
      <c r="C193" s="59">
        <f t="shared" si="58"/>
        <v>19.52159739201304</v>
      </c>
      <c r="D193" s="59">
        <f>(15874+5909)/B193</f>
        <v>0.9094059199265228</v>
      </c>
      <c r="E193" s="109"/>
      <c r="F193" s="110"/>
      <c r="G193" s="110"/>
    </row>
    <row r="194" spans="1:7" ht="12.75">
      <c r="A194" s="83" t="s">
        <v>17</v>
      </c>
      <c r="B194" s="108">
        <f>SUM(B192:B193)</f>
        <v>26058</v>
      </c>
      <c r="C194" s="108">
        <f>SUM(C192:C193)</f>
        <v>21.237163814180928</v>
      </c>
      <c r="D194" s="108">
        <f>(1914+15874+5909)/B194</f>
        <v>0.9093944278148746</v>
      </c>
      <c r="E194" s="111"/>
      <c r="F194" s="111"/>
      <c r="G194" s="111"/>
    </row>
    <row r="195" spans="1:7" ht="12.75">
      <c r="A195" s="29"/>
      <c r="B195" s="29"/>
      <c r="C195" s="29"/>
      <c r="D195" s="29"/>
      <c r="E195" s="29"/>
      <c r="F195" s="29"/>
      <c r="G195" s="29"/>
    </row>
    <row r="196" spans="1:7" ht="24.75" customHeight="1">
      <c r="A196" s="49" t="s">
        <v>143</v>
      </c>
      <c r="B196" s="49"/>
      <c r="C196" s="49"/>
      <c r="D196" s="80">
        <f>D194</f>
        <v>0.9093944278148746</v>
      </c>
      <c r="E196" s="51"/>
      <c r="F196" s="51"/>
      <c r="G196" s="51"/>
    </row>
    <row r="199" spans="2:5" ht="12.75">
      <c r="B199" s="112"/>
      <c r="C199" s="112"/>
      <c r="D199" s="112"/>
      <c r="E199" s="112"/>
    </row>
    <row r="200" spans="1:3" ht="12.75">
      <c r="A200" s="2">
        <f>E125+E140+E150+F172+B194</f>
        <v>18525108</v>
      </c>
      <c r="B200" s="112"/>
      <c r="C200" s="112"/>
    </row>
  </sheetData>
  <sheetProtection selectLockedCells="1" selectUnlockedCells="1"/>
  <mergeCells count="30">
    <mergeCell ref="A1:K1"/>
    <mergeCell ref="A3:K3"/>
    <mergeCell ref="A5:K5"/>
    <mergeCell ref="A7:K7"/>
    <mergeCell ref="A9:K9"/>
    <mergeCell ref="A19:K19"/>
    <mergeCell ref="A21:K21"/>
    <mergeCell ref="A23:K23"/>
    <mergeCell ref="L52:M52"/>
    <mergeCell ref="A62:K62"/>
    <mergeCell ref="A64:K64"/>
    <mergeCell ref="A66:M66"/>
    <mergeCell ref="A74:M74"/>
    <mergeCell ref="A116:E116"/>
    <mergeCell ref="A127:F127"/>
    <mergeCell ref="A142:F142"/>
    <mergeCell ref="A152:E152"/>
    <mergeCell ref="A154:M154"/>
    <mergeCell ref="A156:G156"/>
    <mergeCell ref="A160:A161"/>
    <mergeCell ref="B161:C161"/>
    <mergeCell ref="A165:G165"/>
    <mergeCell ref="A167:G167"/>
    <mergeCell ref="A169:G169"/>
    <mergeCell ref="A174:G174"/>
    <mergeCell ref="A177:E177"/>
    <mergeCell ref="A196:C196"/>
    <mergeCell ref="B199:C199"/>
    <mergeCell ref="D199:E199"/>
    <mergeCell ref="B200:C200"/>
  </mergeCells>
  <printOptions/>
  <pageMargins left="0" right="0" top="0" bottom="0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200"/>
  <sheetViews>
    <sheetView zoomScale="70" zoomScaleNormal="70" workbookViewId="0" topLeftCell="A82">
      <selection activeCell="M27" sqref="M27"/>
    </sheetView>
  </sheetViews>
  <sheetFormatPr defaultColWidth="8.00390625" defaultRowHeight="12.75"/>
  <cols>
    <col min="1" max="1" width="27.875" style="0" customWidth="1"/>
    <col min="2" max="2" width="12.875" style="0" customWidth="1"/>
    <col min="3" max="3" width="14.875" style="0" customWidth="1"/>
    <col min="4" max="4" width="13.75390625" style="0" customWidth="1"/>
    <col min="5" max="5" width="14.375" style="0" customWidth="1"/>
    <col min="6" max="6" width="14.875" style="0" customWidth="1"/>
    <col min="7" max="7" width="16.625" style="0" customWidth="1"/>
    <col min="8" max="8" width="13.75390625" style="0" customWidth="1"/>
    <col min="9" max="9" width="15.00390625" style="0" customWidth="1"/>
    <col min="10" max="10" width="12.875" style="0" customWidth="1"/>
    <col min="11" max="11" width="12.375" style="0" customWidth="1"/>
    <col min="12" max="12" width="15.625" style="0" customWidth="1"/>
    <col min="13" max="13" width="14.375" style="0" customWidth="1"/>
    <col min="14" max="14" width="13.75390625" style="0" customWidth="1"/>
    <col min="15" max="15" width="12.875" style="0" customWidth="1"/>
    <col min="16" max="16" width="14.00390625" style="0" customWidth="1"/>
    <col min="17" max="17" width="9.00390625" style="0" hidden="1" customWidth="1"/>
    <col min="18" max="19" width="11.75390625" style="0" hidden="1" customWidth="1"/>
    <col min="20" max="20" width="12.25390625" style="0" customWidth="1"/>
    <col min="21" max="21" width="11.75390625" style="0" customWidth="1"/>
    <col min="22" max="22" width="12.75390625" style="0" customWidth="1"/>
    <col min="23" max="16384" width="9.00390625" style="0" customWidth="1"/>
  </cols>
  <sheetData>
    <row r="1" spans="1:11" ht="60" customHeight="1">
      <c r="A1" s="129" t="s">
        <v>144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27.75" customHeight="1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5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.7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47.25" customHeight="1">
      <c r="A9" s="133" t="s">
        <v>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20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14.75" customHeight="1">
      <c r="A11" s="135" t="s">
        <v>5</v>
      </c>
      <c r="B11" s="135" t="s">
        <v>6</v>
      </c>
      <c r="C11" s="135" t="s">
        <v>7</v>
      </c>
      <c r="D11" s="135" t="s">
        <v>8</v>
      </c>
      <c r="E11" s="135" t="s">
        <v>9</v>
      </c>
      <c r="F11" s="135" t="s">
        <v>10</v>
      </c>
      <c r="G11" s="135" t="s">
        <v>11</v>
      </c>
      <c r="H11" s="136"/>
      <c r="I11" s="137"/>
      <c r="J11" s="138"/>
      <c r="K11" s="130"/>
    </row>
    <row r="12" spans="1:11" ht="15.75" customHeight="1">
      <c r="A12" s="139" t="s">
        <v>12</v>
      </c>
      <c r="B12" s="140">
        <f aca="true" t="shared" si="0" ref="B12:B16">M55</f>
        <v>0</v>
      </c>
      <c r="C12" s="140">
        <f aca="true" t="shared" si="1" ref="C12:C16">O55</f>
        <v>0</v>
      </c>
      <c r="D12" s="140">
        <f aca="true" t="shared" si="2" ref="D12:D13">C110</f>
        <v>0</v>
      </c>
      <c r="E12" s="140">
        <f aca="true" t="shared" si="3" ref="E12:E13">E110</f>
        <v>0</v>
      </c>
      <c r="F12" s="140">
        <f aca="true" t="shared" si="4" ref="F12:F13">B12*C12+D12*E12</f>
        <v>0</v>
      </c>
      <c r="G12" s="140">
        <f aca="true" t="shared" si="5" ref="G12:G13">F12*B55</f>
        <v>0</v>
      </c>
      <c r="H12" s="141"/>
      <c r="I12" s="141"/>
      <c r="J12" s="138"/>
      <c r="K12" s="130"/>
    </row>
    <row r="13" spans="1:11" ht="23.25" customHeight="1">
      <c r="A13" s="139" t="s">
        <v>13</v>
      </c>
      <c r="B13" s="140">
        <f t="shared" si="0"/>
        <v>0</v>
      </c>
      <c r="C13" s="140">
        <f t="shared" si="1"/>
        <v>0</v>
      </c>
      <c r="D13" s="140">
        <f t="shared" si="2"/>
        <v>0</v>
      </c>
      <c r="E13" s="140">
        <f t="shared" si="3"/>
        <v>0</v>
      </c>
      <c r="F13" s="140">
        <f t="shared" si="4"/>
        <v>0</v>
      </c>
      <c r="G13" s="140">
        <f t="shared" si="5"/>
        <v>0</v>
      </c>
      <c r="H13" s="141"/>
      <c r="I13" s="141"/>
      <c r="J13" s="138"/>
      <c r="K13" s="130"/>
    </row>
    <row r="14" spans="1:11" ht="25.5" customHeight="1">
      <c r="A14" s="139" t="s">
        <v>14</v>
      </c>
      <c r="B14" s="140">
        <f t="shared" si="0"/>
        <v>0</v>
      </c>
      <c r="C14" s="140">
        <f t="shared" si="1"/>
        <v>0</v>
      </c>
      <c r="D14" s="140">
        <v>0</v>
      </c>
      <c r="E14" s="140">
        <v>0</v>
      </c>
      <c r="F14" s="140">
        <v>0</v>
      </c>
      <c r="G14" s="140">
        <v>0</v>
      </c>
      <c r="H14" s="141"/>
      <c r="I14" s="141"/>
      <c r="J14" s="138"/>
      <c r="K14" s="130"/>
    </row>
    <row r="15" spans="1:11" ht="26.25" customHeight="1">
      <c r="A15" s="139" t="s">
        <v>15</v>
      </c>
      <c r="B15" s="140">
        <f t="shared" si="0"/>
        <v>0</v>
      </c>
      <c r="C15" s="140">
        <f t="shared" si="1"/>
        <v>0</v>
      </c>
      <c r="D15" s="140">
        <f aca="true" t="shared" si="6" ref="D15:D16">C113</f>
        <v>0</v>
      </c>
      <c r="E15" s="140">
        <f aca="true" t="shared" si="7" ref="E15:E16">E113</f>
        <v>0</v>
      </c>
      <c r="F15" s="140">
        <f aca="true" t="shared" si="8" ref="F15:F17">B15*C15+D15*E15</f>
        <v>0</v>
      </c>
      <c r="G15" s="140">
        <f aca="true" t="shared" si="9" ref="G15:G16">F15*B58</f>
        <v>0</v>
      </c>
      <c r="H15" s="141"/>
      <c r="I15" s="141"/>
      <c r="J15" s="138"/>
      <c r="K15" s="130"/>
    </row>
    <row r="16" spans="1:11" ht="26.25" customHeight="1">
      <c r="A16" s="139" t="s">
        <v>16</v>
      </c>
      <c r="B16" s="140">
        <f t="shared" si="0"/>
        <v>18204.217131297708</v>
      </c>
      <c r="C16" s="140">
        <f t="shared" si="1"/>
        <v>0.615733840559114</v>
      </c>
      <c r="D16" s="140">
        <f t="shared" si="6"/>
        <v>6660.6419370229005</v>
      </c>
      <c r="E16" s="140">
        <f t="shared" si="7"/>
        <v>0.9773605997204081</v>
      </c>
      <c r="F16" s="140">
        <f t="shared" si="8"/>
        <v>17718.801526717558</v>
      </c>
      <c r="G16" s="140">
        <f t="shared" si="9"/>
        <v>18569304</v>
      </c>
      <c r="H16" s="141"/>
      <c r="I16" s="141"/>
      <c r="J16" s="138"/>
      <c r="K16" s="130"/>
    </row>
    <row r="17" spans="1:11" ht="15.75" customHeight="1">
      <c r="A17" s="142" t="s">
        <v>17</v>
      </c>
      <c r="B17" s="143">
        <f>N60/B60</f>
        <v>18204.217131297708</v>
      </c>
      <c r="C17" s="144">
        <f>P60/N60</f>
        <v>0.615733840559114</v>
      </c>
      <c r="D17" s="143">
        <f>C114</f>
        <v>6660.6419370229005</v>
      </c>
      <c r="E17" s="143">
        <f>E114</f>
        <v>0.9773605997204081</v>
      </c>
      <c r="F17" s="143">
        <f t="shared" si="8"/>
        <v>17718.801526717558</v>
      </c>
      <c r="G17" s="18">
        <f>SUM(G12:G16)</f>
        <v>18569304</v>
      </c>
      <c r="H17" s="20">
        <f>18569304-G17</f>
        <v>0</v>
      </c>
      <c r="I17" s="114">
        <f>H17-G17</f>
        <v>-18569304</v>
      </c>
      <c r="J17" s="138"/>
      <c r="K17" s="130"/>
    </row>
    <row r="18" spans="1:11" ht="15.75" customHeight="1">
      <c r="A18" s="130"/>
      <c r="B18" s="130"/>
      <c r="C18" s="130"/>
      <c r="D18" s="130"/>
      <c r="E18" s="130"/>
      <c r="F18" s="130"/>
      <c r="G18" s="145"/>
      <c r="H18" s="4"/>
      <c r="I18" s="4"/>
      <c r="J18" s="130"/>
      <c r="K18" s="130"/>
    </row>
    <row r="19" spans="1:11" ht="57" customHeight="1">
      <c r="A19" s="131" t="s">
        <v>18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7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2" ht="42" customHeight="1">
      <c r="A21" s="131" t="s">
        <v>19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46"/>
    </row>
    <row r="22" spans="1:12" ht="17.2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6"/>
    </row>
    <row r="23" spans="1:13" ht="18" customHeight="1">
      <c r="A23" s="148" t="s">
        <v>20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50"/>
    </row>
    <row r="24" spans="1:13" ht="17.25" customHeight="1">
      <c r="A24" s="150"/>
      <c r="B24" s="150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50"/>
    </row>
    <row r="25" spans="1:13" ht="17.25" customHeight="1">
      <c r="A25" s="150" t="s">
        <v>21</v>
      </c>
      <c r="B25" s="150"/>
      <c r="C25" s="150"/>
      <c r="D25" s="150"/>
      <c r="E25" s="150"/>
      <c r="F25" s="149"/>
      <c r="G25" s="149"/>
      <c r="H25" s="149"/>
      <c r="I25" s="149"/>
      <c r="J25" s="149"/>
      <c r="K25" s="149"/>
      <c r="L25" s="149"/>
      <c r="M25" s="150"/>
    </row>
    <row r="26" spans="1:13" ht="17.25" customHeight="1">
      <c r="A26" s="150"/>
      <c r="B26" s="150"/>
      <c r="C26" s="150"/>
      <c r="D26" s="150"/>
      <c r="E26" s="150"/>
      <c r="F26" s="149"/>
      <c r="G26" s="149"/>
      <c r="H26" s="149"/>
      <c r="I26" s="149"/>
      <c r="J26" s="149"/>
      <c r="K26" s="149"/>
      <c r="L26" s="149"/>
      <c r="M26" s="150"/>
    </row>
    <row r="27" spans="1:13" ht="17.25" customHeight="1">
      <c r="A27" s="150" t="s">
        <v>22</v>
      </c>
      <c r="B27" s="150"/>
      <c r="C27" s="150"/>
      <c r="D27" s="150"/>
      <c r="E27" s="150"/>
      <c r="F27" s="149"/>
      <c r="G27" s="149"/>
      <c r="H27" s="149"/>
      <c r="I27" s="149"/>
      <c r="J27" s="149"/>
      <c r="K27" s="149"/>
      <c r="L27" s="149"/>
      <c r="M27" s="150"/>
    </row>
    <row r="28" spans="1:13" ht="17.25" customHeight="1">
      <c r="A28" s="150"/>
      <c r="B28" s="150"/>
      <c r="C28" s="150"/>
      <c r="D28" s="150"/>
      <c r="E28" s="150"/>
      <c r="F28" s="149"/>
      <c r="G28" s="149"/>
      <c r="H28" s="149"/>
      <c r="I28" s="149"/>
      <c r="J28" s="149"/>
      <c r="K28" s="149"/>
      <c r="L28" s="149"/>
      <c r="M28" s="150"/>
    </row>
    <row r="29" spans="1:13" ht="17.25" customHeight="1">
      <c r="A29" s="150" t="s">
        <v>23</v>
      </c>
      <c r="B29" s="150"/>
      <c r="C29" s="150"/>
      <c r="D29" s="150"/>
      <c r="E29" s="150"/>
      <c r="F29" s="149"/>
      <c r="G29" s="149"/>
      <c r="H29" s="149"/>
      <c r="I29" s="149"/>
      <c r="J29" s="149"/>
      <c r="K29" s="149"/>
      <c r="L29" s="149"/>
      <c r="M29" s="150"/>
    </row>
    <row r="30" spans="1:13" ht="17.25" customHeight="1">
      <c r="A30" s="150"/>
      <c r="B30" s="150"/>
      <c r="C30" s="150"/>
      <c r="D30" s="150"/>
      <c r="E30" s="150"/>
      <c r="F30" s="149"/>
      <c r="G30" s="149"/>
      <c r="H30" s="149"/>
      <c r="I30" s="149"/>
      <c r="J30" s="149"/>
      <c r="K30" s="149"/>
      <c r="L30" s="149"/>
      <c r="M30" s="150"/>
    </row>
    <row r="31" spans="1:13" ht="17.25" customHeight="1">
      <c r="A31" s="150" t="s">
        <v>24</v>
      </c>
      <c r="B31" s="150"/>
      <c r="C31" s="150"/>
      <c r="D31" s="150"/>
      <c r="E31" s="150"/>
      <c r="F31" s="149"/>
      <c r="G31" s="149"/>
      <c r="H31" s="149"/>
      <c r="I31" s="149"/>
      <c r="J31" s="149"/>
      <c r="K31" s="149"/>
      <c r="L31" s="149"/>
      <c r="M31" s="150"/>
    </row>
    <row r="32" spans="1:13" ht="17.25" customHeight="1">
      <c r="A32" s="150"/>
      <c r="B32" s="150"/>
      <c r="C32" s="150"/>
      <c r="D32" s="150"/>
      <c r="E32" s="150"/>
      <c r="F32" s="149"/>
      <c r="G32" s="149"/>
      <c r="H32" s="149"/>
      <c r="I32" s="149"/>
      <c r="J32" s="149"/>
      <c r="K32" s="149"/>
      <c r="L32" s="149"/>
      <c r="M32" s="150"/>
    </row>
    <row r="33" spans="1:13" ht="17.25" customHeight="1">
      <c r="A33" s="150" t="s">
        <v>25</v>
      </c>
      <c r="B33" s="150"/>
      <c r="C33" s="150"/>
      <c r="D33" s="150"/>
      <c r="E33" s="150"/>
      <c r="F33" s="149"/>
      <c r="G33" s="149"/>
      <c r="H33" s="149"/>
      <c r="I33" s="149"/>
      <c r="J33" s="149"/>
      <c r="K33" s="149"/>
      <c r="L33" s="149"/>
      <c r="M33" s="150"/>
    </row>
    <row r="34" spans="1:13" ht="17.25" customHeight="1">
      <c r="A34" s="150"/>
      <c r="B34" s="150"/>
      <c r="C34" s="150"/>
      <c r="D34" s="150"/>
      <c r="E34" s="150"/>
      <c r="F34" s="149"/>
      <c r="G34" s="149"/>
      <c r="H34" s="149"/>
      <c r="I34" s="149"/>
      <c r="J34" s="149"/>
      <c r="K34" s="149"/>
      <c r="L34" s="149"/>
      <c r="M34" s="150"/>
    </row>
    <row r="35" spans="1:13" ht="17.25" customHeight="1">
      <c r="A35" s="150" t="s">
        <v>26</v>
      </c>
      <c r="B35" s="150"/>
      <c r="C35" s="150"/>
      <c r="D35" s="150"/>
      <c r="E35" s="150"/>
      <c r="F35" s="149"/>
      <c r="G35" s="149"/>
      <c r="H35" s="149"/>
      <c r="I35" s="149"/>
      <c r="J35" s="149"/>
      <c r="K35" s="149"/>
      <c r="L35" s="149"/>
      <c r="M35" s="150"/>
    </row>
    <row r="36" spans="1:13" ht="17.25" customHeight="1">
      <c r="A36" s="150"/>
      <c r="B36" s="150"/>
      <c r="C36" s="150"/>
      <c r="D36" s="150"/>
      <c r="E36" s="150"/>
      <c r="F36" s="149"/>
      <c r="G36" s="149"/>
      <c r="H36" s="149"/>
      <c r="I36" s="149"/>
      <c r="J36" s="149"/>
      <c r="K36" s="149"/>
      <c r="L36" s="149"/>
      <c r="M36" s="150"/>
    </row>
    <row r="37" spans="1:13" ht="17.25" customHeight="1">
      <c r="A37" s="151" t="s">
        <v>27</v>
      </c>
      <c r="B37" s="151"/>
      <c r="C37" s="151"/>
      <c r="D37" s="151"/>
      <c r="E37" s="151"/>
      <c r="F37" s="149"/>
      <c r="G37" s="149"/>
      <c r="H37" s="149"/>
      <c r="I37" s="149"/>
      <c r="J37" s="149"/>
      <c r="K37" s="149"/>
      <c r="L37" s="149"/>
      <c r="M37" s="150"/>
    </row>
    <row r="38" spans="1:13" ht="17.25" customHeight="1">
      <c r="A38" s="150"/>
      <c r="B38" s="150"/>
      <c r="C38" s="150"/>
      <c r="D38" s="150"/>
      <c r="E38" s="150"/>
      <c r="F38" s="149"/>
      <c r="G38" s="149"/>
      <c r="H38" s="149"/>
      <c r="I38" s="149"/>
      <c r="J38" s="149"/>
      <c r="K38" s="149"/>
      <c r="L38" s="149"/>
      <c r="M38" s="150"/>
    </row>
    <row r="39" spans="1:13" ht="17.25" customHeight="1">
      <c r="A39" s="150" t="s">
        <v>28</v>
      </c>
      <c r="B39" s="150"/>
      <c r="C39" s="150"/>
      <c r="D39" s="150"/>
      <c r="E39" s="150"/>
      <c r="F39" s="149"/>
      <c r="G39" s="149"/>
      <c r="H39" s="149"/>
      <c r="I39" s="149"/>
      <c r="J39" s="149"/>
      <c r="K39" s="149"/>
      <c r="L39" s="149"/>
      <c r="M39" s="150"/>
    </row>
    <row r="40" spans="1:13" ht="17.25" customHeight="1">
      <c r="A40" s="150"/>
      <c r="B40" s="150"/>
      <c r="C40" s="150"/>
      <c r="D40" s="150"/>
      <c r="E40" s="150"/>
      <c r="F40" s="149"/>
      <c r="G40" s="149"/>
      <c r="H40" s="149"/>
      <c r="I40" s="149"/>
      <c r="J40" s="149"/>
      <c r="K40" s="149"/>
      <c r="L40" s="149"/>
      <c r="M40" s="150"/>
    </row>
    <row r="41" spans="1:13" ht="17.25" customHeight="1">
      <c r="A41" s="150" t="s">
        <v>29</v>
      </c>
      <c r="B41" s="150"/>
      <c r="C41" s="150"/>
      <c r="D41" s="150"/>
      <c r="E41" s="150"/>
      <c r="F41" s="149"/>
      <c r="G41" s="149"/>
      <c r="H41" s="149"/>
      <c r="I41" s="149"/>
      <c r="J41" s="149"/>
      <c r="K41" s="149"/>
      <c r="L41" s="149"/>
      <c r="M41" s="150"/>
    </row>
    <row r="42" spans="1:13" ht="17.25" customHeight="1">
      <c r="A42" s="150"/>
      <c r="B42" s="150"/>
      <c r="C42" s="150"/>
      <c r="D42" s="150"/>
      <c r="E42" s="150"/>
      <c r="F42" s="149"/>
      <c r="G42" s="149"/>
      <c r="H42" s="149"/>
      <c r="I42" s="149"/>
      <c r="J42" s="149"/>
      <c r="K42" s="149"/>
      <c r="L42" s="149"/>
      <c r="M42" s="150"/>
    </row>
    <row r="43" spans="1:13" ht="17.25" customHeight="1">
      <c r="A43" s="150" t="s">
        <v>30</v>
      </c>
      <c r="B43" s="150"/>
      <c r="C43" s="150"/>
      <c r="D43" s="150"/>
      <c r="E43" s="150"/>
      <c r="F43" s="149"/>
      <c r="G43" s="149"/>
      <c r="H43" s="149"/>
      <c r="I43" s="149"/>
      <c r="J43" s="149"/>
      <c r="K43" s="149"/>
      <c r="L43" s="149"/>
      <c r="M43" s="150"/>
    </row>
    <row r="44" spans="1:13" ht="17.25" customHeight="1">
      <c r="A44" s="150"/>
      <c r="B44" s="150"/>
      <c r="C44" s="150"/>
      <c r="D44" s="150"/>
      <c r="E44" s="150"/>
      <c r="F44" s="149"/>
      <c r="G44" s="149"/>
      <c r="H44" s="149"/>
      <c r="I44" s="149"/>
      <c r="J44" s="149"/>
      <c r="K44" s="149"/>
      <c r="L44" s="149"/>
      <c r="M44" s="150"/>
    </row>
    <row r="45" spans="1:13" ht="17.25" customHeight="1">
      <c r="A45" s="151" t="s">
        <v>31</v>
      </c>
      <c r="B45" s="151"/>
      <c r="C45" s="151"/>
      <c r="D45" s="151"/>
      <c r="E45" s="151"/>
      <c r="F45" s="149"/>
      <c r="G45" s="149"/>
      <c r="H45" s="149"/>
      <c r="I45" s="149"/>
      <c r="J45" s="149"/>
      <c r="K45" s="149"/>
      <c r="L45" s="149"/>
      <c r="M45" s="150"/>
    </row>
    <row r="46" spans="1:13" ht="17.25" customHeight="1">
      <c r="A46" s="150"/>
      <c r="B46" s="150"/>
      <c r="C46" s="150"/>
      <c r="D46" s="150"/>
      <c r="E46" s="150"/>
      <c r="F46" s="149"/>
      <c r="G46" s="149"/>
      <c r="H46" s="149"/>
      <c r="I46" s="149"/>
      <c r="J46" s="149"/>
      <c r="K46" s="149"/>
      <c r="L46" s="149"/>
      <c r="M46" s="150"/>
    </row>
    <row r="47" spans="1:13" ht="17.25" customHeight="1">
      <c r="A47" s="150" t="s">
        <v>32</v>
      </c>
      <c r="B47" s="150"/>
      <c r="C47" s="150"/>
      <c r="D47" s="150"/>
      <c r="E47" s="150"/>
      <c r="F47" s="149"/>
      <c r="G47" s="149"/>
      <c r="H47" s="149"/>
      <c r="I47" s="149"/>
      <c r="J47" s="149"/>
      <c r="K47" s="149"/>
      <c r="L47" s="149"/>
      <c r="M47" s="150"/>
    </row>
    <row r="48" spans="1:13" ht="17.25" customHeight="1">
      <c r="A48" s="150"/>
      <c r="B48" s="150"/>
      <c r="C48" s="150"/>
      <c r="D48" s="150"/>
      <c r="E48" s="150"/>
      <c r="F48" s="149"/>
      <c r="G48" s="149"/>
      <c r="H48" s="149"/>
      <c r="I48" s="149"/>
      <c r="J48" s="149"/>
      <c r="K48" s="149"/>
      <c r="L48" s="149"/>
      <c r="M48" s="150"/>
    </row>
    <row r="49" spans="1:13" ht="17.25" customHeight="1">
      <c r="A49" s="150" t="s">
        <v>33</v>
      </c>
      <c r="B49" s="150"/>
      <c r="C49" s="150"/>
      <c r="D49" s="150"/>
      <c r="E49" s="150"/>
      <c r="F49" s="149"/>
      <c r="G49" s="149"/>
      <c r="H49" s="149"/>
      <c r="I49" s="149"/>
      <c r="J49" s="149"/>
      <c r="K49" s="149"/>
      <c r="L49" s="149"/>
      <c r="M49" s="150"/>
    </row>
    <row r="50" spans="1:13" ht="17.25" customHeight="1">
      <c r="A50" s="150"/>
      <c r="B50" s="150"/>
      <c r="C50" s="150"/>
      <c r="D50" s="150"/>
      <c r="E50" s="150"/>
      <c r="F50" s="149"/>
      <c r="G50" s="149"/>
      <c r="H50" s="149"/>
      <c r="I50" s="149"/>
      <c r="J50" s="149"/>
      <c r="K50" s="149"/>
      <c r="L50" s="149"/>
      <c r="M50" s="150"/>
    </row>
    <row r="51" spans="1:13" ht="17.25" customHeight="1">
      <c r="A51" s="150" t="s">
        <v>34</v>
      </c>
      <c r="B51" s="150"/>
      <c r="C51" s="150"/>
      <c r="D51" s="150"/>
      <c r="E51" s="150"/>
      <c r="F51" s="149"/>
      <c r="G51" s="149"/>
      <c r="H51" s="149"/>
      <c r="I51" s="149"/>
      <c r="J51" s="149"/>
      <c r="K51" s="149"/>
      <c r="L51" s="149"/>
      <c r="M51" s="150"/>
    </row>
    <row r="52" spans="1:13" ht="17.25" customHeight="1">
      <c r="A52" s="150"/>
      <c r="B52" s="150"/>
      <c r="C52" s="150"/>
      <c r="D52" s="150"/>
      <c r="E52" s="150"/>
      <c r="F52" s="149"/>
      <c r="G52" s="149"/>
      <c r="H52" s="149"/>
      <c r="I52" s="149"/>
      <c r="J52" s="149"/>
      <c r="K52" s="149"/>
      <c r="L52" s="152"/>
      <c r="M52" s="152"/>
    </row>
    <row r="53" spans="1:24" ht="111" customHeight="1">
      <c r="A53" s="135" t="s">
        <v>5</v>
      </c>
      <c r="B53" s="153" t="s">
        <v>35</v>
      </c>
      <c r="C53" s="153" t="s">
        <v>36</v>
      </c>
      <c r="D53" s="153" t="s">
        <v>37</v>
      </c>
      <c r="E53" s="153" t="s">
        <v>38</v>
      </c>
      <c r="F53" s="153" t="s">
        <v>39</v>
      </c>
      <c r="G53" s="153" t="s">
        <v>40</v>
      </c>
      <c r="H53" s="153" t="s">
        <v>41</v>
      </c>
      <c r="I53" s="153" t="s">
        <v>42</v>
      </c>
      <c r="J53" s="153" t="s">
        <v>43</v>
      </c>
      <c r="K53" s="153" t="s">
        <v>44</v>
      </c>
      <c r="L53" s="153" t="s">
        <v>45</v>
      </c>
      <c r="M53" s="153" t="s">
        <v>46</v>
      </c>
      <c r="N53" s="153" t="s">
        <v>47</v>
      </c>
      <c r="O53" s="135" t="s">
        <v>48</v>
      </c>
      <c r="P53" s="135" t="s">
        <v>49</v>
      </c>
      <c r="T53" s="154" t="s">
        <v>145</v>
      </c>
      <c r="U53" s="155" t="s">
        <v>146</v>
      </c>
      <c r="V53" s="156"/>
      <c r="W53" s="157"/>
      <c r="X53" s="157"/>
    </row>
    <row r="54" spans="1:24" ht="23.25" customHeight="1">
      <c r="A54" s="158">
        <v>1</v>
      </c>
      <c r="B54" s="159">
        <v>2</v>
      </c>
      <c r="C54" s="159">
        <v>3</v>
      </c>
      <c r="D54" s="159">
        <v>4</v>
      </c>
      <c r="E54" s="159">
        <v>5</v>
      </c>
      <c r="F54" s="159" t="s">
        <v>50</v>
      </c>
      <c r="G54" s="159" t="s">
        <v>51</v>
      </c>
      <c r="H54" s="159" t="s">
        <v>52</v>
      </c>
      <c r="I54" s="159" t="s">
        <v>53</v>
      </c>
      <c r="J54" s="159">
        <v>10</v>
      </c>
      <c r="K54" s="159">
        <v>11</v>
      </c>
      <c r="L54" s="159">
        <v>12</v>
      </c>
      <c r="M54" s="159">
        <v>13</v>
      </c>
      <c r="N54" s="159">
        <v>14</v>
      </c>
      <c r="O54" s="159">
        <v>15</v>
      </c>
      <c r="P54" s="159">
        <v>16</v>
      </c>
      <c r="T54" s="160"/>
      <c r="U54" s="156"/>
      <c r="V54" s="156"/>
      <c r="W54" s="157"/>
      <c r="X54" s="157"/>
    </row>
    <row r="55" spans="1:24" ht="23.25" customHeight="1">
      <c r="A55" s="139" t="s">
        <v>12</v>
      </c>
      <c r="B55" s="161">
        <v>0</v>
      </c>
      <c r="C55" s="161">
        <v>0</v>
      </c>
      <c r="D55" s="161">
        <v>0</v>
      </c>
      <c r="E55" s="161">
        <v>0</v>
      </c>
      <c r="F55" s="162">
        <v>0</v>
      </c>
      <c r="G55" s="162">
        <v>0</v>
      </c>
      <c r="H55" s="140">
        <v>0</v>
      </c>
      <c r="I55" s="163">
        <v>0</v>
      </c>
      <c r="J55" s="140">
        <v>0</v>
      </c>
      <c r="K55" s="140">
        <v>0</v>
      </c>
      <c r="L55" s="140">
        <v>0</v>
      </c>
      <c r="M55" s="140">
        <f aca="true" t="shared" si="10" ref="M55:M59">I55*(J55*K55+J55)*(L55+1)*12*1.302</f>
        <v>0</v>
      </c>
      <c r="N55" s="140">
        <f aca="true" t="shared" si="11" ref="N55:N59">M55*B55</f>
        <v>0</v>
      </c>
      <c r="O55" s="140">
        <v>0</v>
      </c>
      <c r="P55" s="140">
        <v>0</v>
      </c>
      <c r="T55" s="164"/>
      <c r="U55" s="165"/>
      <c r="V55" s="165">
        <f aca="true" t="shared" si="12" ref="V55:V59">Q55/$N$60*$S$60</f>
        <v>0</v>
      </c>
      <c r="W55" s="157"/>
      <c r="X55" s="157"/>
    </row>
    <row r="56" spans="1:24" ht="26.25" customHeight="1">
      <c r="A56" s="139" t="s">
        <v>13</v>
      </c>
      <c r="B56" s="161">
        <v>0</v>
      </c>
      <c r="C56" s="161">
        <v>0</v>
      </c>
      <c r="D56" s="161">
        <v>0</v>
      </c>
      <c r="E56" s="161">
        <v>0</v>
      </c>
      <c r="F56" s="162">
        <v>0</v>
      </c>
      <c r="G56" s="162">
        <v>0</v>
      </c>
      <c r="H56" s="140">
        <v>0</v>
      </c>
      <c r="I56" s="163">
        <v>0</v>
      </c>
      <c r="J56" s="140">
        <v>0</v>
      </c>
      <c r="K56" s="140">
        <v>0</v>
      </c>
      <c r="L56" s="140">
        <v>0</v>
      </c>
      <c r="M56" s="140">
        <f t="shared" si="10"/>
        <v>0</v>
      </c>
      <c r="N56" s="140">
        <f t="shared" si="11"/>
        <v>0</v>
      </c>
      <c r="O56" s="140">
        <v>0</v>
      </c>
      <c r="P56" s="140">
        <v>0</v>
      </c>
      <c r="T56" s="164"/>
      <c r="U56" s="165"/>
      <c r="V56" s="165">
        <f t="shared" si="12"/>
        <v>0</v>
      </c>
      <c r="W56" s="157"/>
      <c r="X56" s="157"/>
    </row>
    <row r="57" spans="1:24" ht="26.25" customHeight="1">
      <c r="A57" s="139" t="s">
        <v>14</v>
      </c>
      <c r="B57" s="161">
        <v>0</v>
      </c>
      <c r="C57" s="161">
        <v>0</v>
      </c>
      <c r="D57" s="161">
        <v>0</v>
      </c>
      <c r="E57" s="161">
        <v>0</v>
      </c>
      <c r="F57" s="162">
        <v>0</v>
      </c>
      <c r="G57" s="162">
        <v>0</v>
      </c>
      <c r="H57" s="140">
        <v>0</v>
      </c>
      <c r="I57" s="163">
        <v>0</v>
      </c>
      <c r="J57" s="140">
        <v>0</v>
      </c>
      <c r="K57" s="140">
        <v>0</v>
      </c>
      <c r="L57" s="140">
        <v>0</v>
      </c>
      <c r="M57" s="140">
        <f t="shared" si="10"/>
        <v>0</v>
      </c>
      <c r="N57" s="140">
        <f t="shared" si="11"/>
        <v>0</v>
      </c>
      <c r="O57" s="140">
        <v>0</v>
      </c>
      <c r="P57" s="140">
        <v>0</v>
      </c>
      <c r="T57" s="164"/>
      <c r="U57" s="165"/>
      <c r="V57" s="165">
        <f t="shared" si="12"/>
        <v>0</v>
      </c>
      <c r="W57" s="157"/>
      <c r="X57" s="157"/>
    </row>
    <row r="58" spans="1:24" ht="24.75" customHeight="1">
      <c r="A58" s="139" t="s">
        <v>15</v>
      </c>
      <c r="B58" s="41">
        <v>0</v>
      </c>
      <c r="C58" s="41">
        <v>0</v>
      </c>
      <c r="D58" s="41">
        <v>0</v>
      </c>
      <c r="E58" s="41">
        <v>0</v>
      </c>
      <c r="F58" s="42">
        <v>0</v>
      </c>
      <c r="G58" s="162">
        <v>0</v>
      </c>
      <c r="H58" s="140">
        <v>0</v>
      </c>
      <c r="I58" s="163">
        <f aca="true" t="shared" si="13" ref="I58:I60">H58/18</f>
        <v>0</v>
      </c>
      <c r="J58" s="140">
        <v>0</v>
      </c>
      <c r="K58" s="140">
        <v>0</v>
      </c>
      <c r="L58" s="140">
        <v>0</v>
      </c>
      <c r="M58" s="140">
        <f t="shared" si="10"/>
        <v>0</v>
      </c>
      <c r="N58" s="140">
        <f t="shared" si="11"/>
        <v>0</v>
      </c>
      <c r="O58" s="140">
        <v>0</v>
      </c>
      <c r="P58" s="140">
        <v>0</v>
      </c>
      <c r="T58" s="164"/>
      <c r="U58" s="165"/>
      <c r="V58" s="165">
        <f t="shared" si="12"/>
        <v>0</v>
      </c>
      <c r="W58" s="157"/>
      <c r="X58" s="157"/>
    </row>
    <row r="59" spans="1:24" ht="25.5" customHeight="1">
      <c r="A59" s="139" t="s">
        <v>16</v>
      </c>
      <c r="B59" s="41">
        <v>1048</v>
      </c>
      <c r="C59" s="41">
        <v>55</v>
      </c>
      <c r="D59" s="41">
        <v>22</v>
      </c>
      <c r="E59" s="41">
        <v>474</v>
      </c>
      <c r="F59" s="42">
        <f aca="true" t="shared" si="14" ref="F59:F60">E59/D59</f>
        <v>21.545454545454547</v>
      </c>
      <c r="G59" s="162">
        <f aca="true" t="shared" si="15" ref="G59:G60">B59/C59</f>
        <v>19.054545454545455</v>
      </c>
      <c r="H59" s="140">
        <f aca="true" t="shared" si="16" ref="H59:H60">F59/G59</f>
        <v>1.1307251908396947</v>
      </c>
      <c r="I59" s="163">
        <f t="shared" si="13"/>
        <v>0.06281806615776081</v>
      </c>
      <c r="J59" s="140">
        <v>8587</v>
      </c>
      <c r="K59" s="140">
        <v>0.08</v>
      </c>
      <c r="L59" s="140">
        <f>(19000+12815.1+19885.5+22978.8)/D60*D59/(19000+12815.1+19885.5+22978.8)</f>
        <v>1</v>
      </c>
      <c r="M59" s="140">
        <f t="shared" si="10"/>
        <v>18204.217131297708</v>
      </c>
      <c r="N59" s="140">
        <f t="shared" si="11"/>
        <v>19078019.5536</v>
      </c>
      <c r="O59" s="140">
        <f aca="true" t="shared" si="17" ref="O59:O60">P59/N59</f>
        <v>0.615733840559114</v>
      </c>
      <c r="P59" s="140">
        <f>12442756+3757712-A172-B172-C172</f>
        <v>11746982.25</v>
      </c>
      <c r="T59" s="164"/>
      <c r="U59" s="165"/>
      <c r="V59" s="165">
        <f t="shared" si="12"/>
        <v>0</v>
      </c>
      <c r="W59" s="157"/>
      <c r="X59" s="157"/>
    </row>
    <row r="60" spans="1:23" ht="15.75" customHeight="1">
      <c r="A60" s="142" t="s">
        <v>17</v>
      </c>
      <c r="B60" s="35">
        <f>B55+B56+B57+B58+B59</f>
        <v>1048</v>
      </c>
      <c r="C60" s="35">
        <f>C55+C56+C57+C58+C59</f>
        <v>55</v>
      </c>
      <c r="D60" s="35">
        <f>D55+D56+D57+D58+D59</f>
        <v>22</v>
      </c>
      <c r="E60" s="35">
        <f>E55+E56+E57+E58+E59</f>
        <v>474</v>
      </c>
      <c r="F60" s="37">
        <f t="shared" si="14"/>
        <v>21.545454545454547</v>
      </c>
      <c r="G60" s="166">
        <f t="shared" si="15"/>
        <v>19.054545454545455</v>
      </c>
      <c r="H60" s="167">
        <f t="shared" si="16"/>
        <v>1.1307251908396947</v>
      </c>
      <c r="I60" s="168">
        <f t="shared" si="13"/>
        <v>0.06281806615776081</v>
      </c>
      <c r="J60" s="143">
        <v>6513</v>
      </c>
      <c r="K60" s="143">
        <v>0</v>
      </c>
      <c r="L60" s="143">
        <f>L55+L56+L57+L58+L59</f>
        <v>1</v>
      </c>
      <c r="M60" s="167">
        <f>N60/B60</f>
        <v>18204.217131297708</v>
      </c>
      <c r="N60" s="167">
        <f>SUM(N55:N59)</f>
        <v>19078019.5536</v>
      </c>
      <c r="O60" s="167">
        <f t="shared" si="17"/>
        <v>0.615733840559114</v>
      </c>
      <c r="P60" s="167">
        <f>SUM(P55:P59)</f>
        <v>11746982.25</v>
      </c>
      <c r="Q60">
        <v>15804155</v>
      </c>
      <c r="R60" s="169">
        <f>G185</f>
        <v>4453485.75</v>
      </c>
      <c r="S60" s="169">
        <f>Q60-R60</f>
        <v>11350669.25</v>
      </c>
      <c r="T60" s="170">
        <f>11727385+3541670</f>
        <v>15269055</v>
      </c>
      <c r="U60" s="165">
        <f>G185</f>
        <v>4453485.75</v>
      </c>
      <c r="V60" s="165">
        <f>T60-U60</f>
        <v>10815569.25</v>
      </c>
      <c r="W60" s="157"/>
    </row>
    <row r="61" spans="1:17" ht="12.75">
      <c r="A61" s="150"/>
      <c r="B61" s="29"/>
      <c r="C61" s="29"/>
      <c r="D61" s="29"/>
      <c r="E61" s="29"/>
      <c r="F61" s="28"/>
      <c r="G61" s="149"/>
      <c r="H61" s="149"/>
      <c r="I61" s="149"/>
      <c r="J61" s="149"/>
      <c r="K61" s="149"/>
      <c r="L61" s="149"/>
      <c r="M61" s="150"/>
      <c r="N61" s="150"/>
      <c r="O61" s="150"/>
      <c r="P61" s="150"/>
      <c r="Q61" s="150"/>
    </row>
    <row r="62" spans="1:17" ht="12.75" customHeight="1">
      <c r="A62" s="171" t="s">
        <v>54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2">
        <f>O60</f>
        <v>0.615733840559114</v>
      </c>
      <c r="M62" s="173"/>
      <c r="N62" s="173"/>
      <c r="O62" s="173"/>
      <c r="P62" s="173"/>
      <c r="Q62" s="150"/>
    </row>
    <row r="63" spans="1:17" ht="12.75">
      <c r="A63" s="150"/>
      <c r="B63" s="150"/>
      <c r="C63" s="150"/>
      <c r="D63" s="150"/>
      <c r="E63" s="150"/>
      <c r="F63" s="149"/>
      <c r="G63" s="149"/>
      <c r="H63" s="149"/>
      <c r="I63" s="149"/>
      <c r="J63" s="149"/>
      <c r="K63" s="149"/>
      <c r="L63" s="149"/>
      <c r="M63" s="150"/>
      <c r="N63" s="150"/>
      <c r="O63" s="174">
        <f>N60+P60</f>
        <v>30825001.8036</v>
      </c>
      <c r="P63" s="150"/>
      <c r="Q63" s="150"/>
    </row>
    <row r="64" spans="1:16" ht="38.25" customHeight="1">
      <c r="A64" s="175" t="s">
        <v>55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N64" s="169"/>
      <c r="O64" s="169"/>
      <c r="P64" s="169"/>
    </row>
    <row r="65" spans="1:13" ht="12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1:13" ht="27" customHeight="1">
      <c r="A66" s="176" t="s">
        <v>56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ht="12.7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1:13" ht="16.5">
      <c r="A68" s="150" t="s">
        <v>57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12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6.5">
      <c r="A70" s="177" t="s">
        <v>58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ht="12.7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13" ht="16.5">
      <c r="A72" s="177" t="s">
        <v>59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ht="12.7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  <row r="74" spans="1:13" ht="38.25" customHeight="1">
      <c r="A74" s="133" t="s">
        <v>60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</row>
    <row r="75" spans="1:13" ht="12.7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</row>
    <row r="76" spans="1:13" ht="16.5">
      <c r="A76" s="177" t="s">
        <v>61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ht="12.7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ht="51">
      <c r="A78" s="135" t="s">
        <v>62</v>
      </c>
      <c r="B78" s="55" t="s">
        <v>63</v>
      </c>
      <c r="C78" s="135" t="s">
        <v>64</v>
      </c>
      <c r="D78" s="135" t="s">
        <v>65</v>
      </c>
      <c r="E78" s="135" t="s">
        <v>48</v>
      </c>
      <c r="F78" s="135" t="s">
        <v>49</v>
      </c>
      <c r="G78" s="177"/>
      <c r="H78" s="177"/>
      <c r="I78" s="177"/>
      <c r="J78" s="177"/>
      <c r="K78" s="177"/>
      <c r="L78" s="177"/>
      <c r="M78" s="177"/>
    </row>
    <row r="79" spans="1:13" ht="16.5">
      <c r="A79" s="178" t="s">
        <v>66</v>
      </c>
      <c r="B79" s="57">
        <f>B60</f>
        <v>1048</v>
      </c>
      <c r="C79" s="179">
        <f>F125</f>
        <v>1156.8673664122139</v>
      </c>
      <c r="D79" s="179">
        <f>E125</f>
        <v>1212397</v>
      </c>
      <c r="E79" s="180">
        <f>G125</f>
        <v>0.9724166259071905</v>
      </c>
      <c r="F79" s="180">
        <f aca="true" t="shared" si="18" ref="F79:F108">D79*E79</f>
        <v>1178955</v>
      </c>
      <c r="G79" s="181"/>
      <c r="H79" s="177"/>
      <c r="I79" s="177"/>
      <c r="J79" s="177"/>
      <c r="K79" s="177"/>
      <c r="L79" s="177"/>
      <c r="M79" s="177"/>
    </row>
    <row r="80" spans="1:13" ht="25.5">
      <c r="A80" s="139" t="s">
        <v>12</v>
      </c>
      <c r="B80" s="121">
        <f aca="true" t="shared" si="19" ref="B80:B84">B55</f>
        <v>0</v>
      </c>
      <c r="C80" s="182">
        <v>0</v>
      </c>
      <c r="D80" s="182">
        <f aca="true" t="shared" si="20" ref="D80:D84">B80*C80</f>
        <v>0</v>
      </c>
      <c r="E80" s="182">
        <v>0</v>
      </c>
      <c r="F80" s="182">
        <f t="shared" si="18"/>
        <v>0</v>
      </c>
      <c r="G80" s="177"/>
      <c r="H80" s="177"/>
      <c r="I80" s="177"/>
      <c r="J80" s="177"/>
      <c r="K80" s="177"/>
      <c r="L80" s="177"/>
      <c r="M80" s="177"/>
    </row>
    <row r="81" spans="1:13" ht="25.5">
      <c r="A81" s="139" t="s">
        <v>13</v>
      </c>
      <c r="B81" s="121">
        <f t="shared" si="19"/>
        <v>0</v>
      </c>
      <c r="C81" s="182">
        <v>0</v>
      </c>
      <c r="D81" s="182">
        <f t="shared" si="20"/>
        <v>0</v>
      </c>
      <c r="E81" s="182">
        <v>0</v>
      </c>
      <c r="F81" s="182">
        <f t="shared" si="18"/>
        <v>0</v>
      </c>
      <c r="G81" s="177"/>
      <c r="H81" s="177"/>
      <c r="I81" s="177"/>
      <c r="J81" s="177"/>
      <c r="K81" s="177"/>
      <c r="L81" s="177"/>
      <c r="M81" s="177"/>
    </row>
    <row r="82" spans="1:13" ht="25.5">
      <c r="A82" s="139" t="s">
        <v>14</v>
      </c>
      <c r="B82" s="121">
        <f t="shared" si="19"/>
        <v>0</v>
      </c>
      <c r="C82" s="182">
        <v>0</v>
      </c>
      <c r="D82" s="182">
        <f t="shared" si="20"/>
        <v>0</v>
      </c>
      <c r="E82" s="182">
        <v>0</v>
      </c>
      <c r="F82" s="182">
        <f t="shared" si="18"/>
        <v>0</v>
      </c>
      <c r="G82" s="177"/>
      <c r="H82" s="177"/>
      <c r="I82" s="177"/>
      <c r="J82" s="177"/>
      <c r="K82" s="177"/>
      <c r="L82" s="177"/>
      <c r="M82" s="177"/>
    </row>
    <row r="83" spans="1:13" ht="25.5">
      <c r="A83" s="139" t="s">
        <v>15</v>
      </c>
      <c r="B83" s="121">
        <f t="shared" si="19"/>
        <v>0</v>
      </c>
      <c r="C83" s="182">
        <f>C82</f>
        <v>0</v>
      </c>
      <c r="D83" s="182">
        <f t="shared" si="20"/>
        <v>0</v>
      </c>
      <c r="E83" s="182">
        <f>E82</f>
        <v>0</v>
      </c>
      <c r="F83" s="182">
        <f t="shared" si="18"/>
        <v>0</v>
      </c>
      <c r="G83" s="177"/>
      <c r="H83" s="177"/>
      <c r="I83" s="177"/>
      <c r="J83" s="177"/>
      <c r="K83" s="177"/>
      <c r="L83" s="177"/>
      <c r="M83" s="177"/>
    </row>
    <row r="84" spans="1:13" ht="25.5">
      <c r="A84" s="139" t="s">
        <v>16</v>
      </c>
      <c r="B84" s="121">
        <f t="shared" si="19"/>
        <v>1048</v>
      </c>
      <c r="C84" s="182">
        <f>F125</f>
        <v>1156.8673664122139</v>
      </c>
      <c r="D84" s="182">
        <f t="shared" si="20"/>
        <v>1212397.0000000002</v>
      </c>
      <c r="E84" s="182">
        <f>G125</f>
        <v>0.9724166259071905</v>
      </c>
      <c r="F84" s="182">
        <f t="shared" si="18"/>
        <v>1178955.0000000002</v>
      </c>
      <c r="G84" s="177"/>
      <c r="H84" s="177"/>
      <c r="I84" s="177"/>
      <c r="J84" s="177"/>
      <c r="K84" s="177"/>
      <c r="L84" s="177"/>
      <c r="M84" s="177"/>
    </row>
    <row r="85" spans="1:13" ht="16.5">
      <c r="A85" s="183" t="s">
        <v>67</v>
      </c>
      <c r="B85" s="57">
        <f aca="true" t="shared" si="21" ref="B85:B90">B79</f>
        <v>1048</v>
      </c>
      <c r="C85" s="180">
        <f>F140</f>
        <v>1227.7194656488552</v>
      </c>
      <c r="D85" s="180">
        <f>E140</f>
        <v>1286650</v>
      </c>
      <c r="E85" s="180">
        <f>G140</f>
        <v>0.9051264912757937</v>
      </c>
      <c r="F85" s="180">
        <f t="shared" si="18"/>
        <v>1164581</v>
      </c>
      <c r="G85" s="177"/>
      <c r="H85" s="177"/>
      <c r="I85" s="177"/>
      <c r="J85" s="177"/>
      <c r="K85" s="177"/>
      <c r="L85" s="177"/>
      <c r="M85" s="177"/>
    </row>
    <row r="86" spans="1:13" ht="25.5">
      <c r="A86" s="139" t="s">
        <v>12</v>
      </c>
      <c r="B86" s="121">
        <f t="shared" si="21"/>
        <v>0</v>
      </c>
      <c r="C86" s="182">
        <v>0</v>
      </c>
      <c r="D86" s="182">
        <f aca="true" t="shared" si="22" ref="D86:D96">B86*C86</f>
        <v>0</v>
      </c>
      <c r="E86" s="182">
        <v>0</v>
      </c>
      <c r="F86" s="182">
        <f t="shared" si="18"/>
        <v>0</v>
      </c>
      <c r="G86" s="177"/>
      <c r="H86" s="177"/>
      <c r="I86" s="177"/>
      <c r="J86" s="177"/>
      <c r="K86" s="177"/>
      <c r="L86" s="177"/>
      <c r="M86" s="177"/>
    </row>
    <row r="87" spans="1:13" ht="25.5">
      <c r="A87" s="139" t="s">
        <v>13</v>
      </c>
      <c r="B87" s="121">
        <f t="shared" si="21"/>
        <v>0</v>
      </c>
      <c r="C87" s="182">
        <v>0</v>
      </c>
      <c r="D87" s="182">
        <f t="shared" si="22"/>
        <v>0</v>
      </c>
      <c r="E87" s="182">
        <f aca="true" t="shared" si="23" ref="E87:E89">E86</f>
        <v>0</v>
      </c>
      <c r="F87" s="182">
        <f t="shared" si="18"/>
        <v>0</v>
      </c>
      <c r="G87" s="177"/>
      <c r="H87" s="177"/>
      <c r="I87" s="177"/>
      <c r="J87" s="177"/>
      <c r="K87" s="177"/>
      <c r="L87" s="177"/>
      <c r="M87" s="177"/>
    </row>
    <row r="88" spans="1:13" ht="25.5">
      <c r="A88" s="139" t="s">
        <v>14</v>
      </c>
      <c r="B88" s="121">
        <f t="shared" si="21"/>
        <v>0</v>
      </c>
      <c r="C88" s="182">
        <v>0</v>
      </c>
      <c r="D88" s="182">
        <f t="shared" si="22"/>
        <v>0</v>
      </c>
      <c r="E88" s="182">
        <f t="shared" si="23"/>
        <v>0</v>
      </c>
      <c r="F88" s="182">
        <f t="shared" si="18"/>
        <v>0</v>
      </c>
      <c r="G88" s="177"/>
      <c r="H88" s="177"/>
      <c r="I88" s="177"/>
      <c r="J88" s="177"/>
      <c r="K88" s="177"/>
      <c r="L88" s="177"/>
      <c r="M88" s="177"/>
    </row>
    <row r="89" spans="1:13" ht="25.5">
      <c r="A89" s="139" t="s">
        <v>15</v>
      </c>
      <c r="B89" s="121">
        <f t="shared" si="21"/>
        <v>0</v>
      </c>
      <c r="C89" s="182">
        <v>0</v>
      </c>
      <c r="D89" s="182">
        <f t="shared" si="22"/>
        <v>0</v>
      </c>
      <c r="E89" s="182">
        <f t="shared" si="23"/>
        <v>0</v>
      </c>
      <c r="F89" s="182">
        <f t="shared" si="18"/>
        <v>0</v>
      </c>
      <c r="G89" s="177"/>
      <c r="H89" s="177"/>
      <c r="I89" s="177"/>
      <c r="J89" s="177"/>
      <c r="K89" s="177"/>
      <c r="L89" s="177"/>
      <c r="M89" s="177"/>
    </row>
    <row r="90" spans="1:13" ht="25.5">
      <c r="A90" s="139" t="s">
        <v>16</v>
      </c>
      <c r="B90" s="121">
        <f t="shared" si="21"/>
        <v>1048</v>
      </c>
      <c r="C90" s="182">
        <f>F140</f>
        <v>1227.7194656488552</v>
      </c>
      <c r="D90" s="182">
        <f t="shared" si="22"/>
        <v>1286650.0000000002</v>
      </c>
      <c r="E90" s="182">
        <f>G140</f>
        <v>0.9051264912757937</v>
      </c>
      <c r="F90" s="182">
        <f t="shared" si="18"/>
        <v>1164581.0000000002</v>
      </c>
      <c r="G90" s="177"/>
      <c r="H90" s="177"/>
      <c r="I90" s="177"/>
      <c r="J90" s="177"/>
      <c r="K90" s="177"/>
      <c r="L90" s="177"/>
      <c r="M90" s="177"/>
    </row>
    <row r="91" spans="1:13" ht="15.75">
      <c r="A91" s="184" t="s">
        <v>68</v>
      </c>
      <c r="B91" s="57">
        <f>B60</f>
        <v>1048</v>
      </c>
      <c r="C91" s="180">
        <f>F150</f>
        <v>8.465648854961831</v>
      </c>
      <c r="D91" s="180">
        <f t="shared" si="22"/>
        <v>8871.999999999998</v>
      </c>
      <c r="E91" s="180">
        <f>G150</f>
        <v>0.9093778178539225</v>
      </c>
      <c r="F91" s="180">
        <f t="shared" si="18"/>
        <v>8067.999999999998</v>
      </c>
      <c r="G91" s="177"/>
      <c r="H91" s="177"/>
      <c r="I91" s="177"/>
      <c r="J91" s="177"/>
      <c r="K91" s="177"/>
      <c r="L91" s="177"/>
      <c r="M91" s="177"/>
    </row>
    <row r="92" spans="1:13" ht="25.5">
      <c r="A92" s="139" t="s">
        <v>12</v>
      </c>
      <c r="B92" s="121">
        <f aca="true" t="shared" si="24" ref="B92:B96">B86</f>
        <v>0</v>
      </c>
      <c r="C92" s="182">
        <v>0</v>
      </c>
      <c r="D92" s="182">
        <f t="shared" si="22"/>
        <v>0</v>
      </c>
      <c r="E92" s="182">
        <v>0</v>
      </c>
      <c r="F92" s="182">
        <f t="shared" si="18"/>
        <v>0</v>
      </c>
      <c r="G92" s="177"/>
      <c r="H92" s="177"/>
      <c r="I92" s="177"/>
      <c r="J92" s="177"/>
      <c r="K92" s="177"/>
      <c r="L92" s="177"/>
      <c r="M92" s="177"/>
    </row>
    <row r="93" spans="1:13" ht="25.5">
      <c r="A93" s="139" t="s">
        <v>13</v>
      </c>
      <c r="B93" s="121">
        <f t="shared" si="24"/>
        <v>0</v>
      </c>
      <c r="C93" s="182">
        <v>0</v>
      </c>
      <c r="D93" s="182">
        <f t="shared" si="22"/>
        <v>0</v>
      </c>
      <c r="E93" s="182">
        <f aca="true" t="shared" si="25" ref="E93:E95">E92</f>
        <v>0</v>
      </c>
      <c r="F93" s="182">
        <f t="shared" si="18"/>
        <v>0</v>
      </c>
      <c r="G93" s="177"/>
      <c r="H93" s="177"/>
      <c r="I93" s="177"/>
      <c r="J93" s="177"/>
      <c r="K93" s="177"/>
      <c r="L93" s="177"/>
      <c r="M93" s="177"/>
    </row>
    <row r="94" spans="1:13" ht="25.5">
      <c r="A94" s="139" t="s">
        <v>14</v>
      </c>
      <c r="B94" s="121">
        <f t="shared" si="24"/>
        <v>0</v>
      </c>
      <c r="C94" s="182">
        <v>0</v>
      </c>
      <c r="D94" s="182">
        <f t="shared" si="22"/>
        <v>0</v>
      </c>
      <c r="E94" s="182">
        <f t="shared" si="25"/>
        <v>0</v>
      </c>
      <c r="F94" s="182">
        <f t="shared" si="18"/>
        <v>0</v>
      </c>
      <c r="G94" s="177"/>
      <c r="H94" s="177"/>
      <c r="I94" s="177"/>
      <c r="J94" s="177"/>
      <c r="K94" s="177"/>
      <c r="L94" s="177"/>
      <c r="M94" s="177"/>
    </row>
    <row r="95" spans="1:13" ht="25.5">
      <c r="A95" s="139" t="s">
        <v>15</v>
      </c>
      <c r="B95" s="121">
        <f t="shared" si="24"/>
        <v>0</v>
      </c>
      <c r="C95" s="182">
        <f>C94</f>
        <v>0</v>
      </c>
      <c r="D95" s="182">
        <f t="shared" si="22"/>
        <v>0</v>
      </c>
      <c r="E95" s="182">
        <f t="shared" si="25"/>
        <v>0</v>
      </c>
      <c r="F95" s="182">
        <f t="shared" si="18"/>
        <v>0</v>
      </c>
      <c r="G95" s="177"/>
      <c r="H95" s="177"/>
      <c r="I95" s="177"/>
      <c r="J95" s="177"/>
      <c r="K95" s="177"/>
      <c r="L95" s="177"/>
      <c r="M95" s="177"/>
    </row>
    <row r="96" spans="1:13" ht="25.5">
      <c r="A96" s="139" t="s">
        <v>16</v>
      </c>
      <c r="B96" s="121">
        <f t="shared" si="24"/>
        <v>1048</v>
      </c>
      <c r="C96" s="182">
        <f>F150</f>
        <v>8.465648854961831</v>
      </c>
      <c r="D96" s="182">
        <f t="shared" si="22"/>
        <v>8871.999999999998</v>
      </c>
      <c r="E96" s="182">
        <f>G150</f>
        <v>0.9093778178539225</v>
      </c>
      <c r="F96" s="182">
        <f t="shared" si="18"/>
        <v>8067.999999999998</v>
      </c>
      <c r="G96" s="177"/>
      <c r="H96" s="177"/>
      <c r="I96" s="177"/>
      <c r="J96" s="177"/>
      <c r="K96" s="177"/>
      <c r="L96" s="177"/>
      <c r="M96" s="177"/>
    </row>
    <row r="97" spans="1:13" ht="18" customHeight="1">
      <c r="A97" s="185" t="s">
        <v>69</v>
      </c>
      <c r="B97" s="186">
        <f>B60</f>
        <v>1048</v>
      </c>
      <c r="C97" s="187">
        <f>D97/B97</f>
        <v>4249.509303435115</v>
      </c>
      <c r="D97" s="187">
        <f>D98+D99+D100+D101+D102</f>
        <v>4453485.75</v>
      </c>
      <c r="E97" s="187">
        <f>F185</f>
        <v>1</v>
      </c>
      <c r="F97" s="187">
        <f t="shared" si="18"/>
        <v>4453485.75</v>
      </c>
      <c r="G97" s="188"/>
      <c r="H97" s="188"/>
      <c r="I97" s="188"/>
      <c r="J97" s="188"/>
      <c r="K97" s="188"/>
      <c r="L97" s="188"/>
      <c r="M97" s="188"/>
    </row>
    <row r="98" spans="1:13" ht="25.5">
      <c r="A98" s="139" t="s">
        <v>12</v>
      </c>
      <c r="B98" s="121">
        <f aca="true" t="shared" si="26" ref="B98:B102">B92</f>
        <v>0</v>
      </c>
      <c r="C98" s="182">
        <f aca="true" t="shared" si="27" ref="C98:C102">D180</f>
        <v>0</v>
      </c>
      <c r="D98" s="182">
        <f aca="true" t="shared" si="28" ref="D98:D108">B98*C98</f>
        <v>0</v>
      </c>
      <c r="E98" s="182">
        <v>0</v>
      </c>
      <c r="F98" s="182">
        <f t="shared" si="18"/>
        <v>0</v>
      </c>
      <c r="G98" s="177"/>
      <c r="H98" s="177"/>
      <c r="I98" s="177"/>
      <c r="J98" s="177"/>
      <c r="K98" s="177"/>
      <c r="L98" s="177"/>
      <c r="M98" s="177"/>
    </row>
    <row r="99" spans="1:13" ht="25.5">
      <c r="A99" s="139" t="s">
        <v>13</v>
      </c>
      <c r="B99" s="121">
        <f t="shared" si="26"/>
        <v>0</v>
      </c>
      <c r="C99" s="182">
        <f t="shared" si="27"/>
        <v>0</v>
      </c>
      <c r="D99" s="182">
        <f t="shared" si="28"/>
        <v>0</v>
      </c>
      <c r="E99" s="182">
        <v>0</v>
      </c>
      <c r="F99" s="182">
        <f t="shared" si="18"/>
        <v>0</v>
      </c>
      <c r="G99" s="177"/>
      <c r="H99" s="177"/>
      <c r="I99" s="177"/>
      <c r="J99" s="177"/>
      <c r="K99" s="177"/>
      <c r="L99" s="177"/>
      <c r="M99" s="177"/>
    </row>
    <row r="100" spans="1:13" ht="25.5">
      <c r="A100" s="139" t="s">
        <v>14</v>
      </c>
      <c r="B100" s="121">
        <f t="shared" si="26"/>
        <v>0</v>
      </c>
      <c r="C100" s="182">
        <f t="shared" si="27"/>
        <v>0</v>
      </c>
      <c r="D100" s="182">
        <f t="shared" si="28"/>
        <v>0</v>
      </c>
      <c r="E100" s="182">
        <v>0</v>
      </c>
      <c r="F100" s="182">
        <f t="shared" si="18"/>
        <v>0</v>
      </c>
      <c r="G100" s="177"/>
      <c r="H100" s="177"/>
      <c r="I100" s="177"/>
      <c r="J100" s="177"/>
      <c r="K100" s="177"/>
      <c r="L100" s="177"/>
      <c r="M100" s="177"/>
    </row>
    <row r="101" spans="1:13" ht="25.5">
      <c r="A101" s="139" t="s">
        <v>15</v>
      </c>
      <c r="B101" s="121">
        <f t="shared" si="26"/>
        <v>0</v>
      </c>
      <c r="C101" s="182">
        <f t="shared" si="27"/>
        <v>0</v>
      </c>
      <c r="D101" s="182">
        <f t="shared" si="28"/>
        <v>0</v>
      </c>
      <c r="E101" s="182">
        <v>0</v>
      </c>
      <c r="F101" s="182">
        <f t="shared" si="18"/>
        <v>0</v>
      </c>
      <c r="G101" s="177"/>
      <c r="H101" s="177"/>
      <c r="I101" s="177"/>
      <c r="J101" s="177"/>
      <c r="K101" s="177"/>
      <c r="L101" s="177"/>
      <c r="M101" s="177"/>
    </row>
    <row r="102" spans="1:13" ht="25.5">
      <c r="A102" s="139" t="s">
        <v>16</v>
      </c>
      <c r="B102" s="121">
        <f t="shared" si="26"/>
        <v>1048</v>
      </c>
      <c r="C102" s="182">
        <f t="shared" si="27"/>
        <v>4249.509303435115</v>
      </c>
      <c r="D102" s="182">
        <f t="shared" si="28"/>
        <v>4453485.75</v>
      </c>
      <c r="E102" s="182">
        <f>F185</f>
        <v>1</v>
      </c>
      <c r="F102" s="182">
        <f t="shared" si="18"/>
        <v>4453485.75</v>
      </c>
      <c r="G102" s="177"/>
      <c r="H102" s="177"/>
      <c r="I102" s="177"/>
      <c r="J102" s="177"/>
      <c r="K102" s="177"/>
      <c r="L102" s="177"/>
      <c r="M102" s="177"/>
    </row>
    <row r="103" spans="1:13" ht="16.5">
      <c r="A103" s="184" t="s">
        <v>70</v>
      </c>
      <c r="B103" s="65">
        <f>B60</f>
        <v>1048</v>
      </c>
      <c r="C103" s="189">
        <f>C194</f>
        <v>18.080152671755727</v>
      </c>
      <c r="D103" s="190">
        <f t="shared" si="28"/>
        <v>18948</v>
      </c>
      <c r="E103" s="180">
        <f>D194</f>
        <v>0.9094363521215959</v>
      </c>
      <c r="F103" s="180">
        <f t="shared" si="18"/>
        <v>17232</v>
      </c>
      <c r="G103" s="177"/>
      <c r="H103" s="177"/>
      <c r="I103" s="177"/>
      <c r="J103" s="177"/>
      <c r="K103" s="177"/>
      <c r="L103" s="177"/>
      <c r="M103" s="177"/>
    </row>
    <row r="104" spans="1:13" ht="25.5">
      <c r="A104" s="139" t="s">
        <v>12</v>
      </c>
      <c r="B104" s="121">
        <f aca="true" t="shared" si="29" ref="B104:B108">B98</f>
        <v>0</v>
      </c>
      <c r="C104" s="182">
        <v>0</v>
      </c>
      <c r="D104" s="182">
        <f t="shared" si="28"/>
        <v>0</v>
      </c>
      <c r="E104" s="182">
        <v>0</v>
      </c>
      <c r="F104" s="182">
        <f t="shared" si="18"/>
        <v>0</v>
      </c>
      <c r="G104" s="177"/>
      <c r="H104" s="177"/>
      <c r="I104" s="177"/>
      <c r="J104" s="177"/>
      <c r="K104" s="177"/>
      <c r="L104" s="177"/>
      <c r="M104" s="177"/>
    </row>
    <row r="105" spans="1:13" ht="25.5">
      <c r="A105" s="139" t="s">
        <v>13</v>
      </c>
      <c r="B105" s="121">
        <f t="shared" si="29"/>
        <v>0</v>
      </c>
      <c r="C105" s="182">
        <f aca="true" t="shared" si="30" ref="C105:C107">C104</f>
        <v>0</v>
      </c>
      <c r="D105" s="182">
        <f t="shared" si="28"/>
        <v>0</v>
      </c>
      <c r="E105" s="182">
        <f aca="true" t="shared" si="31" ref="E105:E107">E104</f>
        <v>0</v>
      </c>
      <c r="F105" s="182">
        <f t="shared" si="18"/>
        <v>0</v>
      </c>
      <c r="G105" s="177"/>
      <c r="H105" s="177"/>
      <c r="I105" s="177"/>
      <c r="J105" s="177"/>
      <c r="K105" s="177"/>
      <c r="L105" s="177"/>
      <c r="M105" s="177"/>
    </row>
    <row r="106" spans="1:13" ht="25.5">
      <c r="A106" s="139" t="s">
        <v>14</v>
      </c>
      <c r="B106" s="121">
        <f t="shared" si="29"/>
        <v>0</v>
      </c>
      <c r="C106" s="182">
        <f t="shared" si="30"/>
        <v>0</v>
      </c>
      <c r="D106" s="182">
        <f t="shared" si="28"/>
        <v>0</v>
      </c>
      <c r="E106" s="182">
        <f t="shared" si="31"/>
        <v>0</v>
      </c>
      <c r="F106" s="182">
        <f t="shared" si="18"/>
        <v>0</v>
      </c>
      <c r="G106" s="177"/>
      <c r="H106" s="177"/>
      <c r="I106" s="177"/>
      <c r="J106" s="177"/>
      <c r="K106" s="177"/>
      <c r="L106" s="177"/>
      <c r="M106" s="177"/>
    </row>
    <row r="107" spans="1:13" ht="25.5">
      <c r="A107" s="139" t="s">
        <v>15</v>
      </c>
      <c r="B107" s="121">
        <f t="shared" si="29"/>
        <v>0</v>
      </c>
      <c r="C107" s="182">
        <f t="shared" si="30"/>
        <v>0</v>
      </c>
      <c r="D107" s="182">
        <f t="shared" si="28"/>
        <v>0</v>
      </c>
      <c r="E107" s="182">
        <f t="shared" si="31"/>
        <v>0</v>
      </c>
      <c r="F107" s="182">
        <f t="shared" si="18"/>
        <v>0</v>
      </c>
      <c r="G107" s="177"/>
      <c r="H107" s="177"/>
      <c r="I107" s="177"/>
      <c r="J107" s="177"/>
      <c r="K107" s="177"/>
      <c r="L107" s="177"/>
      <c r="M107" s="177"/>
    </row>
    <row r="108" spans="1:13" ht="25.5">
      <c r="A108" s="139" t="s">
        <v>16</v>
      </c>
      <c r="B108" s="121">
        <f t="shared" si="29"/>
        <v>1048</v>
      </c>
      <c r="C108" s="182">
        <f>C194</f>
        <v>18.080152671755727</v>
      </c>
      <c r="D108" s="182">
        <f t="shared" si="28"/>
        <v>18948</v>
      </c>
      <c r="E108" s="182">
        <f>D194</f>
        <v>0.9094363521215959</v>
      </c>
      <c r="F108" s="182">
        <f t="shared" si="18"/>
        <v>17232</v>
      </c>
      <c r="G108" s="177"/>
      <c r="H108" s="177"/>
      <c r="I108" s="177"/>
      <c r="J108" s="177"/>
      <c r="K108" s="177"/>
      <c r="L108" s="177"/>
      <c r="M108" s="177"/>
    </row>
    <row r="109" spans="1:13" ht="15.75">
      <c r="A109" s="191" t="s">
        <v>71</v>
      </c>
      <c r="B109" s="192">
        <f>B60</f>
        <v>1048</v>
      </c>
      <c r="C109" s="193">
        <f>D109/B109</f>
        <v>6660.6419370229005</v>
      </c>
      <c r="D109" s="193">
        <f>D110+D111+D112+D113+D114</f>
        <v>6980352.75</v>
      </c>
      <c r="E109" s="193">
        <f>F109/D109</f>
        <v>0.9773605997204081</v>
      </c>
      <c r="F109" s="193">
        <f>F79+F85+F91+F103+F97</f>
        <v>6822321.75</v>
      </c>
      <c r="G109" s="181">
        <f>F79+F85+F91+F97+F103</f>
        <v>6822321.75</v>
      </c>
      <c r="H109" s="177"/>
      <c r="I109" s="181"/>
      <c r="J109" s="177"/>
      <c r="K109" s="177"/>
      <c r="L109" s="177"/>
      <c r="M109" s="177"/>
    </row>
    <row r="110" spans="1:13" ht="25.5">
      <c r="A110" s="194" t="s">
        <v>12</v>
      </c>
      <c r="B110" s="122">
        <f aca="true" t="shared" si="32" ref="B110:B114">B104</f>
        <v>0</v>
      </c>
      <c r="C110" s="195">
        <v>0</v>
      </c>
      <c r="D110" s="195">
        <f aca="true" t="shared" si="33" ref="D110:D114">D80+D86+D92+D98+D104</f>
        <v>0</v>
      </c>
      <c r="E110" s="195">
        <v>0</v>
      </c>
      <c r="F110" s="195">
        <f aca="true" t="shared" si="34" ref="F110:F114">F80+F86+F92+F98+F104</f>
        <v>0</v>
      </c>
      <c r="G110" s="181">
        <f>SUM(F110:F114)</f>
        <v>6822321.75</v>
      </c>
      <c r="H110" s="177"/>
      <c r="I110" s="177"/>
      <c r="J110" s="177"/>
      <c r="K110" s="177"/>
      <c r="L110" s="177"/>
      <c r="M110" s="177"/>
    </row>
    <row r="111" spans="1:13" ht="25.5">
      <c r="A111" s="194" t="s">
        <v>13</v>
      </c>
      <c r="B111" s="122">
        <f t="shared" si="32"/>
        <v>0</v>
      </c>
      <c r="C111" s="195">
        <v>0</v>
      </c>
      <c r="D111" s="195">
        <f t="shared" si="33"/>
        <v>0</v>
      </c>
      <c r="E111" s="195">
        <v>0</v>
      </c>
      <c r="F111" s="195">
        <f t="shared" si="34"/>
        <v>0</v>
      </c>
      <c r="G111" s="177"/>
      <c r="H111" s="177"/>
      <c r="I111" s="177"/>
      <c r="J111" s="177"/>
      <c r="K111" s="177"/>
      <c r="L111" s="177"/>
      <c r="M111" s="177"/>
    </row>
    <row r="112" spans="1:13" ht="25.5">
      <c r="A112" s="194" t="s">
        <v>14</v>
      </c>
      <c r="B112" s="122">
        <f t="shared" si="32"/>
        <v>0</v>
      </c>
      <c r="C112" s="195">
        <v>0</v>
      </c>
      <c r="D112" s="195">
        <f t="shared" si="33"/>
        <v>0</v>
      </c>
      <c r="E112" s="195">
        <v>0</v>
      </c>
      <c r="F112" s="195">
        <f t="shared" si="34"/>
        <v>0</v>
      </c>
      <c r="G112" s="177"/>
      <c r="H112" s="177"/>
      <c r="I112" s="177"/>
      <c r="J112" s="177"/>
      <c r="K112" s="177"/>
      <c r="L112" s="177"/>
      <c r="M112" s="177"/>
    </row>
    <row r="113" spans="1:13" ht="25.5">
      <c r="A113" s="194" t="s">
        <v>15</v>
      </c>
      <c r="B113" s="122">
        <f t="shared" si="32"/>
        <v>0</v>
      </c>
      <c r="C113" s="195">
        <v>0</v>
      </c>
      <c r="D113" s="195">
        <f t="shared" si="33"/>
        <v>0</v>
      </c>
      <c r="E113" s="195">
        <v>0</v>
      </c>
      <c r="F113" s="195">
        <f t="shared" si="34"/>
        <v>0</v>
      </c>
      <c r="G113" s="177"/>
      <c r="H113" s="177"/>
      <c r="I113" s="177"/>
      <c r="J113" s="177"/>
      <c r="K113" s="177"/>
      <c r="L113" s="177"/>
      <c r="M113" s="177"/>
    </row>
    <row r="114" spans="1:13" ht="25.5">
      <c r="A114" s="194" t="s">
        <v>16</v>
      </c>
      <c r="B114" s="122">
        <f t="shared" si="32"/>
        <v>1048</v>
      </c>
      <c r="C114" s="195">
        <f>D114/B114</f>
        <v>6660.6419370229005</v>
      </c>
      <c r="D114" s="195">
        <f t="shared" si="33"/>
        <v>6980352.75</v>
      </c>
      <c r="E114" s="195">
        <f>F114/D114</f>
        <v>0.9773605997204081</v>
      </c>
      <c r="F114" s="195">
        <f t="shared" si="34"/>
        <v>6822321.75</v>
      </c>
      <c r="G114" s="181"/>
      <c r="H114" s="177"/>
      <c r="I114" s="177"/>
      <c r="J114" s="177"/>
      <c r="K114" s="177"/>
      <c r="L114" s="177"/>
      <c r="M114" s="177"/>
    </row>
    <row r="115" spans="1:13" ht="12.7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</row>
    <row r="116" spans="1:13" ht="28.5" customHeight="1">
      <c r="A116" s="171" t="s">
        <v>137</v>
      </c>
      <c r="B116" s="171"/>
      <c r="C116" s="171"/>
      <c r="D116" s="171"/>
      <c r="E116" s="171"/>
      <c r="F116" s="172">
        <f>E109</f>
        <v>0.9773605997204081</v>
      </c>
      <c r="G116" s="173"/>
      <c r="H116" s="150"/>
      <c r="I116" s="150"/>
      <c r="J116" s="150"/>
      <c r="K116" s="150"/>
      <c r="L116" s="150"/>
      <c r="M116" s="150"/>
    </row>
    <row r="117" spans="1:13" ht="12.7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</row>
    <row r="118" spans="1:7" ht="16.5">
      <c r="A118" s="150" t="s">
        <v>73</v>
      </c>
      <c r="B118" s="150"/>
      <c r="C118" s="150"/>
      <c r="D118" s="150"/>
      <c r="E118" s="150"/>
      <c r="F118" s="150"/>
      <c r="G118" s="150"/>
    </row>
    <row r="119" spans="1:7" ht="12.75">
      <c r="A119" s="150"/>
      <c r="B119" s="150"/>
      <c r="C119" s="150"/>
      <c r="D119" s="150"/>
      <c r="E119" s="150"/>
      <c r="F119" s="150"/>
      <c r="G119" s="150"/>
    </row>
    <row r="120" spans="1:7" ht="51">
      <c r="A120" s="9" t="s">
        <v>74</v>
      </c>
      <c r="B120" s="9" t="s">
        <v>75</v>
      </c>
      <c r="C120" s="9" t="s">
        <v>76</v>
      </c>
      <c r="D120" s="9" t="s">
        <v>77</v>
      </c>
      <c r="E120" s="9" t="s">
        <v>78</v>
      </c>
      <c r="F120" s="9" t="s">
        <v>64</v>
      </c>
      <c r="G120" s="9" t="s">
        <v>48</v>
      </c>
    </row>
    <row r="121" spans="1:7" ht="25.5">
      <c r="A121" s="81" t="s">
        <v>79</v>
      </c>
      <c r="B121" s="82" t="s">
        <v>80</v>
      </c>
      <c r="C121" s="196">
        <f>134.4/2</f>
        <v>67.2</v>
      </c>
      <c r="D121" s="196">
        <f aca="true" t="shared" si="35" ref="D121:D124">E121/C121</f>
        <v>2711.6666666666665</v>
      </c>
      <c r="E121" s="196">
        <f>364448/2</f>
        <v>182224</v>
      </c>
      <c r="F121" s="196">
        <f aca="true" t="shared" si="36" ref="F121:F124">E121/$B$60</f>
        <v>173.87786259541986</v>
      </c>
      <c r="G121" s="196">
        <f>(297564/2/E121)</f>
        <v>0.8164786197207832</v>
      </c>
    </row>
    <row r="122" spans="1:7" ht="12.75">
      <c r="A122" s="81" t="s">
        <v>81</v>
      </c>
      <c r="B122" s="82" t="s">
        <v>82</v>
      </c>
      <c r="C122" s="196">
        <f>4128/2</f>
        <v>2064</v>
      </c>
      <c r="D122" s="196">
        <f t="shared" si="35"/>
        <v>7.386143410852713</v>
      </c>
      <c r="E122" s="196">
        <f>30490/2</f>
        <v>15245</v>
      </c>
      <c r="F122" s="196">
        <f t="shared" si="36"/>
        <v>14.54675572519084</v>
      </c>
      <c r="G122" s="196">
        <f>(30490/2/E122)</f>
        <v>1</v>
      </c>
    </row>
    <row r="123" spans="1:7" ht="25.5">
      <c r="A123" s="81" t="s">
        <v>83</v>
      </c>
      <c r="B123" s="82" t="s">
        <v>84</v>
      </c>
      <c r="C123" s="196">
        <f>100400*90%</f>
        <v>90360</v>
      </c>
      <c r="D123" s="196">
        <f t="shared" si="35"/>
        <v>11.022609561752988</v>
      </c>
      <c r="E123" s="196">
        <f>1106670*90%</f>
        <v>996003</v>
      </c>
      <c r="F123" s="196">
        <f t="shared" si="36"/>
        <v>950.3845419847328</v>
      </c>
      <c r="G123" s="196">
        <f>(1106670*90%/E123)</f>
        <v>1</v>
      </c>
    </row>
    <row r="124" spans="1:7" ht="12.75">
      <c r="A124" s="81" t="s">
        <v>85</v>
      </c>
      <c r="B124" s="82" t="s">
        <v>82</v>
      </c>
      <c r="C124" s="196">
        <f>3399+332</f>
        <v>3731</v>
      </c>
      <c r="D124" s="196">
        <f t="shared" si="35"/>
        <v>5.072366657732512</v>
      </c>
      <c r="E124" s="196">
        <v>18925</v>
      </c>
      <c r="F124" s="196">
        <f t="shared" si="36"/>
        <v>18.05820610687023</v>
      </c>
      <c r="G124" s="196">
        <f>(18925/E124)</f>
        <v>1</v>
      </c>
    </row>
    <row r="125" spans="1:7" ht="12.75">
      <c r="A125" s="83" t="s">
        <v>17</v>
      </c>
      <c r="B125" s="84"/>
      <c r="C125" s="59"/>
      <c r="D125" s="59"/>
      <c r="E125" s="59">
        <f>E121+E122+E123+E124</f>
        <v>1212397</v>
      </c>
      <c r="F125" s="59">
        <f>F121+F122+F123+F124</f>
        <v>1156.8673664122139</v>
      </c>
      <c r="G125" s="59">
        <f>(297564/2+30490/2+1106670*90%+18925)/E125</f>
        <v>0.9724166259071905</v>
      </c>
    </row>
    <row r="126" spans="1:7" ht="12.75">
      <c r="A126" s="150"/>
      <c r="B126" s="150"/>
      <c r="C126" s="150"/>
      <c r="D126" s="150"/>
      <c r="E126" s="150"/>
      <c r="F126" s="150"/>
      <c r="G126" s="150"/>
    </row>
    <row r="127" spans="1:7" ht="27.75" customHeight="1">
      <c r="A127" s="171" t="s">
        <v>147</v>
      </c>
      <c r="B127" s="171"/>
      <c r="C127" s="171"/>
      <c r="D127" s="171"/>
      <c r="E127" s="171"/>
      <c r="F127" s="171"/>
      <c r="G127" s="172">
        <f>G125</f>
        <v>0.9724166259071905</v>
      </c>
    </row>
    <row r="128" spans="1:7" ht="12.75">
      <c r="A128" s="150"/>
      <c r="B128" s="150"/>
      <c r="C128" s="150"/>
      <c r="D128" s="150"/>
      <c r="E128" s="150"/>
      <c r="F128" s="150"/>
      <c r="G128" s="150"/>
    </row>
    <row r="129" spans="1:7" ht="15.75">
      <c r="A129" s="150" t="s">
        <v>87</v>
      </c>
      <c r="B129" s="150"/>
      <c r="C129" s="150"/>
      <c r="D129" s="150"/>
      <c r="E129" s="150"/>
      <c r="F129" s="150"/>
      <c r="G129" s="150"/>
    </row>
    <row r="130" spans="1:7" ht="12.75">
      <c r="A130" s="150"/>
      <c r="B130" s="150"/>
      <c r="C130" s="150"/>
      <c r="D130" s="150"/>
      <c r="E130" s="150"/>
      <c r="F130" s="150"/>
      <c r="G130" s="150"/>
    </row>
    <row r="131" spans="1:13" ht="51">
      <c r="A131" s="9" t="s">
        <v>74</v>
      </c>
      <c r="B131" s="9" t="s">
        <v>75</v>
      </c>
      <c r="C131" s="9" t="s">
        <v>88</v>
      </c>
      <c r="D131" s="9" t="s">
        <v>89</v>
      </c>
      <c r="E131" s="9" t="s">
        <v>78</v>
      </c>
      <c r="F131" s="9" t="s">
        <v>64</v>
      </c>
      <c r="G131" s="9" t="s">
        <v>48</v>
      </c>
      <c r="H131" s="1"/>
      <c r="I131" s="1"/>
      <c r="J131" s="1"/>
      <c r="K131" s="1"/>
      <c r="L131" s="1"/>
      <c r="M131" s="1"/>
    </row>
    <row r="132" spans="1:13" ht="38.25">
      <c r="A132" s="81" t="s">
        <v>90</v>
      </c>
      <c r="B132" s="85"/>
      <c r="C132" s="196"/>
      <c r="D132" s="196"/>
      <c r="E132" s="196">
        <f>46844</f>
        <v>46844</v>
      </c>
      <c r="F132" s="196">
        <f aca="true" t="shared" si="37" ref="F132:F139">E132/$B$60</f>
        <v>44.69847328244275</v>
      </c>
      <c r="G132" s="196">
        <f>(42601/E132)</f>
        <v>0.9094227649218684</v>
      </c>
      <c r="H132" s="1"/>
      <c r="I132" s="1"/>
      <c r="J132" s="1"/>
      <c r="K132" s="1"/>
      <c r="L132" s="1"/>
      <c r="M132" s="1"/>
    </row>
    <row r="133" spans="1:13" ht="12.75">
      <c r="A133" s="81" t="s">
        <v>148</v>
      </c>
      <c r="B133" s="85"/>
      <c r="C133" s="196"/>
      <c r="D133" s="196" t="e">
        <f>E133/C133</f>
        <v>#DIV/0!</v>
      </c>
      <c r="E133" s="196">
        <v>0</v>
      </c>
      <c r="F133" s="196">
        <f t="shared" si="37"/>
        <v>0</v>
      </c>
      <c r="G133" s="196" t="e">
        <f>(0/E133)</f>
        <v>#DIV/0!</v>
      </c>
      <c r="H133" s="1"/>
      <c r="I133" s="1"/>
      <c r="J133" s="1"/>
      <c r="K133" s="1"/>
      <c r="L133" s="1"/>
      <c r="M133" s="1"/>
    </row>
    <row r="134" spans="1:13" ht="12.75">
      <c r="A134" s="81" t="s">
        <v>149</v>
      </c>
      <c r="B134" s="85"/>
      <c r="C134" s="196"/>
      <c r="D134" s="196"/>
      <c r="E134" s="196">
        <f>747360+61034</f>
        <v>808394</v>
      </c>
      <c r="F134" s="196">
        <f t="shared" si="37"/>
        <v>771.3683206106871</v>
      </c>
      <c r="G134" s="196">
        <f>(679669+55506)/E134</f>
        <v>0.9094265914888038</v>
      </c>
      <c r="H134" s="1"/>
      <c r="I134" s="1"/>
      <c r="J134" s="1"/>
      <c r="K134" s="1"/>
      <c r="L134" s="1"/>
      <c r="M134" s="1"/>
    </row>
    <row r="135" spans="1:13" ht="25.5">
      <c r="A135" s="81" t="s">
        <v>79</v>
      </c>
      <c r="B135" s="82" t="s">
        <v>80</v>
      </c>
      <c r="C135" s="196">
        <f>134.4/2</f>
        <v>67.2</v>
      </c>
      <c r="D135" s="196">
        <f aca="true" t="shared" si="38" ref="D135:D137">E135/C135</f>
        <v>2711.6666666666665</v>
      </c>
      <c r="E135" s="196">
        <f>364448/2</f>
        <v>182224</v>
      </c>
      <c r="F135" s="196">
        <f t="shared" si="37"/>
        <v>173.87786259541986</v>
      </c>
      <c r="G135" s="196">
        <f>(297564/2/E135)</f>
        <v>0.8164786197207832</v>
      </c>
      <c r="H135" s="1"/>
      <c r="I135" s="1"/>
      <c r="J135" s="1"/>
      <c r="K135" s="1"/>
      <c r="L135" s="1"/>
      <c r="M135" s="1"/>
    </row>
    <row r="136" spans="1:13" ht="12.75">
      <c r="A136" s="81" t="s">
        <v>81</v>
      </c>
      <c r="B136" s="82" t="s">
        <v>82</v>
      </c>
      <c r="C136" s="196">
        <f>4128/2</f>
        <v>2064</v>
      </c>
      <c r="D136" s="196">
        <f t="shared" si="38"/>
        <v>7.386143410852713</v>
      </c>
      <c r="E136" s="196">
        <f>30490/2</f>
        <v>15245</v>
      </c>
      <c r="F136" s="196">
        <f t="shared" si="37"/>
        <v>14.54675572519084</v>
      </c>
      <c r="G136" s="196">
        <f>(30490/2/E136)</f>
        <v>1</v>
      </c>
      <c r="H136" s="1"/>
      <c r="I136" s="1"/>
      <c r="J136" s="1"/>
      <c r="K136" s="1"/>
      <c r="L136" s="1"/>
      <c r="M136" s="1"/>
    </row>
    <row r="137" spans="1:13" ht="25.5">
      <c r="A137" s="81" t="s">
        <v>83</v>
      </c>
      <c r="B137" s="82" t="s">
        <v>84</v>
      </c>
      <c r="C137" s="196">
        <f>100400*10%</f>
        <v>10040</v>
      </c>
      <c r="D137" s="196">
        <f t="shared" si="38"/>
        <v>11.022609561752988</v>
      </c>
      <c r="E137" s="196">
        <f>1106670*10%</f>
        <v>110667</v>
      </c>
      <c r="F137" s="196">
        <f t="shared" si="37"/>
        <v>105.59828244274809</v>
      </c>
      <c r="G137" s="196">
        <f>(1106670*10%/E137)</f>
        <v>1</v>
      </c>
      <c r="H137" s="1"/>
      <c r="I137" s="1"/>
      <c r="J137" s="1"/>
      <c r="K137" s="1"/>
      <c r="L137" s="1"/>
      <c r="M137" s="1"/>
    </row>
    <row r="138" spans="1:13" ht="12.75">
      <c r="A138" s="81" t="s">
        <v>93</v>
      </c>
      <c r="B138" s="85"/>
      <c r="C138" s="196"/>
      <c r="D138" s="196"/>
      <c r="E138" s="196">
        <v>89192</v>
      </c>
      <c r="F138" s="196">
        <f t="shared" si="37"/>
        <v>85.10687022900764</v>
      </c>
      <c r="G138" s="196">
        <f>(81114/E138)</f>
        <v>0.9094313391335546</v>
      </c>
      <c r="H138" s="1"/>
      <c r="I138" s="1"/>
      <c r="J138" s="1"/>
      <c r="K138" s="1"/>
      <c r="L138" s="1"/>
      <c r="M138" s="1"/>
    </row>
    <row r="139" spans="1:13" ht="12.75">
      <c r="A139" s="81" t="s">
        <v>94</v>
      </c>
      <c r="B139" s="85"/>
      <c r="C139" s="196"/>
      <c r="D139" s="196"/>
      <c r="E139" s="196">
        <v>34084</v>
      </c>
      <c r="F139" s="196">
        <f t="shared" si="37"/>
        <v>32.52290076335878</v>
      </c>
      <c r="G139" s="196">
        <f>(30997/E139)</f>
        <v>0.9094296444079334</v>
      </c>
      <c r="H139" s="1"/>
      <c r="I139" s="1"/>
      <c r="J139" s="1"/>
      <c r="K139" s="1"/>
      <c r="L139" s="1"/>
      <c r="M139" s="1"/>
    </row>
    <row r="140" spans="1:13" ht="12.75">
      <c r="A140" s="83" t="s">
        <v>17</v>
      </c>
      <c r="B140" s="86"/>
      <c r="C140" s="59"/>
      <c r="D140" s="59"/>
      <c r="E140" s="59">
        <f>SUM(E132:E139)</f>
        <v>1286650</v>
      </c>
      <c r="F140" s="59">
        <f>SUM(F132:F139)</f>
        <v>1227.7194656488552</v>
      </c>
      <c r="G140" s="59">
        <f>(42601+55506+679669+297564/2+30490/2+1106670*10%+81114+30997)/E140</f>
        <v>0.9051264912757937</v>
      </c>
      <c r="H140" s="1"/>
      <c r="I140" s="1"/>
      <c r="J140" s="1"/>
      <c r="K140" s="1"/>
      <c r="L140" s="1"/>
      <c r="M140" s="1"/>
    </row>
    <row r="141" spans="1:13" ht="12.75">
      <c r="A141" s="29"/>
      <c r="B141" s="29"/>
      <c r="C141" s="29"/>
      <c r="D141" s="29"/>
      <c r="E141" s="29"/>
      <c r="F141" s="29"/>
      <c r="G141" s="29"/>
      <c r="H141" s="1"/>
      <c r="I141" s="1"/>
      <c r="J141" s="1"/>
      <c r="K141" s="1"/>
      <c r="L141" s="1"/>
      <c r="M141" s="1"/>
    </row>
    <row r="142" spans="1:13" ht="15.75" customHeight="1">
      <c r="A142" s="197" t="s">
        <v>150</v>
      </c>
      <c r="B142" s="197"/>
      <c r="C142" s="197"/>
      <c r="D142" s="197"/>
      <c r="E142" s="197"/>
      <c r="F142" s="197"/>
      <c r="G142" s="198">
        <f>G140</f>
        <v>0.9051264912757937</v>
      </c>
      <c r="H142" s="1"/>
      <c r="I142" s="1"/>
      <c r="J142" s="1"/>
      <c r="K142" s="1"/>
      <c r="L142" s="1"/>
      <c r="M142" s="1"/>
    </row>
    <row r="143" spans="1:13" ht="15.75" customHeight="1">
      <c r="A143" s="87"/>
      <c r="B143" s="87"/>
      <c r="C143" s="87"/>
      <c r="D143" s="87"/>
      <c r="E143" s="87"/>
      <c r="F143" s="87"/>
      <c r="G143" s="87"/>
      <c r="H143" s="1"/>
      <c r="I143" s="1"/>
      <c r="J143" s="1"/>
      <c r="K143" s="1"/>
      <c r="L143" s="1"/>
      <c r="M143" s="1"/>
    </row>
    <row r="144" spans="1:13" ht="15.75" customHeight="1">
      <c r="A144" s="29" t="s">
        <v>96</v>
      </c>
      <c r="B144" s="87"/>
      <c r="C144" s="87"/>
      <c r="D144" s="87"/>
      <c r="E144" s="87"/>
      <c r="F144" s="87"/>
      <c r="G144" s="87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63.75">
      <c r="A146" s="88" t="s">
        <v>97</v>
      </c>
      <c r="B146" s="89" t="s">
        <v>98</v>
      </c>
      <c r="C146" s="9" t="s">
        <v>89</v>
      </c>
      <c r="D146" s="89" t="s">
        <v>99</v>
      </c>
      <c r="E146" s="89" t="s">
        <v>100</v>
      </c>
      <c r="F146" s="9" t="s">
        <v>64</v>
      </c>
      <c r="G146" s="9" t="s">
        <v>48</v>
      </c>
      <c r="H146" s="1"/>
      <c r="I146" s="1"/>
      <c r="J146" s="1"/>
      <c r="K146" s="1"/>
      <c r="L146" s="1"/>
      <c r="M146" s="1"/>
    </row>
    <row r="147" spans="1:13" ht="12.75">
      <c r="A147" s="90" t="s">
        <v>101</v>
      </c>
      <c r="B147" s="88">
        <v>3</v>
      </c>
      <c r="C147" s="199">
        <f aca="true" t="shared" si="39" ref="C147:C148">E147/D147/B147</f>
        <v>38.666666666666664</v>
      </c>
      <c r="D147" s="92">
        <v>12</v>
      </c>
      <c r="E147" s="200">
        <v>1392</v>
      </c>
      <c r="F147" s="196">
        <f aca="true" t="shared" si="40" ref="F147:F149">E147/$B$60</f>
        <v>1.3282442748091603</v>
      </c>
      <c r="G147" s="196">
        <f>(377*3/E147)</f>
        <v>0.8125</v>
      </c>
      <c r="H147" s="1"/>
      <c r="I147" s="1"/>
      <c r="J147" s="1"/>
      <c r="K147" s="1"/>
      <c r="L147" s="1"/>
      <c r="M147" s="1"/>
    </row>
    <row r="148" spans="1:13" ht="12.75">
      <c r="A148" s="90" t="s">
        <v>102</v>
      </c>
      <c r="B148" s="89">
        <v>3</v>
      </c>
      <c r="C148" s="199">
        <f t="shared" si="39"/>
        <v>70.27777777777779</v>
      </c>
      <c r="D148" s="92">
        <v>12</v>
      </c>
      <c r="E148" s="200">
        <v>2530</v>
      </c>
      <c r="F148" s="196">
        <f t="shared" si="40"/>
        <v>2.41412213740458</v>
      </c>
      <c r="G148" s="196">
        <f>(403/E148)</f>
        <v>0.1592885375494071</v>
      </c>
      <c r="H148" s="1"/>
      <c r="I148" s="1"/>
      <c r="J148" s="1"/>
      <c r="K148" s="1"/>
      <c r="L148" s="1"/>
      <c r="M148" s="1"/>
    </row>
    <row r="149" spans="1:13" ht="12.75">
      <c r="A149" s="90" t="s">
        <v>103</v>
      </c>
      <c r="B149" s="88"/>
      <c r="C149" s="88"/>
      <c r="D149" s="92"/>
      <c r="E149" s="200">
        <v>4950</v>
      </c>
      <c r="F149" s="196">
        <f t="shared" si="40"/>
        <v>4.723282442748092</v>
      </c>
      <c r="G149" s="196">
        <f>(7288/E149)</f>
        <v>1.4723232323232323</v>
      </c>
      <c r="H149" s="1"/>
      <c r="I149" s="1"/>
      <c r="J149" s="1"/>
      <c r="K149" s="1"/>
      <c r="L149" s="1"/>
      <c r="M149" s="1"/>
    </row>
    <row r="150" spans="1:13" ht="12.75">
      <c r="A150" s="94" t="s">
        <v>104</v>
      </c>
      <c r="B150" s="95"/>
      <c r="C150" s="95"/>
      <c r="D150" s="95"/>
      <c r="E150" s="58">
        <f>E147+E148+E149</f>
        <v>8872</v>
      </c>
      <c r="F150" s="59">
        <f>F147+F148+F149</f>
        <v>8.465648854961831</v>
      </c>
      <c r="G150" s="59">
        <f>8068/E150</f>
        <v>0.9093778178539225</v>
      </c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96" t="s">
        <v>151</v>
      </c>
      <c r="B152" s="96"/>
      <c r="C152" s="96"/>
      <c r="D152" s="96"/>
      <c r="E152" s="96"/>
      <c r="F152" s="96"/>
      <c r="G152" s="2">
        <f>G150</f>
        <v>0.9093778178539225</v>
      </c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7" t="s">
        <v>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6" spans="1:7" ht="43.5" customHeight="1">
      <c r="A156" s="133" t="s">
        <v>107</v>
      </c>
      <c r="B156" s="133"/>
      <c r="C156" s="133"/>
      <c r="D156" s="133"/>
      <c r="E156" s="133"/>
      <c r="F156" s="133"/>
      <c r="G156" s="133"/>
    </row>
    <row r="157" spans="1:7" ht="12.75">
      <c r="A157" s="150"/>
      <c r="B157" s="150"/>
      <c r="C157" s="150"/>
      <c r="D157" s="150"/>
      <c r="E157" s="150"/>
      <c r="F157" s="150"/>
      <c r="G157" s="150"/>
    </row>
    <row r="158" spans="1:7" ht="12.75">
      <c r="A158" s="150" t="s">
        <v>108</v>
      </c>
      <c r="B158" s="150"/>
      <c r="C158" s="150"/>
      <c r="D158" s="150"/>
      <c r="E158" s="150"/>
      <c r="F158" s="150"/>
      <c r="G158" s="150"/>
    </row>
    <row r="159" spans="1:7" ht="12.75">
      <c r="A159" s="150"/>
      <c r="B159" s="150"/>
      <c r="C159" s="150"/>
      <c r="D159" s="150"/>
      <c r="E159" s="150"/>
      <c r="F159" s="150"/>
      <c r="G159" s="150"/>
    </row>
    <row r="160" spans="1:7" ht="15.75">
      <c r="A160" s="176" t="s">
        <v>109</v>
      </c>
      <c r="B160" s="201" t="s">
        <v>110</v>
      </c>
      <c r="C160" s="201"/>
      <c r="D160" s="150"/>
      <c r="E160" s="150"/>
      <c r="F160" s="150"/>
      <c r="G160" s="150"/>
    </row>
    <row r="161" spans="1:7" ht="15.75">
      <c r="A161" s="176"/>
      <c r="B161" s="202" t="s">
        <v>111</v>
      </c>
      <c r="C161" s="202"/>
      <c r="D161" s="150"/>
      <c r="E161" s="150"/>
      <c r="F161" s="150"/>
      <c r="G161" s="150"/>
    </row>
    <row r="162" spans="1:7" ht="12.75">
      <c r="A162" s="203"/>
      <c r="B162" s="176"/>
      <c r="C162" s="176"/>
      <c r="D162" s="150"/>
      <c r="E162" s="150"/>
      <c r="F162" s="150"/>
      <c r="G162" s="150"/>
    </row>
    <row r="163" spans="1:7" ht="15.75" customHeight="1">
      <c r="A163" s="204" t="s">
        <v>112</v>
      </c>
      <c r="B163" s="176"/>
      <c r="C163" s="176"/>
      <c r="D163" s="150"/>
      <c r="E163" s="150"/>
      <c r="F163" s="150"/>
      <c r="G163" s="150"/>
    </row>
    <row r="164" spans="1:7" ht="12.75">
      <c r="A164" s="203"/>
      <c r="B164" s="176"/>
      <c r="C164" s="176"/>
      <c r="D164" s="150"/>
      <c r="E164" s="150"/>
      <c r="F164" s="150"/>
      <c r="G164" s="150"/>
    </row>
    <row r="165" spans="1:7" ht="15.75">
      <c r="A165" s="205" t="s">
        <v>113</v>
      </c>
      <c r="B165" s="205"/>
      <c r="C165" s="205"/>
      <c r="D165" s="205"/>
      <c r="E165" s="205"/>
      <c r="F165" s="205"/>
      <c r="G165" s="205"/>
    </row>
    <row r="166" spans="1:7" ht="12.75">
      <c r="A166" s="203"/>
      <c r="B166" s="176"/>
      <c r="C166" s="176"/>
      <c r="D166" s="150"/>
      <c r="E166" s="150"/>
      <c r="F166" s="150"/>
      <c r="G166" s="150"/>
    </row>
    <row r="167" spans="1:7" ht="15.75">
      <c r="A167" s="205" t="s">
        <v>114</v>
      </c>
      <c r="B167" s="205"/>
      <c r="C167" s="205"/>
      <c r="D167" s="205"/>
      <c r="E167" s="205"/>
      <c r="F167" s="205"/>
      <c r="G167" s="205"/>
    </row>
    <row r="168" spans="1:7" ht="12.75">
      <c r="A168" s="203"/>
      <c r="B168" s="176"/>
      <c r="C168" s="176"/>
      <c r="D168" s="150"/>
      <c r="E168" s="150"/>
      <c r="F168" s="150"/>
      <c r="G168" s="150"/>
    </row>
    <row r="169" spans="1:7" ht="33" customHeight="1">
      <c r="A169" s="171" t="s">
        <v>115</v>
      </c>
      <c r="B169" s="171"/>
      <c r="C169" s="171"/>
      <c r="D169" s="171"/>
      <c r="E169" s="171"/>
      <c r="F169" s="171"/>
      <c r="G169" s="171"/>
    </row>
    <row r="170" spans="1:7" ht="12.75">
      <c r="A170" s="203"/>
      <c r="B170" s="176"/>
      <c r="C170" s="176"/>
      <c r="D170" s="150"/>
      <c r="E170" s="150"/>
      <c r="F170" s="150"/>
      <c r="G170" s="150"/>
    </row>
    <row r="171" spans="1:10" ht="156">
      <c r="A171" s="9" t="s">
        <v>116</v>
      </c>
      <c r="B171" s="9" t="s">
        <v>117</v>
      </c>
      <c r="C171" s="9" t="s">
        <v>118</v>
      </c>
      <c r="D171" s="9" t="s">
        <v>119</v>
      </c>
      <c r="E171" s="9" t="s">
        <v>120</v>
      </c>
      <c r="F171" s="10"/>
      <c r="G171" s="12"/>
      <c r="H171" s="206"/>
      <c r="I171" s="206"/>
      <c r="J171" s="206"/>
    </row>
    <row r="172" spans="1:7" ht="12.75">
      <c r="A172" s="128">
        <f>F172*12%</f>
        <v>2137673.16</v>
      </c>
      <c r="B172" s="128">
        <f>F172*4%</f>
        <v>712557.72</v>
      </c>
      <c r="C172" s="128">
        <f>F172*9%</f>
        <v>1603254.8699999999</v>
      </c>
      <c r="D172" s="128">
        <f>N60</f>
        <v>19078019.5536</v>
      </c>
      <c r="E172" s="128">
        <f>(A172+B172+C172)/D172</f>
        <v>0.23343543272339465</v>
      </c>
      <c r="F172" s="103">
        <f>13681984+4131959</f>
        <v>17813943</v>
      </c>
      <c r="G172" s="29"/>
    </row>
    <row r="173" spans="1:7" ht="12.75">
      <c r="A173" s="29"/>
      <c r="B173" s="29"/>
      <c r="C173" s="29"/>
      <c r="D173" s="29"/>
      <c r="E173" s="29"/>
      <c r="F173" s="29"/>
      <c r="G173" s="29"/>
    </row>
    <row r="174" spans="1:7" ht="42.75" customHeight="1">
      <c r="A174" s="7" t="s">
        <v>121</v>
      </c>
      <c r="B174" s="7"/>
      <c r="C174" s="7"/>
      <c r="D174" s="7"/>
      <c r="E174" s="7"/>
      <c r="F174" s="7"/>
      <c r="G174" s="7"/>
    </row>
    <row r="175" spans="1:7" ht="12.75">
      <c r="A175" s="150" t="s">
        <v>122</v>
      </c>
      <c r="B175" s="150"/>
      <c r="C175" s="150"/>
      <c r="D175" s="150"/>
      <c r="E175" s="207"/>
      <c r="F175" s="150"/>
      <c r="G175" s="150"/>
    </row>
    <row r="176" spans="1:7" ht="12.75">
      <c r="A176" s="150"/>
      <c r="B176" s="150"/>
      <c r="C176" s="150"/>
      <c r="D176" s="150"/>
      <c r="E176" s="207"/>
      <c r="F176" s="150"/>
      <c r="G176" s="150"/>
    </row>
    <row r="177" spans="1:13" ht="19.5" customHeight="1">
      <c r="A177" s="136" t="s">
        <v>123</v>
      </c>
      <c r="B177" s="136"/>
      <c r="C177" s="136"/>
      <c r="D177" s="136"/>
      <c r="E177" s="136"/>
      <c r="F177" s="188"/>
      <c r="G177" s="188"/>
      <c r="H177" s="188"/>
      <c r="I177" s="188"/>
      <c r="J177" s="188"/>
      <c r="K177" s="188"/>
      <c r="L177" s="188"/>
      <c r="M177" s="188"/>
    </row>
    <row r="178" spans="1:7" ht="12.75">
      <c r="A178" s="150"/>
      <c r="B178" s="150"/>
      <c r="C178" s="150"/>
      <c r="D178" s="150"/>
      <c r="E178" s="150"/>
      <c r="F178" s="150"/>
      <c r="G178" s="150"/>
    </row>
    <row r="179" spans="1:7" ht="105">
      <c r="A179" s="135" t="s">
        <v>5</v>
      </c>
      <c r="B179" s="153" t="s">
        <v>124</v>
      </c>
      <c r="C179" s="153" t="s">
        <v>125</v>
      </c>
      <c r="D179" s="153" t="s">
        <v>126</v>
      </c>
      <c r="E179" s="153" t="s">
        <v>127</v>
      </c>
      <c r="F179" s="135" t="s">
        <v>48</v>
      </c>
      <c r="G179" s="135" t="s">
        <v>128</v>
      </c>
    </row>
    <row r="180" spans="1:7" ht="25.5">
      <c r="A180" s="139" t="s">
        <v>12</v>
      </c>
      <c r="B180" s="208">
        <f aca="true" t="shared" si="41" ref="B180:B185">M55</f>
        <v>0</v>
      </c>
      <c r="C180" s="208">
        <f>E172</f>
        <v>0.23343543272339465</v>
      </c>
      <c r="D180" s="208">
        <f aca="true" t="shared" si="42" ref="D180:D184">B180*C180</f>
        <v>0</v>
      </c>
      <c r="E180" s="208">
        <f aca="true" t="shared" si="43" ref="E180:E184">D180*B55</f>
        <v>0</v>
      </c>
      <c r="F180" s="208">
        <v>1</v>
      </c>
      <c r="G180" s="208">
        <f aca="true" t="shared" si="44" ref="G180:G184">E180*F180</f>
        <v>0</v>
      </c>
    </row>
    <row r="181" spans="1:7" ht="25.5">
      <c r="A181" s="139" t="s">
        <v>13</v>
      </c>
      <c r="B181" s="208">
        <f t="shared" si="41"/>
        <v>0</v>
      </c>
      <c r="C181" s="208">
        <f aca="true" t="shared" si="45" ref="C181:C184">C180</f>
        <v>0.23343543272339465</v>
      </c>
      <c r="D181" s="208">
        <f t="shared" si="42"/>
        <v>0</v>
      </c>
      <c r="E181" s="208">
        <f t="shared" si="43"/>
        <v>0</v>
      </c>
      <c r="F181" s="208">
        <v>1</v>
      </c>
      <c r="G181" s="208">
        <f t="shared" si="44"/>
        <v>0</v>
      </c>
    </row>
    <row r="182" spans="1:7" ht="25.5">
      <c r="A182" s="139" t="s">
        <v>14</v>
      </c>
      <c r="B182" s="208">
        <f t="shared" si="41"/>
        <v>0</v>
      </c>
      <c r="C182" s="208">
        <f t="shared" si="45"/>
        <v>0.23343543272339465</v>
      </c>
      <c r="D182" s="208">
        <f t="shared" si="42"/>
        <v>0</v>
      </c>
      <c r="E182" s="208">
        <f t="shared" si="43"/>
        <v>0</v>
      </c>
      <c r="F182" s="208">
        <v>1</v>
      </c>
      <c r="G182" s="208">
        <f t="shared" si="44"/>
        <v>0</v>
      </c>
    </row>
    <row r="183" spans="1:7" ht="25.5">
      <c r="A183" s="139" t="s">
        <v>15</v>
      </c>
      <c r="B183" s="208">
        <f t="shared" si="41"/>
        <v>0</v>
      </c>
      <c r="C183" s="208">
        <f t="shared" si="45"/>
        <v>0.23343543272339465</v>
      </c>
      <c r="D183" s="208">
        <f t="shared" si="42"/>
        <v>0</v>
      </c>
      <c r="E183" s="208">
        <f t="shared" si="43"/>
        <v>0</v>
      </c>
      <c r="F183" s="208">
        <v>1</v>
      </c>
      <c r="G183" s="208">
        <f t="shared" si="44"/>
        <v>0</v>
      </c>
    </row>
    <row r="184" spans="1:7" ht="25.5">
      <c r="A184" s="139" t="s">
        <v>16</v>
      </c>
      <c r="B184" s="208">
        <f t="shared" si="41"/>
        <v>18204.217131297708</v>
      </c>
      <c r="C184" s="208">
        <f t="shared" si="45"/>
        <v>0.23343543272339465</v>
      </c>
      <c r="D184" s="208">
        <f t="shared" si="42"/>
        <v>4249.509303435115</v>
      </c>
      <c r="E184" s="208">
        <f t="shared" si="43"/>
        <v>4453485.75</v>
      </c>
      <c r="F184" s="208">
        <v>1</v>
      </c>
      <c r="G184" s="208">
        <f t="shared" si="44"/>
        <v>4453485.75</v>
      </c>
    </row>
    <row r="185" spans="1:8" ht="31.5" customHeight="1">
      <c r="A185" s="209" t="s">
        <v>17</v>
      </c>
      <c r="B185" s="210">
        <f t="shared" si="41"/>
        <v>18204.217131297708</v>
      </c>
      <c r="C185" s="153"/>
      <c r="D185" s="210">
        <f>E185/B60</f>
        <v>4249.509303435115</v>
      </c>
      <c r="E185" s="210">
        <f>SUM(E180:E184)</f>
        <v>4453485.75</v>
      </c>
      <c r="F185" s="210">
        <v>1</v>
      </c>
      <c r="G185" s="211">
        <f>SUM(G180:G184)</f>
        <v>4453485.75</v>
      </c>
      <c r="H185" s="169"/>
    </row>
    <row r="186" spans="1:7" ht="12.75">
      <c r="A186" s="150"/>
      <c r="B186" s="150"/>
      <c r="C186" s="150"/>
      <c r="D186" s="150"/>
      <c r="E186" s="150"/>
      <c r="F186" s="150"/>
      <c r="G186" s="150"/>
    </row>
    <row r="187" spans="1:7" ht="12.75">
      <c r="A187" s="150" t="s">
        <v>129</v>
      </c>
      <c r="B187" s="150"/>
      <c r="C187" s="150"/>
      <c r="D187" s="150"/>
      <c r="E187" s="150"/>
      <c r="F187" s="150"/>
      <c r="G187" s="150"/>
    </row>
    <row r="188" spans="1:7" ht="12.75">
      <c r="A188" s="150"/>
      <c r="B188" s="150"/>
      <c r="C188" s="150"/>
      <c r="D188" s="150"/>
      <c r="E188" s="150"/>
      <c r="F188" s="150"/>
      <c r="G188" s="150"/>
    </row>
    <row r="189" spans="1:7" ht="16.5">
      <c r="A189" s="150" t="s">
        <v>130</v>
      </c>
      <c r="B189" s="150"/>
      <c r="C189" s="150"/>
      <c r="D189" s="150"/>
      <c r="E189" s="150"/>
      <c r="F189" s="150"/>
      <c r="G189" s="150"/>
    </row>
    <row r="190" spans="1:7" ht="12.75">
      <c r="A190" s="150"/>
      <c r="B190" s="150"/>
      <c r="C190" s="150"/>
      <c r="D190" s="150"/>
      <c r="E190" s="150"/>
      <c r="F190" s="150"/>
      <c r="G190" s="150"/>
    </row>
    <row r="191" spans="1:7" ht="51">
      <c r="A191" s="9" t="s">
        <v>74</v>
      </c>
      <c r="B191" s="9" t="s">
        <v>78</v>
      </c>
      <c r="C191" s="9" t="s">
        <v>64</v>
      </c>
      <c r="D191" s="9" t="s">
        <v>48</v>
      </c>
      <c r="E191" s="136"/>
      <c r="F191" s="136"/>
      <c r="G191" s="136"/>
    </row>
    <row r="192" spans="1:7" ht="38.25">
      <c r="A192" s="81" t="s">
        <v>131</v>
      </c>
      <c r="B192" s="212">
        <v>1493</v>
      </c>
      <c r="C192" s="196">
        <f aca="true" t="shared" si="46" ref="C192:C193">B192/$B$60</f>
        <v>1.424618320610687</v>
      </c>
      <c r="D192" s="196">
        <f>(1358)/B192</f>
        <v>0.9095780308104487</v>
      </c>
      <c r="E192" s="213"/>
      <c r="F192" s="214"/>
      <c r="G192" s="214"/>
    </row>
    <row r="193" spans="1:7" ht="16.5" customHeight="1">
      <c r="A193" s="81" t="s">
        <v>132</v>
      </c>
      <c r="B193" s="212">
        <v>17455</v>
      </c>
      <c r="C193" s="196">
        <f t="shared" si="46"/>
        <v>16.65553435114504</v>
      </c>
      <c r="D193" s="196">
        <f>(15874)/B193</f>
        <v>0.9094242337439129</v>
      </c>
      <c r="E193" s="213"/>
      <c r="F193" s="214"/>
      <c r="G193" s="214"/>
    </row>
    <row r="194" spans="1:7" ht="12.75">
      <c r="A194" s="83" t="s">
        <v>17</v>
      </c>
      <c r="B194" s="108">
        <f>SUM(B192:B193)</f>
        <v>18948</v>
      </c>
      <c r="C194" s="108">
        <f>SUM(C192:C193)</f>
        <v>18.080152671755727</v>
      </c>
      <c r="D194" s="196">
        <f>(15874+1358)/B194</f>
        <v>0.9094363521215959</v>
      </c>
      <c r="E194" s="215"/>
      <c r="F194" s="215"/>
      <c r="G194" s="215"/>
    </row>
    <row r="195" spans="1:7" ht="12.75">
      <c r="A195" s="150"/>
      <c r="B195" s="29"/>
      <c r="C195" s="150"/>
      <c r="D195" s="150"/>
      <c r="E195" s="150"/>
      <c r="F195" s="150"/>
      <c r="G195" s="150"/>
    </row>
    <row r="196" spans="1:7" ht="24.75" customHeight="1">
      <c r="A196" s="171" t="s">
        <v>152</v>
      </c>
      <c r="B196" s="171"/>
      <c r="C196" s="171"/>
      <c r="D196" s="216">
        <f>D194</f>
        <v>0.9094363521215959</v>
      </c>
      <c r="E196" s="173"/>
      <c r="F196" s="173"/>
      <c r="G196" s="173"/>
    </row>
    <row r="200" spans="1:3" ht="12.75">
      <c r="A200" s="169">
        <f>E125+E140+E150+F172+B194</f>
        <v>20340810</v>
      </c>
      <c r="C200" s="169"/>
    </row>
  </sheetData>
  <sheetProtection selectLockedCells="1" selectUnlockedCells="1"/>
  <mergeCells count="27">
    <mergeCell ref="A1:K1"/>
    <mergeCell ref="A3:K3"/>
    <mergeCell ref="A5:K5"/>
    <mergeCell ref="A7:K7"/>
    <mergeCell ref="A9:K9"/>
    <mergeCell ref="A19:K19"/>
    <mergeCell ref="A21:K21"/>
    <mergeCell ref="A23:K23"/>
    <mergeCell ref="L52:M52"/>
    <mergeCell ref="A62:K62"/>
    <mergeCell ref="A64:K64"/>
    <mergeCell ref="A66:M66"/>
    <mergeCell ref="A74:M74"/>
    <mergeCell ref="A116:E116"/>
    <mergeCell ref="A127:F127"/>
    <mergeCell ref="A142:F142"/>
    <mergeCell ref="A152:F152"/>
    <mergeCell ref="A154:M154"/>
    <mergeCell ref="A156:G156"/>
    <mergeCell ref="A160:A161"/>
    <mergeCell ref="B161:C161"/>
    <mergeCell ref="A165:G165"/>
    <mergeCell ref="A167:G167"/>
    <mergeCell ref="A169:G169"/>
    <mergeCell ref="A174:G174"/>
    <mergeCell ref="A177:E177"/>
    <mergeCell ref="A196:C196"/>
  </mergeCells>
  <printOptions/>
  <pageMargins left="0" right="0" top="0" bottom="0" header="0.5118055555555555" footer="0.5118055555555555"/>
  <pageSetup fitToHeight="4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S204"/>
  <sheetViews>
    <sheetView zoomScale="70" zoomScaleNormal="70" workbookViewId="0" topLeftCell="A1">
      <selection activeCell="G110" sqref="G110"/>
    </sheetView>
  </sheetViews>
  <sheetFormatPr defaultColWidth="8.00390625" defaultRowHeight="12.75"/>
  <cols>
    <col min="1" max="1" width="27.875" style="0" customWidth="1"/>
    <col min="2" max="4" width="12.625" style="0" customWidth="1"/>
    <col min="5" max="5" width="12.125" style="0" customWidth="1"/>
    <col min="6" max="6" width="10.875" style="0" customWidth="1"/>
    <col min="7" max="7" width="19.625" style="0" customWidth="1"/>
    <col min="8" max="8" width="13.75390625" style="0" customWidth="1"/>
    <col min="9" max="9" width="11.375" style="0" customWidth="1"/>
    <col min="10" max="10" width="12.875" style="0" customWidth="1"/>
    <col min="11" max="11" width="12.375" style="0" customWidth="1"/>
    <col min="12" max="12" width="9.75390625" style="0" customWidth="1"/>
    <col min="13" max="13" width="10.25390625" style="0" customWidth="1"/>
    <col min="14" max="14" width="12.125" style="0" customWidth="1"/>
    <col min="15" max="15" width="8.00390625" style="0" customWidth="1"/>
    <col min="16" max="16" width="13.625" style="0" customWidth="1"/>
    <col min="17" max="17" width="9.00390625" style="0" customWidth="1"/>
    <col min="18" max="19" width="11.75390625" style="0" customWidth="1"/>
    <col min="20" max="16384" width="9.00390625" style="0" customWidth="1"/>
  </cols>
  <sheetData>
    <row r="1" spans="1:11" ht="60" customHeight="1">
      <c r="A1" s="129" t="s">
        <v>153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27.75" customHeight="1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5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.7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47.25" customHeight="1">
      <c r="A9" s="133" t="s">
        <v>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20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14.75" customHeight="1">
      <c r="A11" s="135" t="s">
        <v>5</v>
      </c>
      <c r="B11" s="135" t="s">
        <v>6</v>
      </c>
      <c r="C11" s="135" t="s">
        <v>7</v>
      </c>
      <c r="D11" s="135" t="s">
        <v>8</v>
      </c>
      <c r="E11" s="135" t="s">
        <v>9</v>
      </c>
      <c r="F11" s="135" t="s">
        <v>10</v>
      </c>
      <c r="G11" s="135" t="s">
        <v>11</v>
      </c>
      <c r="H11" s="136"/>
      <c r="I11" s="137"/>
      <c r="J11" s="138"/>
      <c r="K11" s="130"/>
    </row>
    <row r="12" spans="1:11" ht="15.75" customHeight="1">
      <c r="A12" s="139" t="s">
        <v>12</v>
      </c>
      <c r="B12" s="140">
        <f aca="true" t="shared" si="0" ref="B12:B16">M55</f>
        <v>0</v>
      </c>
      <c r="C12" s="140">
        <f aca="true" t="shared" si="1" ref="C12:C16">O55</f>
        <v>0</v>
      </c>
      <c r="D12" s="140">
        <f aca="true" t="shared" si="2" ref="D12:D13">C110</f>
        <v>0</v>
      </c>
      <c r="E12" s="140">
        <f aca="true" t="shared" si="3" ref="E12:E13">E110</f>
        <v>0</v>
      </c>
      <c r="F12" s="140">
        <f aca="true" t="shared" si="4" ref="F12:F13">B12*C12+D12*E12</f>
        <v>0</v>
      </c>
      <c r="G12" s="140">
        <f aca="true" t="shared" si="5" ref="G12:G13">F12*B55</f>
        <v>0</v>
      </c>
      <c r="H12" s="141"/>
      <c r="I12" s="141"/>
      <c r="J12" s="138"/>
      <c r="K12" s="130"/>
    </row>
    <row r="13" spans="1:11" ht="23.25" customHeight="1">
      <c r="A13" s="139" t="s">
        <v>13</v>
      </c>
      <c r="B13" s="140">
        <f t="shared" si="0"/>
        <v>0</v>
      </c>
      <c r="C13" s="140">
        <f t="shared" si="1"/>
        <v>0</v>
      </c>
      <c r="D13" s="140">
        <f t="shared" si="2"/>
        <v>0</v>
      </c>
      <c r="E13" s="140">
        <f t="shared" si="3"/>
        <v>0</v>
      </c>
      <c r="F13" s="140">
        <f t="shared" si="4"/>
        <v>0</v>
      </c>
      <c r="G13" s="140">
        <f t="shared" si="5"/>
        <v>0</v>
      </c>
      <c r="H13" s="141"/>
      <c r="I13" s="141"/>
      <c r="J13" s="138"/>
      <c r="K13" s="130"/>
    </row>
    <row r="14" spans="1:11" ht="25.5" customHeight="1">
      <c r="A14" s="139" t="s">
        <v>14</v>
      </c>
      <c r="B14" s="140">
        <f t="shared" si="0"/>
        <v>0</v>
      </c>
      <c r="C14" s="140">
        <f t="shared" si="1"/>
        <v>0</v>
      </c>
      <c r="D14" s="140">
        <v>0</v>
      </c>
      <c r="E14" s="140">
        <v>0</v>
      </c>
      <c r="F14" s="140">
        <v>0</v>
      </c>
      <c r="G14" s="140">
        <v>0</v>
      </c>
      <c r="H14" s="141"/>
      <c r="I14" s="141"/>
      <c r="J14" s="138"/>
      <c r="K14" s="130"/>
    </row>
    <row r="15" spans="1:11" ht="26.25" customHeight="1">
      <c r="A15" s="139" t="s">
        <v>15</v>
      </c>
      <c r="B15" s="140">
        <f t="shared" si="0"/>
        <v>0</v>
      </c>
      <c r="C15" s="140">
        <f t="shared" si="1"/>
        <v>0</v>
      </c>
      <c r="D15" s="140">
        <f aca="true" t="shared" si="6" ref="D15:D16">C113</f>
        <v>0</v>
      </c>
      <c r="E15" s="140">
        <f aca="true" t="shared" si="7" ref="E15:E16">E113</f>
        <v>0</v>
      </c>
      <c r="F15" s="140">
        <f aca="true" t="shared" si="8" ref="F15:F17">B15*C15+D15*E15</f>
        <v>0</v>
      </c>
      <c r="G15" s="140">
        <f aca="true" t="shared" si="9" ref="G15:G16">F15*B58</f>
        <v>0</v>
      </c>
      <c r="H15" s="141"/>
      <c r="I15" s="141"/>
      <c r="J15" s="138"/>
      <c r="K15" s="130"/>
    </row>
    <row r="16" spans="1:11" ht="26.25" customHeight="1">
      <c r="A16" s="139" t="s">
        <v>16</v>
      </c>
      <c r="B16" s="140">
        <f t="shared" si="0"/>
        <v>28458.87927272727</v>
      </c>
      <c r="C16" s="140">
        <f t="shared" si="1"/>
        <v>0.44808055624192605</v>
      </c>
      <c r="D16" s="140">
        <f t="shared" si="6"/>
        <v>9101.698863636364</v>
      </c>
      <c r="E16" s="140">
        <f t="shared" si="7"/>
        <v>0.9505664214785077</v>
      </c>
      <c r="F16" s="140">
        <f t="shared" si="8"/>
        <v>21403.63977272727</v>
      </c>
      <c r="G16" s="140">
        <f t="shared" si="9"/>
        <v>18835203</v>
      </c>
      <c r="H16" s="141"/>
      <c r="I16" s="141"/>
      <c r="J16" s="138"/>
      <c r="K16" s="130"/>
    </row>
    <row r="17" spans="1:11" ht="15.75" customHeight="1">
      <c r="A17" s="142" t="s">
        <v>17</v>
      </c>
      <c r="B17" s="143">
        <f>N60/B60</f>
        <v>28458.87927272727</v>
      </c>
      <c r="C17" s="144">
        <f>P60/N60</f>
        <v>0.44808055624192605</v>
      </c>
      <c r="D17" s="143">
        <f>C109</f>
        <v>9101.698863636364</v>
      </c>
      <c r="E17" s="143">
        <f>E109</f>
        <v>0.9505664214785077</v>
      </c>
      <c r="F17" s="143">
        <f t="shared" si="8"/>
        <v>21403.63977272727</v>
      </c>
      <c r="G17" s="18">
        <f>SUM(G12:G16)</f>
        <v>18835203</v>
      </c>
      <c r="H17" s="20">
        <f>18835203-G17</f>
        <v>0</v>
      </c>
      <c r="I17" s="114">
        <f>H17-G17</f>
        <v>-18835203</v>
      </c>
      <c r="J17" s="138"/>
      <c r="K17" s="130"/>
    </row>
    <row r="18" spans="1:11" ht="15.75" customHeight="1">
      <c r="A18" s="130"/>
      <c r="B18" s="130"/>
      <c r="C18" s="130"/>
      <c r="D18" s="130"/>
      <c r="E18" s="130"/>
      <c r="F18" s="130"/>
      <c r="G18" s="217"/>
      <c r="H18" s="130"/>
      <c r="I18" s="130"/>
      <c r="J18" s="130"/>
      <c r="K18" s="130"/>
    </row>
    <row r="19" spans="1:11" ht="57" customHeight="1">
      <c r="A19" s="131" t="s">
        <v>18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7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2" ht="42" customHeight="1">
      <c r="A21" s="131" t="s">
        <v>19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46"/>
    </row>
    <row r="22" spans="1:12" ht="17.2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6"/>
    </row>
    <row r="23" spans="1:13" ht="18" customHeight="1">
      <c r="A23" s="148" t="s">
        <v>20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50"/>
    </row>
    <row r="24" spans="1:13" ht="17.25" customHeight="1">
      <c r="A24" s="150"/>
      <c r="B24" s="150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50"/>
    </row>
    <row r="25" spans="1:13" ht="17.25" customHeight="1">
      <c r="A25" s="150" t="s">
        <v>21</v>
      </c>
      <c r="B25" s="150"/>
      <c r="C25" s="150"/>
      <c r="D25" s="150"/>
      <c r="E25" s="150"/>
      <c r="F25" s="149"/>
      <c r="G25" s="149"/>
      <c r="H25" s="149"/>
      <c r="I25" s="149"/>
      <c r="J25" s="149"/>
      <c r="K25" s="149"/>
      <c r="L25" s="149"/>
      <c r="M25" s="150"/>
    </row>
    <row r="26" spans="1:13" ht="17.25" customHeight="1">
      <c r="A26" s="150"/>
      <c r="B26" s="150"/>
      <c r="C26" s="150"/>
      <c r="D26" s="150"/>
      <c r="E26" s="150"/>
      <c r="F26" s="149"/>
      <c r="G26" s="149"/>
      <c r="H26" s="149"/>
      <c r="I26" s="149"/>
      <c r="J26" s="149"/>
      <c r="K26" s="149"/>
      <c r="L26" s="149"/>
      <c r="M26" s="150"/>
    </row>
    <row r="27" spans="1:13" ht="17.25" customHeight="1">
      <c r="A27" s="150" t="s">
        <v>22</v>
      </c>
      <c r="B27" s="150"/>
      <c r="C27" s="150"/>
      <c r="D27" s="150"/>
      <c r="E27" s="150"/>
      <c r="F27" s="149"/>
      <c r="G27" s="149"/>
      <c r="H27" s="149"/>
      <c r="I27" s="149"/>
      <c r="J27" s="149"/>
      <c r="K27" s="149"/>
      <c r="L27" s="149"/>
      <c r="M27" s="150"/>
    </row>
    <row r="28" spans="1:13" ht="17.25" customHeight="1">
      <c r="A28" s="150"/>
      <c r="B28" s="150"/>
      <c r="C28" s="150"/>
      <c r="D28" s="150"/>
      <c r="E28" s="150"/>
      <c r="F28" s="149"/>
      <c r="G28" s="149"/>
      <c r="H28" s="149"/>
      <c r="I28" s="149"/>
      <c r="J28" s="149"/>
      <c r="K28" s="149"/>
      <c r="L28" s="149"/>
      <c r="M28" s="150"/>
    </row>
    <row r="29" spans="1:13" ht="17.25" customHeight="1">
      <c r="A29" s="150" t="s">
        <v>23</v>
      </c>
      <c r="B29" s="150"/>
      <c r="C29" s="150"/>
      <c r="D29" s="150"/>
      <c r="E29" s="150"/>
      <c r="F29" s="149"/>
      <c r="G29" s="149"/>
      <c r="H29" s="149"/>
      <c r="I29" s="149"/>
      <c r="J29" s="149"/>
      <c r="K29" s="149"/>
      <c r="L29" s="149"/>
      <c r="M29" s="150"/>
    </row>
    <row r="30" spans="1:13" ht="17.25" customHeight="1">
      <c r="A30" s="150"/>
      <c r="B30" s="150"/>
      <c r="C30" s="150"/>
      <c r="D30" s="150"/>
      <c r="E30" s="150"/>
      <c r="F30" s="149"/>
      <c r="G30" s="149"/>
      <c r="H30" s="149"/>
      <c r="I30" s="149"/>
      <c r="J30" s="149"/>
      <c r="K30" s="149"/>
      <c r="L30" s="149"/>
      <c r="M30" s="150"/>
    </row>
    <row r="31" spans="1:13" ht="17.25" customHeight="1">
      <c r="A31" s="150" t="s">
        <v>24</v>
      </c>
      <c r="B31" s="150"/>
      <c r="C31" s="150"/>
      <c r="D31" s="150"/>
      <c r="E31" s="150"/>
      <c r="F31" s="149"/>
      <c r="G31" s="149"/>
      <c r="H31" s="149"/>
      <c r="I31" s="149"/>
      <c r="J31" s="149"/>
      <c r="K31" s="149"/>
      <c r="L31" s="149"/>
      <c r="M31" s="150"/>
    </row>
    <row r="32" spans="1:13" ht="17.25" customHeight="1">
      <c r="A32" s="150"/>
      <c r="B32" s="150"/>
      <c r="C32" s="150"/>
      <c r="D32" s="150"/>
      <c r="E32" s="150"/>
      <c r="F32" s="149"/>
      <c r="G32" s="149"/>
      <c r="H32" s="149"/>
      <c r="I32" s="149"/>
      <c r="J32" s="149"/>
      <c r="K32" s="149"/>
      <c r="L32" s="149"/>
      <c r="M32" s="150"/>
    </row>
    <row r="33" spans="1:13" ht="17.25" customHeight="1">
      <c r="A33" s="150" t="s">
        <v>25</v>
      </c>
      <c r="B33" s="150"/>
      <c r="C33" s="150"/>
      <c r="D33" s="150"/>
      <c r="E33" s="150"/>
      <c r="F33" s="149"/>
      <c r="G33" s="149"/>
      <c r="H33" s="149"/>
      <c r="I33" s="149"/>
      <c r="J33" s="149"/>
      <c r="K33" s="149"/>
      <c r="L33" s="149"/>
      <c r="M33" s="150"/>
    </row>
    <row r="34" spans="1:13" ht="17.25" customHeight="1">
      <c r="A34" s="150"/>
      <c r="B34" s="150"/>
      <c r="C34" s="150"/>
      <c r="D34" s="150"/>
      <c r="E34" s="150"/>
      <c r="F34" s="149"/>
      <c r="G34" s="149"/>
      <c r="H34" s="149"/>
      <c r="I34" s="149"/>
      <c r="J34" s="149"/>
      <c r="K34" s="149"/>
      <c r="L34" s="149"/>
      <c r="M34" s="150"/>
    </row>
    <row r="35" spans="1:13" ht="17.25" customHeight="1">
      <c r="A35" s="150" t="s">
        <v>26</v>
      </c>
      <c r="B35" s="150"/>
      <c r="C35" s="150"/>
      <c r="D35" s="150"/>
      <c r="E35" s="150"/>
      <c r="F35" s="149"/>
      <c r="G35" s="149"/>
      <c r="H35" s="149"/>
      <c r="I35" s="149"/>
      <c r="J35" s="149"/>
      <c r="K35" s="149"/>
      <c r="L35" s="149"/>
      <c r="M35" s="150"/>
    </row>
    <row r="36" spans="1:13" ht="17.25" customHeight="1">
      <c r="A36" s="150"/>
      <c r="B36" s="150"/>
      <c r="C36" s="150"/>
      <c r="D36" s="150"/>
      <c r="E36" s="150"/>
      <c r="F36" s="149"/>
      <c r="G36" s="149"/>
      <c r="H36" s="149"/>
      <c r="I36" s="149"/>
      <c r="J36" s="149"/>
      <c r="K36" s="149"/>
      <c r="L36" s="149"/>
      <c r="M36" s="150"/>
    </row>
    <row r="37" spans="1:13" ht="17.25" customHeight="1">
      <c r="A37" s="151" t="s">
        <v>27</v>
      </c>
      <c r="B37" s="151"/>
      <c r="C37" s="151"/>
      <c r="D37" s="151"/>
      <c r="E37" s="151"/>
      <c r="F37" s="149"/>
      <c r="G37" s="149"/>
      <c r="H37" s="149"/>
      <c r="I37" s="149"/>
      <c r="J37" s="149"/>
      <c r="K37" s="149"/>
      <c r="L37" s="149"/>
      <c r="M37" s="150"/>
    </row>
    <row r="38" spans="1:13" ht="17.25" customHeight="1">
      <c r="A38" s="150"/>
      <c r="B38" s="150"/>
      <c r="C38" s="150"/>
      <c r="D38" s="150"/>
      <c r="E38" s="150"/>
      <c r="F38" s="149"/>
      <c r="G38" s="149"/>
      <c r="H38" s="149"/>
      <c r="I38" s="149"/>
      <c r="J38" s="149"/>
      <c r="K38" s="149"/>
      <c r="L38" s="149"/>
      <c r="M38" s="150"/>
    </row>
    <row r="39" spans="1:13" ht="17.25" customHeight="1">
      <c r="A39" s="150" t="s">
        <v>28</v>
      </c>
      <c r="B39" s="150"/>
      <c r="C39" s="150"/>
      <c r="D39" s="150"/>
      <c r="E39" s="150"/>
      <c r="F39" s="149"/>
      <c r="G39" s="149"/>
      <c r="H39" s="149"/>
      <c r="I39" s="149"/>
      <c r="J39" s="149"/>
      <c r="K39" s="149"/>
      <c r="L39" s="149"/>
      <c r="M39" s="150"/>
    </row>
    <row r="40" spans="1:13" ht="17.25" customHeight="1">
      <c r="A40" s="150"/>
      <c r="B40" s="150"/>
      <c r="C40" s="150"/>
      <c r="D40" s="150"/>
      <c r="E40" s="150"/>
      <c r="F40" s="149"/>
      <c r="G40" s="149"/>
      <c r="H40" s="149"/>
      <c r="I40" s="149"/>
      <c r="J40" s="149"/>
      <c r="K40" s="149"/>
      <c r="L40" s="149"/>
      <c r="M40" s="150"/>
    </row>
    <row r="41" spans="1:13" ht="17.25" customHeight="1">
      <c r="A41" s="150" t="s">
        <v>29</v>
      </c>
      <c r="B41" s="150"/>
      <c r="C41" s="150"/>
      <c r="D41" s="150"/>
      <c r="E41" s="150"/>
      <c r="F41" s="149"/>
      <c r="G41" s="149"/>
      <c r="H41" s="149"/>
      <c r="I41" s="149"/>
      <c r="J41" s="149"/>
      <c r="K41" s="149"/>
      <c r="L41" s="149"/>
      <c r="M41" s="150"/>
    </row>
    <row r="42" spans="1:13" ht="17.25" customHeight="1">
      <c r="A42" s="150"/>
      <c r="B42" s="150"/>
      <c r="C42" s="150"/>
      <c r="D42" s="150"/>
      <c r="E42" s="150"/>
      <c r="F42" s="149"/>
      <c r="G42" s="149"/>
      <c r="H42" s="149"/>
      <c r="I42" s="149"/>
      <c r="J42" s="149"/>
      <c r="K42" s="149"/>
      <c r="L42" s="149"/>
      <c r="M42" s="150"/>
    </row>
    <row r="43" spans="1:13" ht="17.25" customHeight="1">
      <c r="A43" s="150" t="s">
        <v>30</v>
      </c>
      <c r="B43" s="150"/>
      <c r="C43" s="150"/>
      <c r="D43" s="150"/>
      <c r="E43" s="150"/>
      <c r="F43" s="149"/>
      <c r="G43" s="149"/>
      <c r="H43" s="149"/>
      <c r="I43" s="149"/>
      <c r="J43" s="149"/>
      <c r="K43" s="149"/>
      <c r="L43" s="149"/>
      <c r="M43" s="150"/>
    </row>
    <row r="44" spans="1:13" ht="17.25" customHeight="1">
      <c r="A44" s="150"/>
      <c r="B44" s="150"/>
      <c r="C44" s="150"/>
      <c r="D44" s="150"/>
      <c r="E44" s="150"/>
      <c r="F44" s="149"/>
      <c r="G44" s="149"/>
      <c r="H44" s="149"/>
      <c r="I44" s="149"/>
      <c r="J44" s="149"/>
      <c r="K44" s="149"/>
      <c r="L44" s="149"/>
      <c r="M44" s="150"/>
    </row>
    <row r="45" spans="1:13" ht="17.25" customHeight="1">
      <c r="A45" s="151" t="s">
        <v>31</v>
      </c>
      <c r="B45" s="151"/>
      <c r="C45" s="151"/>
      <c r="D45" s="151"/>
      <c r="E45" s="151"/>
      <c r="F45" s="149"/>
      <c r="G45" s="149"/>
      <c r="H45" s="149"/>
      <c r="I45" s="149"/>
      <c r="J45" s="149"/>
      <c r="K45" s="149"/>
      <c r="L45" s="149"/>
      <c r="M45" s="150"/>
    </row>
    <row r="46" spans="1:13" ht="17.25" customHeight="1">
      <c r="A46" s="150"/>
      <c r="B46" s="150"/>
      <c r="C46" s="150"/>
      <c r="D46" s="150"/>
      <c r="E46" s="150"/>
      <c r="F46" s="149"/>
      <c r="G46" s="149"/>
      <c r="H46" s="149"/>
      <c r="I46" s="149"/>
      <c r="J46" s="149"/>
      <c r="K46" s="149"/>
      <c r="L46" s="149"/>
      <c r="M46" s="150"/>
    </row>
    <row r="47" spans="1:13" ht="17.25" customHeight="1">
      <c r="A47" s="150" t="s">
        <v>32</v>
      </c>
      <c r="B47" s="150"/>
      <c r="C47" s="150"/>
      <c r="D47" s="150"/>
      <c r="E47" s="150"/>
      <c r="F47" s="149"/>
      <c r="G47" s="149"/>
      <c r="H47" s="149"/>
      <c r="I47" s="149"/>
      <c r="J47" s="149"/>
      <c r="K47" s="149"/>
      <c r="L47" s="149"/>
      <c r="M47" s="150"/>
    </row>
    <row r="48" spans="1:13" ht="17.25" customHeight="1">
      <c r="A48" s="150"/>
      <c r="B48" s="150"/>
      <c r="C48" s="150"/>
      <c r="D48" s="150"/>
      <c r="E48" s="150"/>
      <c r="F48" s="149"/>
      <c r="G48" s="149"/>
      <c r="H48" s="149"/>
      <c r="I48" s="149"/>
      <c r="J48" s="149"/>
      <c r="K48" s="149"/>
      <c r="L48" s="149"/>
      <c r="M48" s="150"/>
    </row>
    <row r="49" spans="1:13" ht="17.25" customHeight="1">
      <c r="A49" s="150" t="s">
        <v>33</v>
      </c>
      <c r="B49" s="150"/>
      <c r="C49" s="150"/>
      <c r="D49" s="150"/>
      <c r="E49" s="150"/>
      <c r="F49" s="149"/>
      <c r="G49" s="149"/>
      <c r="H49" s="149"/>
      <c r="I49" s="149"/>
      <c r="J49" s="149"/>
      <c r="K49" s="149"/>
      <c r="L49" s="149"/>
      <c r="M49" s="150"/>
    </row>
    <row r="50" spans="1:13" ht="17.25" customHeight="1">
      <c r="A50" s="150"/>
      <c r="B50" s="150"/>
      <c r="C50" s="150"/>
      <c r="D50" s="150"/>
      <c r="E50" s="150"/>
      <c r="F50" s="149"/>
      <c r="G50" s="149"/>
      <c r="H50" s="149"/>
      <c r="I50" s="149"/>
      <c r="J50" s="149"/>
      <c r="K50" s="149"/>
      <c r="L50" s="149"/>
      <c r="M50" s="150"/>
    </row>
    <row r="51" spans="1:13" ht="17.25" customHeight="1">
      <c r="A51" s="150" t="s">
        <v>34</v>
      </c>
      <c r="B51" s="150"/>
      <c r="C51" s="150"/>
      <c r="D51" s="150"/>
      <c r="E51" s="150"/>
      <c r="F51" s="149"/>
      <c r="G51" s="149"/>
      <c r="H51" s="149"/>
      <c r="I51" s="149"/>
      <c r="J51" s="149"/>
      <c r="K51" s="149"/>
      <c r="L51" s="149"/>
      <c r="M51" s="150"/>
    </row>
    <row r="52" spans="1:13" ht="17.25" customHeight="1">
      <c r="A52" s="150"/>
      <c r="B52" s="150"/>
      <c r="C52" s="150"/>
      <c r="D52" s="150"/>
      <c r="E52" s="150"/>
      <c r="F52" s="149"/>
      <c r="G52" s="149"/>
      <c r="H52" s="149"/>
      <c r="I52" s="149"/>
      <c r="J52" s="149"/>
      <c r="K52" s="149"/>
      <c r="L52" s="152"/>
      <c r="M52" s="152"/>
    </row>
    <row r="53" spans="1:16" ht="111" customHeight="1">
      <c r="A53" s="135" t="s">
        <v>5</v>
      </c>
      <c r="B53" s="153" t="s">
        <v>35</v>
      </c>
      <c r="C53" s="153" t="s">
        <v>36</v>
      </c>
      <c r="D53" s="153" t="s">
        <v>37</v>
      </c>
      <c r="E53" s="153" t="s">
        <v>38</v>
      </c>
      <c r="F53" s="153" t="s">
        <v>39</v>
      </c>
      <c r="G53" s="153" t="s">
        <v>40</v>
      </c>
      <c r="H53" s="153" t="s">
        <v>41</v>
      </c>
      <c r="I53" s="153" t="s">
        <v>42</v>
      </c>
      <c r="J53" s="153" t="s">
        <v>43</v>
      </c>
      <c r="K53" s="153" t="s">
        <v>44</v>
      </c>
      <c r="L53" s="153" t="s">
        <v>45</v>
      </c>
      <c r="M53" s="153" t="s">
        <v>46</v>
      </c>
      <c r="N53" s="153" t="s">
        <v>47</v>
      </c>
      <c r="O53" s="135" t="s">
        <v>48</v>
      </c>
      <c r="P53" s="135" t="s">
        <v>49</v>
      </c>
    </row>
    <row r="54" spans="1:16" ht="23.25" customHeight="1">
      <c r="A54" s="158">
        <v>1</v>
      </c>
      <c r="B54" s="159">
        <v>2</v>
      </c>
      <c r="C54" s="159">
        <v>3</v>
      </c>
      <c r="D54" s="159">
        <v>4</v>
      </c>
      <c r="E54" s="159">
        <v>5</v>
      </c>
      <c r="F54" s="159" t="s">
        <v>50</v>
      </c>
      <c r="G54" s="159" t="s">
        <v>51</v>
      </c>
      <c r="H54" s="159" t="s">
        <v>52</v>
      </c>
      <c r="I54" s="159" t="s">
        <v>53</v>
      </c>
      <c r="J54" s="159">
        <v>10</v>
      </c>
      <c r="K54" s="159">
        <v>11</v>
      </c>
      <c r="L54" s="159">
        <v>12</v>
      </c>
      <c r="M54" s="159">
        <v>13</v>
      </c>
      <c r="N54" s="159">
        <v>14</v>
      </c>
      <c r="O54" s="159">
        <v>15</v>
      </c>
      <c r="P54" s="159">
        <v>16</v>
      </c>
    </row>
    <row r="55" spans="1:16" ht="42" customHeight="1">
      <c r="A55" s="139" t="s">
        <v>12</v>
      </c>
      <c r="B55" s="161">
        <v>0</v>
      </c>
      <c r="C55" s="161">
        <v>0</v>
      </c>
      <c r="D55" s="161">
        <v>0</v>
      </c>
      <c r="E55" s="161">
        <v>0</v>
      </c>
      <c r="F55" s="162">
        <v>0</v>
      </c>
      <c r="G55" s="162">
        <v>0</v>
      </c>
      <c r="H55" s="140">
        <v>0</v>
      </c>
      <c r="I55" s="163">
        <v>0</v>
      </c>
      <c r="J55" s="140">
        <v>0</v>
      </c>
      <c r="K55" s="140">
        <v>0</v>
      </c>
      <c r="L55" s="140">
        <v>0</v>
      </c>
      <c r="M55" s="140">
        <f aca="true" t="shared" si="10" ref="M55:M59">I55*(J55*K55+J55)*(L55+1)*12*1.302</f>
        <v>0</v>
      </c>
      <c r="N55" s="140">
        <f aca="true" t="shared" si="11" ref="N55:N59">M55*B55</f>
        <v>0</v>
      </c>
      <c r="O55" s="140">
        <v>0</v>
      </c>
      <c r="P55" s="140">
        <v>0</v>
      </c>
    </row>
    <row r="56" spans="1:16" ht="42" customHeight="1">
      <c r="A56" s="139" t="s">
        <v>13</v>
      </c>
      <c r="B56" s="161">
        <v>0</v>
      </c>
      <c r="C56" s="161">
        <v>0</v>
      </c>
      <c r="D56" s="161">
        <v>0</v>
      </c>
      <c r="E56" s="161">
        <v>0</v>
      </c>
      <c r="F56" s="162">
        <v>0</v>
      </c>
      <c r="G56" s="162">
        <v>0</v>
      </c>
      <c r="H56" s="140">
        <v>0</v>
      </c>
      <c r="I56" s="163">
        <v>0</v>
      </c>
      <c r="J56" s="140">
        <v>0</v>
      </c>
      <c r="K56" s="140">
        <v>0</v>
      </c>
      <c r="L56" s="140">
        <v>0</v>
      </c>
      <c r="M56" s="140">
        <f t="shared" si="10"/>
        <v>0</v>
      </c>
      <c r="N56" s="140">
        <f t="shared" si="11"/>
        <v>0</v>
      </c>
      <c r="O56" s="140">
        <v>0</v>
      </c>
      <c r="P56" s="140">
        <v>0</v>
      </c>
    </row>
    <row r="57" spans="1:16" ht="42" customHeight="1">
      <c r="A57" s="139" t="s">
        <v>14</v>
      </c>
      <c r="B57" s="161">
        <v>0</v>
      </c>
      <c r="C57" s="161">
        <v>0</v>
      </c>
      <c r="D57" s="161">
        <v>0</v>
      </c>
      <c r="E57" s="161">
        <v>0</v>
      </c>
      <c r="F57" s="162">
        <v>0</v>
      </c>
      <c r="G57" s="162">
        <v>0</v>
      </c>
      <c r="H57" s="140">
        <v>0</v>
      </c>
      <c r="I57" s="163">
        <v>0</v>
      </c>
      <c r="J57" s="140">
        <v>0</v>
      </c>
      <c r="K57" s="140">
        <v>0</v>
      </c>
      <c r="L57" s="140">
        <v>0</v>
      </c>
      <c r="M57" s="140">
        <f t="shared" si="10"/>
        <v>0</v>
      </c>
      <c r="N57" s="140">
        <f t="shared" si="11"/>
        <v>0</v>
      </c>
      <c r="O57" s="140">
        <v>0</v>
      </c>
      <c r="P57" s="140">
        <v>0</v>
      </c>
    </row>
    <row r="58" spans="1:16" ht="42" customHeight="1">
      <c r="A58" s="139" t="s">
        <v>15</v>
      </c>
      <c r="B58" s="161">
        <v>0</v>
      </c>
      <c r="C58" s="161">
        <v>0</v>
      </c>
      <c r="D58" s="161">
        <v>0</v>
      </c>
      <c r="E58" s="161">
        <v>0</v>
      </c>
      <c r="F58" s="162">
        <v>0</v>
      </c>
      <c r="G58" s="162">
        <v>0</v>
      </c>
      <c r="H58" s="140">
        <v>0</v>
      </c>
      <c r="I58" s="163">
        <f aca="true" t="shared" si="12" ref="I58:I60">H58/18</f>
        <v>0</v>
      </c>
      <c r="J58" s="140">
        <v>0</v>
      </c>
      <c r="K58" s="140">
        <v>0</v>
      </c>
      <c r="L58" s="140">
        <v>0</v>
      </c>
      <c r="M58" s="140">
        <f t="shared" si="10"/>
        <v>0</v>
      </c>
      <c r="N58" s="140">
        <f t="shared" si="11"/>
        <v>0</v>
      </c>
      <c r="O58" s="140">
        <v>0</v>
      </c>
      <c r="P58" s="140">
        <v>0</v>
      </c>
    </row>
    <row r="59" spans="1:16" ht="42" customHeight="1">
      <c r="A59" s="139" t="s">
        <v>16</v>
      </c>
      <c r="B59" s="41">
        <v>880</v>
      </c>
      <c r="C59" s="41">
        <v>54</v>
      </c>
      <c r="D59" s="41">
        <v>18</v>
      </c>
      <c r="E59" s="41">
        <v>560</v>
      </c>
      <c r="F59" s="162">
        <f aca="true" t="shared" si="13" ref="F59:F60">E59/D59</f>
        <v>31.11111111111111</v>
      </c>
      <c r="G59" s="162">
        <f aca="true" t="shared" si="14" ref="G59:G60">B59/C59</f>
        <v>16.296296296296298</v>
      </c>
      <c r="H59" s="140">
        <f aca="true" t="shared" si="15" ref="H59:H60">F59/G59</f>
        <v>1.909090909090909</v>
      </c>
      <c r="I59" s="163">
        <f t="shared" si="12"/>
        <v>0.10606060606060605</v>
      </c>
      <c r="J59" s="140">
        <v>8587</v>
      </c>
      <c r="K59" s="140">
        <v>0</v>
      </c>
      <c r="L59" s="140">
        <f>(13257+24304.5)/D60*D59/(13257+24304.5)</f>
        <v>1</v>
      </c>
      <c r="M59" s="140">
        <f t="shared" si="10"/>
        <v>28458.87927272727</v>
      </c>
      <c r="N59" s="218">
        <f t="shared" si="11"/>
        <v>25043813.759999998</v>
      </c>
      <c r="O59" s="140">
        <f aca="true" t="shared" si="16" ref="O59:O60">P59/N59</f>
        <v>0.44808055624192605</v>
      </c>
      <c r="P59" s="140">
        <f>11886303+3589664-A172-B172-C172</f>
        <v>11221646</v>
      </c>
    </row>
    <row r="60" spans="1:19" ht="42" customHeight="1">
      <c r="A60" s="142" t="s">
        <v>17</v>
      </c>
      <c r="B60" s="219">
        <f>B55+B56+B57+B58+B59</f>
        <v>880</v>
      </c>
      <c r="C60" s="219">
        <f>C55+C56+C57+C58+C59</f>
        <v>54</v>
      </c>
      <c r="D60" s="219">
        <f>D55+D56+D57+D58+D59</f>
        <v>18</v>
      </c>
      <c r="E60" s="219">
        <f>E55+E56+E57+E58+E59</f>
        <v>560</v>
      </c>
      <c r="F60" s="166">
        <f t="shared" si="13"/>
        <v>31.11111111111111</v>
      </c>
      <c r="G60" s="166">
        <f t="shared" si="14"/>
        <v>16.296296296296298</v>
      </c>
      <c r="H60" s="167">
        <f t="shared" si="15"/>
        <v>1.909090909090909</v>
      </c>
      <c r="I60" s="168">
        <f t="shared" si="12"/>
        <v>0.10606060606060605</v>
      </c>
      <c r="J60" s="143">
        <v>6513</v>
      </c>
      <c r="K60" s="143">
        <v>0</v>
      </c>
      <c r="L60" s="143">
        <f>L55+L56+L57+L58+L59</f>
        <v>1</v>
      </c>
      <c r="M60" s="167">
        <f>N60/B60</f>
        <v>28458.87927272727</v>
      </c>
      <c r="N60" s="220">
        <f>SUM(N55:N59)</f>
        <v>25043813.759999998</v>
      </c>
      <c r="O60" s="167">
        <f t="shared" si="16"/>
        <v>0.44808055624192605</v>
      </c>
      <c r="P60" s="167">
        <f>SUM(P55:P59)</f>
        <v>11221646</v>
      </c>
      <c r="Q60" s="23">
        <f>11064094+3440356</f>
        <v>14504450</v>
      </c>
      <c r="R60" s="40">
        <f>G185</f>
        <v>4254321</v>
      </c>
      <c r="S60" s="40">
        <f>Q60-R60</f>
        <v>10250129</v>
      </c>
    </row>
    <row r="61" spans="1:17" ht="12.75">
      <c r="A61" s="150"/>
      <c r="B61" s="150"/>
      <c r="C61" s="150"/>
      <c r="D61" s="150"/>
      <c r="E61" s="150"/>
      <c r="F61" s="149"/>
      <c r="G61" s="149"/>
      <c r="H61" s="149"/>
      <c r="I61" s="149"/>
      <c r="J61" s="149"/>
      <c r="K61" s="149"/>
      <c r="L61" s="149"/>
      <c r="M61" s="150"/>
      <c r="N61" s="150"/>
      <c r="O61" s="150"/>
      <c r="P61" s="150"/>
      <c r="Q61" s="150"/>
    </row>
    <row r="62" spans="1:18" ht="12.75" customHeight="1">
      <c r="A62" s="150"/>
      <c r="B62" s="150"/>
      <c r="C62" s="171" t="s">
        <v>154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7" ht="12.75">
      <c r="A63" s="150"/>
      <c r="B63" s="150"/>
      <c r="C63" s="150"/>
      <c r="D63" s="150"/>
      <c r="E63" s="150"/>
      <c r="F63" s="149"/>
      <c r="G63" s="149"/>
      <c r="H63" s="149"/>
      <c r="I63" s="149"/>
      <c r="J63" s="149"/>
      <c r="K63" s="149"/>
      <c r="L63" s="149"/>
      <c r="M63" s="150"/>
      <c r="N63" s="150"/>
      <c r="O63" s="150"/>
      <c r="P63" s="150"/>
      <c r="Q63" s="150"/>
    </row>
    <row r="64" spans="1:16" ht="38.25" customHeight="1">
      <c r="A64" s="175" t="s">
        <v>55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N64" s="169"/>
      <c r="O64" s="169"/>
      <c r="P64" s="169"/>
    </row>
    <row r="65" spans="1:13" ht="12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1:13" ht="27" customHeight="1">
      <c r="A66" s="176" t="s">
        <v>56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ht="12.7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1:13" ht="16.5">
      <c r="A68" s="150" t="s">
        <v>57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12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6.5">
      <c r="A70" s="177" t="s">
        <v>58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ht="12.7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13" ht="16.5">
      <c r="A72" s="177" t="s">
        <v>59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ht="12.7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  <row r="74" spans="1:13" ht="38.25" customHeight="1">
      <c r="A74" s="133" t="s">
        <v>60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</row>
    <row r="75" spans="1:13" ht="12.7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</row>
    <row r="76" spans="1:13" ht="16.5">
      <c r="A76" s="177" t="s">
        <v>61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ht="12.7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ht="63.75">
      <c r="A78" s="135" t="s">
        <v>62</v>
      </c>
      <c r="B78" s="55" t="s">
        <v>63</v>
      </c>
      <c r="C78" s="135" t="s">
        <v>64</v>
      </c>
      <c r="D78" s="135" t="s">
        <v>65</v>
      </c>
      <c r="E78" s="135" t="s">
        <v>48</v>
      </c>
      <c r="F78" s="135" t="s">
        <v>49</v>
      </c>
      <c r="G78" s="177"/>
      <c r="H78" s="177"/>
      <c r="I78" s="177"/>
      <c r="J78" s="177"/>
      <c r="K78" s="177"/>
      <c r="L78" s="177"/>
      <c r="M78" s="177"/>
    </row>
    <row r="79" spans="1:13" ht="16.5">
      <c r="A79" s="178" t="s">
        <v>66</v>
      </c>
      <c r="B79" s="57">
        <f>B60</f>
        <v>880</v>
      </c>
      <c r="C79" s="179">
        <f>F125</f>
        <v>1116.881818181818</v>
      </c>
      <c r="D79" s="179">
        <f>E125</f>
        <v>982856</v>
      </c>
      <c r="E79" s="180">
        <f>G125</f>
        <v>0.8996801159071115</v>
      </c>
      <c r="F79" s="180">
        <f aca="true" t="shared" si="17" ref="F79:F108">D79*E79</f>
        <v>884256</v>
      </c>
      <c r="G79" s="177"/>
      <c r="H79" s="177"/>
      <c r="I79" s="177"/>
      <c r="J79" s="177"/>
      <c r="K79" s="177"/>
      <c r="L79" s="177"/>
      <c r="M79" s="177"/>
    </row>
    <row r="80" spans="1:13" ht="25.5">
      <c r="A80" s="139" t="s">
        <v>12</v>
      </c>
      <c r="B80" s="121">
        <f aca="true" t="shared" si="18" ref="B80:B84">B55</f>
        <v>0</v>
      </c>
      <c r="C80" s="182">
        <v>0</v>
      </c>
      <c r="D80" s="182">
        <f aca="true" t="shared" si="19" ref="D80:D84">B80*C80</f>
        <v>0</v>
      </c>
      <c r="E80" s="182">
        <v>0</v>
      </c>
      <c r="F80" s="182">
        <f t="shared" si="17"/>
        <v>0</v>
      </c>
      <c r="G80" s="177"/>
      <c r="H80" s="177"/>
      <c r="I80" s="177"/>
      <c r="J80" s="177"/>
      <c r="K80" s="177"/>
      <c r="L80" s="177"/>
      <c r="M80" s="177"/>
    </row>
    <row r="81" spans="1:13" ht="25.5">
      <c r="A81" s="139" t="s">
        <v>13</v>
      </c>
      <c r="B81" s="121">
        <f t="shared" si="18"/>
        <v>0</v>
      </c>
      <c r="C81" s="182">
        <v>0</v>
      </c>
      <c r="D81" s="182">
        <f t="shared" si="19"/>
        <v>0</v>
      </c>
      <c r="E81" s="182">
        <v>0</v>
      </c>
      <c r="F81" s="182">
        <f t="shared" si="17"/>
        <v>0</v>
      </c>
      <c r="G81" s="177"/>
      <c r="H81" s="177"/>
      <c r="I81" s="177"/>
      <c r="J81" s="177"/>
      <c r="K81" s="177"/>
      <c r="L81" s="177"/>
      <c r="M81" s="177"/>
    </row>
    <row r="82" spans="1:13" ht="25.5">
      <c r="A82" s="139" t="s">
        <v>14</v>
      </c>
      <c r="B82" s="121">
        <f t="shared" si="18"/>
        <v>0</v>
      </c>
      <c r="C82" s="182">
        <v>0</v>
      </c>
      <c r="D82" s="182">
        <f t="shared" si="19"/>
        <v>0</v>
      </c>
      <c r="E82" s="182">
        <v>0</v>
      </c>
      <c r="F82" s="182">
        <f t="shared" si="17"/>
        <v>0</v>
      </c>
      <c r="G82" s="177"/>
      <c r="H82" s="177"/>
      <c r="I82" s="177"/>
      <c r="J82" s="177"/>
      <c r="K82" s="177"/>
      <c r="L82" s="177"/>
      <c r="M82" s="177"/>
    </row>
    <row r="83" spans="1:13" ht="25.5">
      <c r="A83" s="139" t="s">
        <v>15</v>
      </c>
      <c r="B83" s="121">
        <f t="shared" si="18"/>
        <v>0</v>
      </c>
      <c r="C83" s="182">
        <f>C82</f>
        <v>0</v>
      </c>
      <c r="D83" s="182">
        <f t="shared" si="19"/>
        <v>0</v>
      </c>
      <c r="E83" s="182">
        <f>E82</f>
        <v>0</v>
      </c>
      <c r="F83" s="182">
        <f t="shared" si="17"/>
        <v>0</v>
      </c>
      <c r="G83" s="177"/>
      <c r="H83" s="177"/>
      <c r="I83" s="177"/>
      <c r="J83" s="177"/>
      <c r="K83" s="177"/>
      <c r="L83" s="177"/>
      <c r="M83" s="177"/>
    </row>
    <row r="84" spans="1:13" ht="25.5">
      <c r="A84" s="139" t="s">
        <v>16</v>
      </c>
      <c r="B84" s="121">
        <f t="shared" si="18"/>
        <v>880</v>
      </c>
      <c r="C84" s="182">
        <f>F125</f>
        <v>1116.881818181818</v>
      </c>
      <c r="D84" s="182">
        <f t="shared" si="19"/>
        <v>982855.9999999999</v>
      </c>
      <c r="E84" s="182">
        <f>G125</f>
        <v>0.8996801159071115</v>
      </c>
      <c r="F84" s="182">
        <f t="shared" si="17"/>
        <v>884255.9999999999</v>
      </c>
      <c r="G84" s="177"/>
      <c r="H84" s="177"/>
      <c r="I84" s="177"/>
      <c r="J84" s="177"/>
      <c r="K84" s="177"/>
      <c r="L84" s="177"/>
      <c r="M84" s="177"/>
    </row>
    <row r="85" spans="1:13" ht="16.5">
      <c r="A85" s="183" t="s">
        <v>67</v>
      </c>
      <c r="B85" s="57">
        <f aca="true" t="shared" si="20" ref="B85:B90">B79</f>
        <v>880</v>
      </c>
      <c r="C85" s="180">
        <f>F140</f>
        <v>3067.8579545454545</v>
      </c>
      <c r="D85" s="180">
        <f>E140</f>
        <v>2699715</v>
      </c>
      <c r="E85" s="180">
        <f>G140</f>
        <v>0.8922986315222162</v>
      </c>
      <c r="F85" s="221">
        <f t="shared" si="17"/>
        <v>2408952</v>
      </c>
      <c r="G85" s="177"/>
      <c r="H85" s="177"/>
      <c r="I85" s="177"/>
      <c r="J85" s="177"/>
      <c r="K85" s="177"/>
      <c r="L85" s="177"/>
      <c r="M85" s="177"/>
    </row>
    <row r="86" spans="1:13" ht="25.5">
      <c r="A86" s="139" t="s">
        <v>12</v>
      </c>
      <c r="B86" s="121">
        <f t="shared" si="20"/>
        <v>0</v>
      </c>
      <c r="C86" s="182">
        <v>0</v>
      </c>
      <c r="D86" s="182">
        <f aca="true" t="shared" si="21" ref="D86:D96">B86*C86</f>
        <v>0</v>
      </c>
      <c r="E86" s="182">
        <v>0</v>
      </c>
      <c r="F86" s="182">
        <f t="shared" si="17"/>
        <v>0</v>
      </c>
      <c r="G86" s="177"/>
      <c r="H86" s="177"/>
      <c r="I86" s="177"/>
      <c r="J86" s="177"/>
      <c r="K86" s="177"/>
      <c r="L86" s="177"/>
      <c r="M86" s="177"/>
    </row>
    <row r="87" spans="1:13" ht="25.5">
      <c r="A87" s="139" t="s">
        <v>13</v>
      </c>
      <c r="B87" s="121">
        <f t="shared" si="20"/>
        <v>0</v>
      </c>
      <c r="C87" s="182">
        <v>0</v>
      </c>
      <c r="D87" s="182">
        <f t="shared" si="21"/>
        <v>0</v>
      </c>
      <c r="E87" s="182">
        <f aca="true" t="shared" si="22" ref="E87:E89">E86</f>
        <v>0</v>
      </c>
      <c r="F87" s="182">
        <f t="shared" si="17"/>
        <v>0</v>
      </c>
      <c r="G87" s="177"/>
      <c r="H87" s="177"/>
      <c r="I87" s="177"/>
      <c r="J87" s="177"/>
      <c r="K87" s="177"/>
      <c r="L87" s="177"/>
      <c r="M87" s="177"/>
    </row>
    <row r="88" spans="1:13" ht="25.5">
      <c r="A88" s="139" t="s">
        <v>14</v>
      </c>
      <c r="B88" s="121">
        <f t="shared" si="20"/>
        <v>0</v>
      </c>
      <c r="C88" s="182">
        <v>0</v>
      </c>
      <c r="D88" s="182">
        <f t="shared" si="21"/>
        <v>0</v>
      </c>
      <c r="E88" s="182">
        <f t="shared" si="22"/>
        <v>0</v>
      </c>
      <c r="F88" s="182">
        <f t="shared" si="17"/>
        <v>0</v>
      </c>
      <c r="G88" s="177"/>
      <c r="H88" s="177"/>
      <c r="I88" s="177"/>
      <c r="J88" s="177"/>
      <c r="K88" s="177"/>
      <c r="L88" s="177"/>
      <c r="M88" s="177"/>
    </row>
    <row r="89" spans="1:13" ht="25.5">
      <c r="A89" s="139" t="s">
        <v>15</v>
      </c>
      <c r="B89" s="121">
        <f t="shared" si="20"/>
        <v>0</v>
      </c>
      <c r="C89" s="182">
        <v>0</v>
      </c>
      <c r="D89" s="182">
        <f t="shared" si="21"/>
        <v>0</v>
      </c>
      <c r="E89" s="182">
        <f t="shared" si="22"/>
        <v>0</v>
      </c>
      <c r="F89" s="182">
        <f t="shared" si="17"/>
        <v>0</v>
      </c>
      <c r="G89" s="177"/>
      <c r="H89" s="177"/>
      <c r="I89" s="177"/>
      <c r="J89" s="177"/>
      <c r="K89" s="177"/>
      <c r="L89" s="177"/>
      <c r="M89" s="177"/>
    </row>
    <row r="90" spans="1:13" ht="25.5">
      <c r="A90" s="139" t="s">
        <v>16</v>
      </c>
      <c r="B90" s="121">
        <f t="shared" si="20"/>
        <v>880</v>
      </c>
      <c r="C90" s="182">
        <f>F140</f>
        <v>3067.8579545454545</v>
      </c>
      <c r="D90" s="182">
        <f t="shared" si="21"/>
        <v>2699715</v>
      </c>
      <c r="E90" s="182">
        <f>G140</f>
        <v>0.8922986315222162</v>
      </c>
      <c r="F90" s="222">
        <f t="shared" si="17"/>
        <v>2408952</v>
      </c>
      <c r="G90" s="177"/>
      <c r="H90" s="177"/>
      <c r="I90" s="177"/>
      <c r="J90" s="177"/>
      <c r="K90" s="177"/>
      <c r="L90" s="177"/>
      <c r="M90" s="177"/>
    </row>
    <row r="91" spans="1:13" ht="15.75">
      <c r="A91" s="184" t="s">
        <v>68</v>
      </c>
      <c r="B91" s="57">
        <f>B60</f>
        <v>880</v>
      </c>
      <c r="C91" s="180">
        <f>F150</f>
        <v>41.06818181818181</v>
      </c>
      <c r="D91" s="180">
        <f t="shared" si="21"/>
        <v>36139.99999999999</v>
      </c>
      <c r="E91" s="180">
        <f>G150</f>
        <v>0.9094355285002766</v>
      </c>
      <c r="F91" s="180">
        <f t="shared" si="17"/>
        <v>32866.99999999999</v>
      </c>
      <c r="G91" s="177"/>
      <c r="H91" s="177"/>
      <c r="I91" s="177"/>
      <c r="J91" s="177"/>
      <c r="K91" s="177"/>
      <c r="L91" s="177"/>
      <c r="M91" s="177"/>
    </row>
    <row r="92" spans="1:13" ht="25.5">
      <c r="A92" s="139" t="s">
        <v>12</v>
      </c>
      <c r="B92" s="121">
        <f aca="true" t="shared" si="23" ref="B92:B96">B86</f>
        <v>0</v>
      </c>
      <c r="C92" s="182">
        <v>0</v>
      </c>
      <c r="D92" s="182">
        <f t="shared" si="21"/>
        <v>0</v>
      </c>
      <c r="E92" s="182">
        <v>0</v>
      </c>
      <c r="F92" s="182">
        <f t="shared" si="17"/>
        <v>0</v>
      </c>
      <c r="G92" s="177"/>
      <c r="H92" s="177"/>
      <c r="I92" s="177"/>
      <c r="J92" s="177"/>
      <c r="K92" s="177"/>
      <c r="L92" s="177"/>
      <c r="M92" s="177"/>
    </row>
    <row r="93" spans="1:13" ht="25.5">
      <c r="A93" s="139" t="s">
        <v>13</v>
      </c>
      <c r="B93" s="121">
        <f t="shared" si="23"/>
        <v>0</v>
      </c>
      <c r="C93" s="182">
        <v>0</v>
      </c>
      <c r="D93" s="182">
        <f t="shared" si="21"/>
        <v>0</v>
      </c>
      <c r="E93" s="182">
        <f aca="true" t="shared" si="24" ref="E93:E95">E92</f>
        <v>0</v>
      </c>
      <c r="F93" s="182">
        <f t="shared" si="17"/>
        <v>0</v>
      </c>
      <c r="G93" s="177"/>
      <c r="H93" s="177"/>
      <c r="I93" s="177"/>
      <c r="J93" s="177"/>
      <c r="K93" s="177"/>
      <c r="L93" s="177"/>
      <c r="M93" s="177"/>
    </row>
    <row r="94" spans="1:13" ht="25.5">
      <c r="A94" s="139" t="s">
        <v>14</v>
      </c>
      <c r="B94" s="121">
        <f t="shared" si="23"/>
        <v>0</v>
      </c>
      <c r="C94" s="182">
        <v>0</v>
      </c>
      <c r="D94" s="182">
        <f t="shared" si="21"/>
        <v>0</v>
      </c>
      <c r="E94" s="182">
        <f t="shared" si="24"/>
        <v>0</v>
      </c>
      <c r="F94" s="182">
        <f t="shared" si="17"/>
        <v>0</v>
      </c>
      <c r="G94" s="177"/>
      <c r="H94" s="177"/>
      <c r="I94" s="177"/>
      <c r="J94" s="177"/>
      <c r="K94" s="177"/>
      <c r="L94" s="177"/>
      <c r="M94" s="177"/>
    </row>
    <row r="95" spans="1:13" ht="25.5">
      <c r="A95" s="139" t="s">
        <v>15</v>
      </c>
      <c r="B95" s="121">
        <f t="shared" si="23"/>
        <v>0</v>
      </c>
      <c r="C95" s="182">
        <f>C94</f>
        <v>0</v>
      </c>
      <c r="D95" s="182">
        <f t="shared" si="21"/>
        <v>0</v>
      </c>
      <c r="E95" s="182">
        <f t="shared" si="24"/>
        <v>0</v>
      </c>
      <c r="F95" s="182">
        <f t="shared" si="17"/>
        <v>0</v>
      </c>
      <c r="G95" s="177"/>
      <c r="H95" s="177"/>
      <c r="I95" s="177"/>
      <c r="J95" s="177"/>
      <c r="K95" s="177"/>
      <c r="L95" s="177"/>
      <c r="M95" s="177"/>
    </row>
    <row r="96" spans="1:13" ht="25.5">
      <c r="A96" s="139" t="s">
        <v>16</v>
      </c>
      <c r="B96" s="121">
        <f t="shared" si="23"/>
        <v>880</v>
      </c>
      <c r="C96" s="182">
        <f>F150</f>
        <v>41.06818181818181</v>
      </c>
      <c r="D96" s="182">
        <f t="shared" si="21"/>
        <v>36139.99999999999</v>
      </c>
      <c r="E96" s="182">
        <f>G150</f>
        <v>0.9094355285002766</v>
      </c>
      <c r="F96" s="182">
        <f t="shared" si="17"/>
        <v>32866.99999999999</v>
      </c>
      <c r="G96" s="177"/>
      <c r="H96" s="177"/>
      <c r="I96" s="177"/>
      <c r="J96" s="177"/>
      <c r="K96" s="177"/>
      <c r="L96" s="177"/>
      <c r="M96" s="177"/>
    </row>
    <row r="97" spans="1:13" ht="18" customHeight="1">
      <c r="A97" s="185" t="s">
        <v>69</v>
      </c>
      <c r="B97" s="186">
        <f>B60</f>
        <v>880</v>
      </c>
      <c r="C97" s="187">
        <f>D97/B97</f>
        <v>4834.455681818182</v>
      </c>
      <c r="D97" s="187">
        <f>D98+D99+D100+D101+D102</f>
        <v>4254321</v>
      </c>
      <c r="E97" s="187">
        <f>F185</f>
        <v>1</v>
      </c>
      <c r="F97" s="223">
        <f t="shared" si="17"/>
        <v>4254321</v>
      </c>
      <c r="G97" s="188"/>
      <c r="H97" s="188"/>
      <c r="I97" s="188"/>
      <c r="J97" s="188"/>
      <c r="K97" s="188"/>
      <c r="L97" s="188"/>
      <c r="M97" s="188"/>
    </row>
    <row r="98" spans="1:13" ht="25.5">
      <c r="A98" s="139" t="s">
        <v>12</v>
      </c>
      <c r="B98" s="121">
        <f aca="true" t="shared" si="25" ref="B98:B102">B92</f>
        <v>0</v>
      </c>
      <c r="C98" s="182">
        <f aca="true" t="shared" si="26" ref="C98:C102">D180</f>
        <v>0</v>
      </c>
      <c r="D98" s="182">
        <f aca="true" t="shared" si="27" ref="D98:D108">B98*C98</f>
        <v>0</v>
      </c>
      <c r="E98" s="182">
        <v>0</v>
      </c>
      <c r="F98" s="182">
        <f t="shared" si="17"/>
        <v>0</v>
      </c>
      <c r="G98" s="177"/>
      <c r="H98" s="177"/>
      <c r="I98" s="177"/>
      <c r="J98" s="177"/>
      <c r="K98" s="177"/>
      <c r="L98" s="177"/>
      <c r="M98" s="177"/>
    </row>
    <row r="99" spans="1:13" ht="25.5">
      <c r="A99" s="139" t="s">
        <v>13</v>
      </c>
      <c r="B99" s="121">
        <f t="shared" si="25"/>
        <v>0</v>
      </c>
      <c r="C99" s="182">
        <f t="shared" si="26"/>
        <v>0</v>
      </c>
      <c r="D99" s="182">
        <f t="shared" si="27"/>
        <v>0</v>
      </c>
      <c r="E99" s="182">
        <v>0</v>
      </c>
      <c r="F99" s="182">
        <f t="shared" si="17"/>
        <v>0</v>
      </c>
      <c r="G99" s="177"/>
      <c r="H99" s="177"/>
      <c r="I99" s="177"/>
      <c r="J99" s="177"/>
      <c r="K99" s="177"/>
      <c r="L99" s="177"/>
      <c r="M99" s="177"/>
    </row>
    <row r="100" spans="1:13" ht="25.5">
      <c r="A100" s="139" t="s">
        <v>14</v>
      </c>
      <c r="B100" s="121">
        <f t="shared" si="25"/>
        <v>0</v>
      </c>
      <c r="C100" s="182">
        <f t="shared" si="26"/>
        <v>0</v>
      </c>
      <c r="D100" s="182">
        <f t="shared" si="27"/>
        <v>0</v>
      </c>
      <c r="E100" s="182">
        <v>0</v>
      </c>
      <c r="F100" s="182">
        <f t="shared" si="17"/>
        <v>0</v>
      </c>
      <c r="G100" s="177"/>
      <c r="H100" s="177"/>
      <c r="I100" s="177"/>
      <c r="J100" s="177"/>
      <c r="K100" s="177"/>
      <c r="L100" s="177"/>
      <c r="M100" s="177"/>
    </row>
    <row r="101" spans="1:13" ht="25.5">
      <c r="A101" s="139" t="s">
        <v>15</v>
      </c>
      <c r="B101" s="121">
        <f t="shared" si="25"/>
        <v>0</v>
      </c>
      <c r="C101" s="182">
        <f t="shared" si="26"/>
        <v>0</v>
      </c>
      <c r="D101" s="182">
        <f t="shared" si="27"/>
        <v>0</v>
      </c>
      <c r="E101" s="182">
        <v>0</v>
      </c>
      <c r="F101" s="182">
        <f t="shared" si="17"/>
        <v>0</v>
      </c>
      <c r="G101" s="177"/>
      <c r="H101" s="177"/>
      <c r="I101" s="177"/>
      <c r="J101" s="177"/>
      <c r="K101" s="177"/>
      <c r="L101" s="177"/>
      <c r="M101" s="177"/>
    </row>
    <row r="102" spans="1:13" ht="25.5">
      <c r="A102" s="139" t="s">
        <v>16</v>
      </c>
      <c r="B102" s="121">
        <f t="shared" si="25"/>
        <v>880</v>
      </c>
      <c r="C102" s="182">
        <f t="shared" si="26"/>
        <v>4834.455681818182</v>
      </c>
      <c r="D102" s="182">
        <f t="shared" si="27"/>
        <v>4254321</v>
      </c>
      <c r="E102" s="182">
        <f>F185</f>
        <v>1</v>
      </c>
      <c r="F102" s="222">
        <f t="shared" si="17"/>
        <v>4254321</v>
      </c>
      <c r="G102" s="177"/>
      <c r="H102" s="177"/>
      <c r="I102" s="177"/>
      <c r="J102" s="177"/>
      <c r="K102" s="177"/>
      <c r="L102" s="177"/>
      <c r="M102" s="177"/>
    </row>
    <row r="103" spans="1:13" ht="16.5">
      <c r="A103" s="184" t="s">
        <v>70</v>
      </c>
      <c r="B103" s="65">
        <f>B60</f>
        <v>880</v>
      </c>
      <c r="C103" s="189">
        <f>C194</f>
        <v>41.435227272727275</v>
      </c>
      <c r="D103" s="190">
        <f t="shared" si="27"/>
        <v>36463</v>
      </c>
      <c r="E103" s="180">
        <f>D194</f>
        <v>0.9094424485094479</v>
      </c>
      <c r="F103" s="180">
        <f t="shared" si="17"/>
        <v>33161</v>
      </c>
      <c r="G103" s="177"/>
      <c r="H103" s="177"/>
      <c r="I103" s="177"/>
      <c r="J103" s="177"/>
      <c r="K103" s="177"/>
      <c r="L103" s="177"/>
      <c r="M103" s="177"/>
    </row>
    <row r="104" spans="1:13" ht="25.5">
      <c r="A104" s="139" t="s">
        <v>12</v>
      </c>
      <c r="B104" s="121">
        <f aca="true" t="shared" si="28" ref="B104:B108">B98</f>
        <v>0</v>
      </c>
      <c r="C104" s="182">
        <v>0</v>
      </c>
      <c r="D104" s="182">
        <f t="shared" si="27"/>
        <v>0</v>
      </c>
      <c r="E104" s="182">
        <v>0</v>
      </c>
      <c r="F104" s="182">
        <f t="shared" si="17"/>
        <v>0</v>
      </c>
      <c r="G104" s="177"/>
      <c r="H104" s="177"/>
      <c r="I104" s="177"/>
      <c r="J104" s="177"/>
      <c r="K104" s="177"/>
      <c r="L104" s="177"/>
      <c r="M104" s="177"/>
    </row>
    <row r="105" spans="1:13" ht="25.5">
      <c r="A105" s="139" t="s">
        <v>13</v>
      </c>
      <c r="B105" s="121">
        <f t="shared" si="28"/>
        <v>0</v>
      </c>
      <c r="C105" s="182">
        <f aca="true" t="shared" si="29" ref="C105:C107">C104</f>
        <v>0</v>
      </c>
      <c r="D105" s="182">
        <f t="shared" si="27"/>
        <v>0</v>
      </c>
      <c r="E105" s="182">
        <f aca="true" t="shared" si="30" ref="E105:E107">E104</f>
        <v>0</v>
      </c>
      <c r="F105" s="182">
        <f t="shared" si="17"/>
        <v>0</v>
      </c>
      <c r="G105" s="177"/>
      <c r="H105" s="177"/>
      <c r="I105" s="177"/>
      <c r="J105" s="177"/>
      <c r="K105" s="177"/>
      <c r="L105" s="177"/>
      <c r="M105" s="177"/>
    </row>
    <row r="106" spans="1:13" ht="25.5">
      <c r="A106" s="139" t="s">
        <v>14</v>
      </c>
      <c r="B106" s="121">
        <f t="shared" si="28"/>
        <v>0</v>
      </c>
      <c r="C106" s="182">
        <f t="shared" si="29"/>
        <v>0</v>
      </c>
      <c r="D106" s="182">
        <f t="shared" si="27"/>
        <v>0</v>
      </c>
      <c r="E106" s="182">
        <f t="shared" si="30"/>
        <v>0</v>
      </c>
      <c r="F106" s="182">
        <f t="shared" si="17"/>
        <v>0</v>
      </c>
      <c r="G106" s="177"/>
      <c r="H106" s="177"/>
      <c r="I106" s="177"/>
      <c r="J106" s="177"/>
      <c r="K106" s="177"/>
      <c r="L106" s="177"/>
      <c r="M106" s="177"/>
    </row>
    <row r="107" spans="1:13" ht="25.5">
      <c r="A107" s="139" t="s">
        <v>15</v>
      </c>
      <c r="B107" s="121">
        <f t="shared" si="28"/>
        <v>0</v>
      </c>
      <c r="C107" s="182">
        <f t="shared" si="29"/>
        <v>0</v>
      </c>
      <c r="D107" s="182">
        <f t="shared" si="27"/>
        <v>0</v>
      </c>
      <c r="E107" s="182">
        <f t="shared" si="30"/>
        <v>0</v>
      </c>
      <c r="F107" s="182">
        <f t="shared" si="17"/>
        <v>0</v>
      </c>
      <c r="G107" s="177"/>
      <c r="H107" s="177"/>
      <c r="I107" s="177"/>
      <c r="J107" s="177"/>
      <c r="K107" s="177"/>
      <c r="L107" s="177"/>
      <c r="M107" s="177"/>
    </row>
    <row r="108" spans="1:13" ht="25.5">
      <c r="A108" s="139" t="s">
        <v>16</v>
      </c>
      <c r="B108" s="121">
        <f t="shared" si="28"/>
        <v>880</v>
      </c>
      <c r="C108" s="182">
        <f>C194</f>
        <v>41.435227272727275</v>
      </c>
      <c r="D108" s="182">
        <f t="shared" si="27"/>
        <v>36463</v>
      </c>
      <c r="E108" s="182">
        <f>D194</f>
        <v>0.9094424485094479</v>
      </c>
      <c r="F108" s="182">
        <f t="shared" si="17"/>
        <v>33161</v>
      </c>
      <c r="G108" s="181"/>
      <c r="H108" s="177"/>
      <c r="I108" s="177"/>
      <c r="J108" s="177"/>
      <c r="K108" s="177"/>
      <c r="L108" s="177"/>
      <c r="M108" s="177"/>
    </row>
    <row r="109" spans="1:13" ht="15.75">
      <c r="A109" s="191" t="s">
        <v>71</v>
      </c>
      <c r="B109" s="192">
        <f>B60</f>
        <v>880</v>
      </c>
      <c r="C109" s="193">
        <f>D109/B109</f>
        <v>9101.698863636364</v>
      </c>
      <c r="D109" s="193">
        <f>D110+D111+D112+D113+D114</f>
        <v>8009495</v>
      </c>
      <c r="E109" s="193">
        <f>F109/D109</f>
        <v>0.9505664214785077</v>
      </c>
      <c r="F109" s="224">
        <f>F79+F85+F91+F103+F97</f>
        <v>7613557</v>
      </c>
      <c r="G109" s="181">
        <f>F114+F113+F112+F111+F110</f>
        <v>7613557</v>
      </c>
      <c r="H109" s="177"/>
      <c r="I109" s="177"/>
      <c r="J109" s="177"/>
      <c r="K109" s="177"/>
      <c r="L109" s="177"/>
      <c r="M109" s="177"/>
    </row>
    <row r="110" spans="1:13" ht="25.5">
      <c r="A110" s="194" t="s">
        <v>12</v>
      </c>
      <c r="B110" s="122">
        <f aca="true" t="shared" si="31" ref="B110:B114">B104</f>
        <v>0</v>
      </c>
      <c r="C110" s="195">
        <v>0</v>
      </c>
      <c r="D110" s="195">
        <f aca="true" t="shared" si="32" ref="D110:D114">D80+D86+D92+D98+D104</f>
        <v>0</v>
      </c>
      <c r="E110" s="195">
        <v>0</v>
      </c>
      <c r="F110" s="195">
        <f aca="true" t="shared" si="33" ref="F110:F114">F80+F86+F92+F98+F104</f>
        <v>0</v>
      </c>
      <c r="G110" s="181"/>
      <c r="H110" s="177"/>
      <c r="I110" s="177"/>
      <c r="J110" s="177"/>
      <c r="K110" s="177"/>
      <c r="L110" s="177"/>
      <c r="M110" s="177"/>
    </row>
    <row r="111" spans="1:13" ht="25.5">
      <c r="A111" s="194" t="s">
        <v>13</v>
      </c>
      <c r="B111" s="122">
        <f t="shared" si="31"/>
        <v>0</v>
      </c>
      <c r="C111" s="195">
        <v>0</v>
      </c>
      <c r="D111" s="195">
        <f t="shared" si="32"/>
        <v>0</v>
      </c>
      <c r="E111" s="195">
        <v>0</v>
      </c>
      <c r="F111" s="195">
        <f t="shared" si="33"/>
        <v>0</v>
      </c>
      <c r="G111" s="177"/>
      <c r="H111" s="177"/>
      <c r="I111" s="177"/>
      <c r="J111" s="177"/>
      <c r="K111" s="177"/>
      <c r="L111" s="177"/>
      <c r="M111" s="177"/>
    </row>
    <row r="112" spans="1:13" ht="25.5">
      <c r="A112" s="194" t="s">
        <v>14</v>
      </c>
      <c r="B112" s="122">
        <f t="shared" si="31"/>
        <v>0</v>
      </c>
      <c r="C112" s="195">
        <v>0</v>
      </c>
      <c r="D112" s="195">
        <f t="shared" si="32"/>
        <v>0</v>
      </c>
      <c r="E112" s="195">
        <v>0</v>
      </c>
      <c r="F112" s="195">
        <f t="shared" si="33"/>
        <v>0</v>
      </c>
      <c r="G112" s="177"/>
      <c r="H112" s="177"/>
      <c r="I112" s="177"/>
      <c r="J112" s="177"/>
      <c r="K112" s="177"/>
      <c r="L112" s="177"/>
      <c r="M112" s="177"/>
    </row>
    <row r="113" spans="1:13" ht="25.5">
      <c r="A113" s="194" t="s">
        <v>15</v>
      </c>
      <c r="B113" s="122">
        <f t="shared" si="31"/>
        <v>0</v>
      </c>
      <c r="C113" s="195">
        <v>0</v>
      </c>
      <c r="D113" s="195">
        <f t="shared" si="32"/>
        <v>0</v>
      </c>
      <c r="E113" s="195">
        <v>0</v>
      </c>
      <c r="F113" s="195">
        <f t="shared" si="33"/>
        <v>0</v>
      </c>
      <c r="G113" s="177"/>
      <c r="H113" s="177"/>
      <c r="I113" s="177"/>
      <c r="J113" s="177"/>
      <c r="K113" s="177"/>
      <c r="L113" s="177"/>
      <c r="M113" s="177"/>
    </row>
    <row r="114" spans="1:13" ht="25.5">
      <c r="A114" s="194" t="s">
        <v>16</v>
      </c>
      <c r="B114" s="122">
        <f t="shared" si="31"/>
        <v>880</v>
      </c>
      <c r="C114" s="225">
        <f>D114/B114</f>
        <v>9101.698863636364</v>
      </c>
      <c r="D114" s="225">
        <f t="shared" si="32"/>
        <v>8009495</v>
      </c>
      <c r="E114" s="225">
        <f>F114/D114</f>
        <v>0.9505664214785077</v>
      </c>
      <c r="F114" s="226">
        <f t="shared" si="33"/>
        <v>7613557</v>
      </c>
      <c r="G114" s="177"/>
      <c r="H114" s="177"/>
      <c r="I114" s="177"/>
      <c r="J114" s="177"/>
      <c r="K114" s="177"/>
      <c r="L114" s="177"/>
      <c r="M114" s="177"/>
    </row>
    <row r="115" spans="1:13" ht="12.7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</row>
    <row r="116" spans="1:13" ht="27" customHeight="1">
      <c r="A116" s="171" t="s">
        <v>72</v>
      </c>
      <c r="B116" s="171"/>
      <c r="C116" s="171"/>
      <c r="D116" s="171"/>
      <c r="E116" s="171"/>
      <c r="F116" s="172">
        <f>E109</f>
        <v>0.9505664214785077</v>
      </c>
      <c r="G116" s="173"/>
      <c r="H116" s="150"/>
      <c r="I116" s="150"/>
      <c r="J116" s="150"/>
      <c r="K116" s="150"/>
      <c r="L116" s="150"/>
      <c r="M116" s="150"/>
    </row>
    <row r="117" spans="1:13" ht="12.7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</row>
    <row r="118" spans="1:7" ht="16.5">
      <c r="A118" s="150" t="s">
        <v>73</v>
      </c>
      <c r="B118" s="150"/>
      <c r="C118" s="150"/>
      <c r="D118" s="150"/>
      <c r="E118" s="150"/>
      <c r="F118" s="150"/>
      <c r="G118" s="150"/>
    </row>
    <row r="119" spans="1:7" ht="12.75">
      <c r="A119" s="150"/>
      <c r="B119" s="150"/>
      <c r="C119" s="150"/>
      <c r="D119" s="150"/>
      <c r="E119" s="150"/>
      <c r="F119" s="150"/>
      <c r="G119" s="150"/>
    </row>
    <row r="120" spans="1:7" ht="76.5">
      <c r="A120" s="135" t="s">
        <v>74</v>
      </c>
      <c r="B120" s="135" t="s">
        <v>75</v>
      </c>
      <c r="C120" s="135" t="s">
        <v>76</v>
      </c>
      <c r="D120" s="135" t="s">
        <v>77</v>
      </c>
      <c r="E120" s="135" t="s">
        <v>78</v>
      </c>
      <c r="F120" s="135" t="s">
        <v>64</v>
      </c>
      <c r="G120" s="135" t="s">
        <v>48</v>
      </c>
    </row>
    <row r="121" spans="1:7" ht="25.5">
      <c r="A121" s="81" t="s">
        <v>79</v>
      </c>
      <c r="B121" s="82" t="s">
        <v>80</v>
      </c>
      <c r="C121" s="196">
        <f>87.2/2</f>
        <v>43.6</v>
      </c>
      <c r="D121" s="196">
        <f>E121/C121</f>
        <v>12322.568807339449</v>
      </c>
      <c r="E121" s="196">
        <f>1074528/2</f>
        <v>537264</v>
      </c>
      <c r="F121" s="196">
        <f aca="true" t="shared" si="34" ref="F121:F124">E121/$B$60</f>
        <v>610.5272727272727</v>
      </c>
      <c r="G121" s="196">
        <f>(877328/2/E121)</f>
        <v>0.8164775603799994</v>
      </c>
    </row>
    <row r="122" spans="1:7" ht="12.75">
      <c r="A122" s="81" t="s">
        <v>81</v>
      </c>
      <c r="B122" s="82" t="s">
        <v>82</v>
      </c>
      <c r="C122" s="196">
        <v>0</v>
      </c>
      <c r="D122" s="196">
        <v>0</v>
      </c>
      <c r="E122" s="196">
        <v>0</v>
      </c>
      <c r="F122" s="196">
        <f t="shared" si="34"/>
        <v>0</v>
      </c>
      <c r="G122" s="196">
        <v>0</v>
      </c>
    </row>
    <row r="123" spans="1:7" ht="25.5">
      <c r="A123" s="81" t="s">
        <v>83</v>
      </c>
      <c r="B123" s="82" t="s">
        <v>84</v>
      </c>
      <c r="C123" s="196">
        <f>38800*90%</f>
        <v>34920</v>
      </c>
      <c r="D123" s="196">
        <f aca="true" t="shared" si="35" ref="D123:D124">E123/C123</f>
        <v>10.521649484536082</v>
      </c>
      <c r="E123" s="196">
        <f>408240*90%</f>
        <v>367416</v>
      </c>
      <c r="F123" s="196">
        <f t="shared" si="34"/>
        <v>417.5181818181818</v>
      </c>
      <c r="G123" s="196">
        <f>(408240*90%/E123)</f>
        <v>1</v>
      </c>
    </row>
    <row r="124" spans="1:7" ht="12.75">
      <c r="A124" s="81" t="s">
        <v>85</v>
      </c>
      <c r="B124" s="82" t="s">
        <v>82</v>
      </c>
      <c r="C124" s="196">
        <f>613+60</f>
        <v>673</v>
      </c>
      <c r="D124" s="196">
        <f t="shared" si="35"/>
        <v>116.16047548291233</v>
      </c>
      <c r="E124" s="196">
        <v>78176</v>
      </c>
      <c r="F124" s="196">
        <f t="shared" si="34"/>
        <v>88.83636363636364</v>
      </c>
      <c r="G124" s="196">
        <f>(78176/E124)</f>
        <v>1</v>
      </c>
    </row>
    <row r="125" spans="1:7" ht="12.75">
      <c r="A125" s="83" t="s">
        <v>17</v>
      </c>
      <c r="B125" s="84"/>
      <c r="C125" s="59"/>
      <c r="D125" s="59"/>
      <c r="E125" s="59">
        <f>E121+E122+E123+E124</f>
        <v>982856</v>
      </c>
      <c r="F125" s="59">
        <f>F121+F122+F123+F124</f>
        <v>1116.881818181818</v>
      </c>
      <c r="G125" s="59">
        <f>(877328/2+408240*90%+78176)/E125</f>
        <v>0.8996801159071115</v>
      </c>
    </row>
    <row r="126" spans="1:7" ht="12.75">
      <c r="A126" s="29"/>
      <c r="B126" s="29"/>
      <c r="C126" s="29"/>
      <c r="D126" s="29"/>
      <c r="E126" s="29"/>
      <c r="F126" s="29"/>
      <c r="G126" s="150"/>
    </row>
    <row r="127" spans="1:7" ht="27.75" customHeight="1">
      <c r="A127" s="49" t="s">
        <v>147</v>
      </c>
      <c r="B127" s="49"/>
      <c r="C127" s="49"/>
      <c r="D127" s="49"/>
      <c r="E127" s="49"/>
      <c r="F127" s="49"/>
      <c r="G127" s="172">
        <f>G125</f>
        <v>0.8996801159071115</v>
      </c>
    </row>
    <row r="128" spans="1:7" ht="12.75">
      <c r="A128" s="29"/>
      <c r="B128" s="29"/>
      <c r="C128" s="29"/>
      <c r="D128" s="29"/>
      <c r="E128" s="29"/>
      <c r="F128" s="29"/>
      <c r="G128" s="150"/>
    </row>
    <row r="129" spans="1:7" ht="15.75">
      <c r="A129" s="29" t="s">
        <v>87</v>
      </c>
      <c r="B129" s="29"/>
      <c r="C129" s="29"/>
      <c r="D129" s="29"/>
      <c r="E129" s="29"/>
      <c r="F129" s="29"/>
      <c r="G129" s="150"/>
    </row>
    <row r="130" spans="1:7" ht="12.75">
      <c r="A130" s="29"/>
      <c r="B130" s="29"/>
      <c r="C130" s="29"/>
      <c r="D130" s="29"/>
      <c r="E130" s="29"/>
      <c r="F130" s="29"/>
      <c r="G130" s="150"/>
    </row>
    <row r="131" spans="1:7" ht="76.5">
      <c r="A131" s="9" t="s">
        <v>74</v>
      </c>
      <c r="B131" s="9" t="s">
        <v>75</v>
      </c>
      <c r="C131" s="9" t="s">
        <v>88</v>
      </c>
      <c r="D131" s="9" t="s">
        <v>89</v>
      </c>
      <c r="E131" s="9" t="s">
        <v>78</v>
      </c>
      <c r="F131" s="9" t="s">
        <v>64</v>
      </c>
      <c r="G131" s="135" t="s">
        <v>48</v>
      </c>
    </row>
    <row r="132" spans="1:7" ht="38.25">
      <c r="A132" s="81" t="s">
        <v>90</v>
      </c>
      <c r="B132" s="85"/>
      <c r="C132" s="196"/>
      <c r="D132" s="196"/>
      <c r="E132" s="196">
        <f>55451</f>
        <v>55451</v>
      </c>
      <c r="F132" s="196">
        <f aca="true" t="shared" si="36" ref="F132:F139">E132/$B$60</f>
        <v>63.0125</v>
      </c>
      <c r="G132" s="196">
        <f>(50429/E132)</f>
        <v>0.9094335539485311</v>
      </c>
    </row>
    <row r="133" spans="1:7" ht="12.75">
      <c r="A133" s="81" t="s">
        <v>155</v>
      </c>
      <c r="B133" s="85"/>
      <c r="C133" s="196"/>
      <c r="D133" s="196" t="e">
        <f>E133/C133</f>
        <v>#DIV/0!</v>
      </c>
      <c r="E133" s="196">
        <v>0</v>
      </c>
      <c r="F133" s="196">
        <f t="shared" si="36"/>
        <v>0</v>
      </c>
      <c r="G133" s="196" t="e">
        <f>(0/E133)</f>
        <v>#DIV/0!</v>
      </c>
    </row>
    <row r="134" spans="1:7" ht="19.5" customHeight="1">
      <c r="A134" s="81" t="s">
        <v>149</v>
      </c>
      <c r="B134" s="85"/>
      <c r="C134" s="196"/>
      <c r="D134" s="196"/>
      <c r="E134" s="196">
        <f>1494720+68508</f>
        <v>1563228</v>
      </c>
      <c r="F134" s="196">
        <f t="shared" si="36"/>
        <v>1776.3954545454546</v>
      </c>
      <c r="G134" s="227">
        <f>(1359338+62303)/E134</f>
        <v>0.9094265199958036</v>
      </c>
    </row>
    <row r="135" spans="1:7" ht="25.5">
      <c r="A135" s="81" t="s">
        <v>79</v>
      </c>
      <c r="B135" s="82" t="s">
        <v>80</v>
      </c>
      <c r="C135" s="196">
        <f>87.2/2</f>
        <v>43.6</v>
      </c>
      <c r="D135" s="196">
        <f>E135/C135</f>
        <v>12322.568807339449</v>
      </c>
      <c r="E135" s="196">
        <f>1074528/2</f>
        <v>537264</v>
      </c>
      <c r="F135" s="196">
        <f t="shared" si="36"/>
        <v>610.5272727272727</v>
      </c>
      <c r="G135" s="196">
        <f>(877328/2/E135)</f>
        <v>0.8164775603799994</v>
      </c>
    </row>
    <row r="136" spans="1:7" ht="12.75">
      <c r="A136" s="81" t="s">
        <v>81</v>
      </c>
      <c r="B136" s="82" t="s">
        <v>82</v>
      </c>
      <c r="C136" s="196">
        <v>0</v>
      </c>
      <c r="D136" s="196">
        <v>0</v>
      </c>
      <c r="E136" s="196">
        <v>0</v>
      </c>
      <c r="F136" s="196">
        <f t="shared" si="36"/>
        <v>0</v>
      </c>
      <c r="G136" s="196">
        <v>0</v>
      </c>
    </row>
    <row r="137" spans="1:7" ht="25.5">
      <c r="A137" s="81" t="s">
        <v>83</v>
      </c>
      <c r="B137" s="82" t="s">
        <v>84</v>
      </c>
      <c r="C137" s="196">
        <f>38800*10%</f>
        <v>3880</v>
      </c>
      <c r="D137" s="196">
        <f>E137/C137</f>
        <v>10.521649484536082</v>
      </c>
      <c r="E137" s="196">
        <f>408240*10%</f>
        <v>40824</v>
      </c>
      <c r="F137" s="196">
        <f t="shared" si="36"/>
        <v>46.39090909090909</v>
      </c>
      <c r="G137" s="196">
        <f>(408240*10%/E137)</f>
        <v>1</v>
      </c>
    </row>
    <row r="138" spans="1:7" ht="12.75">
      <c r="A138" s="81" t="s">
        <v>93</v>
      </c>
      <c r="B138" s="85"/>
      <c r="C138" s="196"/>
      <c r="D138" s="196"/>
      <c r="E138" s="196">
        <v>7852</v>
      </c>
      <c r="F138" s="196">
        <f t="shared" si="36"/>
        <v>8.922727272727272</v>
      </c>
      <c r="G138" s="196">
        <f>7141/E138</f>
        <v>0.9094498217014774</v>
      </c>
    </row>
    <row r="139" spans="1:7" ht="12.75">
      <c r="A139" s="81" t="s">
        <v>94</v>
      </c>
      <c r="B139" s="85"/>
      <c r="C139" s="196"/>
      <c r="D139" s="196"/>
      <c r="E139" s="196">
        <v>495096</v>
      </c>
      <c r="F139" s="196">
        <f t="shared" si="36"/>
        <v>562.6090909090909</v>
      </c>
      <c r="G139" s="196">
        <f>450253/E139</f>
        <v>0.9094256467432579</v>
      </c>
    </row>
    <row r="140" spans="1:7" ht="12.75">
      <c r="A140" s="83" t="s">
        <v>17</v>
      </c>
      <c r="B140" s="86"/>
      <c r="C140" s="59"/>
      <c r="D140" s="59"/>
      <c r="E140" s="59">
        <f>SUM(E132:E139)</f>
        <v>2699715</v>
      </c>
      <c r="F140" s="59">
        <f>SUM(F132:F139)</f>
        <v>3067.8579545454545</v>
      </c>
      <c r="G140" s="59">
        <f>(62303+50429+1359338+877328/2+408240*10%+7141+450253)/E140</f>
        <v>0.8922986315222162</v>
      </c>
    </row>
    <row r="141" spans="1:7" ht="12.75">
      <c r="A141" s="29"/>
      <c r="B141" s="29"/>
      <c r="C141" s="29"/>
      <c r="D141" s="29"/>
      <c r="E141" s="29"/>
      <c r="F141" s="29"/>
      <c r="G141" s="150"/>
    </row>
    <row r="142" spans="1:7" ht="15" customHeight="1">
      <c r="A142" s="197" t="s">
        <v>150</v>
      </c>
      <c r="B142" s="197"/>
      <c r="C142" s="197"/>
      <c r="D142" s="197"/>
      <c r="E142" s="197"/>
      <c r="F142" s="197"/>
      <c r="G142" s="172">
        <f>G140</f>
        <v>0.8922986315222162</v>
      </c>
    </row>
    <row r="143" spans="1:7" ht="15.75" customHeight="1">
      <c r="A143" s="87"/>
      <c r="B143" s="87"/>
      <c r="C143" s="87"/>
      <c r="D143" s="87"/>
      <c r="E143" s="87"/>
      <c r="F143" s="87"/>
      <c r="G143" s="228"/>
    </row>
    <row r="144" spans="1:7" ht="15.75" customHeight="1">
      <c r="A144" s="29" t="s">
        <v>96</v>
      </c>
      <c r="B144" s="87"/>
      <c r="C144" s="87"/>
      <c r="D144" s="87"/>
      <c r="E144" s="87"/>
      <c r="F144" s="87"/>
      <c r="G144" s="228"/>
    </row>
    <row r="146" spans="1:7" ht="76.5">
      <c r="A146" s="229" t="s">
        <v>97</v>
      </c>
      <c r="B146" s="230" t="s">
        <v>98</v>
      </c>
      <c r="C146" s="135" t="s">
        <v>89</v>
      </c>
      <c r="D146" s="230" t="s">
        <v>99</v>
      </c>
      <c r="E146" s="89" t="s">
        <v>100</v>
      </c>
      <c r="F146" s="135" t="s">
        <v>64</v>
      </c>
      <c r="G146" s="135" t="s">
        <v>48</v>
      </c>
    </row>
    <row r="147" spans="1:7" ht="12.75">
      <c r="A147" s="90" t="s">
        <v>101</v>
      </c>
      <c r="B147" s="88">
        <v>1</v>
      </c>
      <c r="C147" s="199">
        <f aca="true" t="shared" si="37" ref="C147:C148">E147/D147/B147</f>
        <v>276.6666666666667</v>
      </c>
      <c r="D147" s="92">
        <v>12</v>
      </c>
      <c r="E147" s="200">
        <v>3320</v>
      </c>
      <c r="F147" s="196">
        <f aca="true" t="shared" si="38" ref="F147:F149">E147/$B$60</f>
        <v>3.772727272727273</v>
      </c>
      <c r="G147" s="196">
        <f>(7207/E147)</f>
        <v>2.1707831325301203</v>
      </c>
    </row>
    <row r="148" spans="1:7" ht="12.75">
      <c r="A148" s="90" t="s">
        <v>102</v>
      </c>
      <c r="B148" s="89">
        <v>1</v>
      </c>
      <c r="C148" s="199">
        <f t="shared" si="37"/>
        <v>640</v>
      </c>
      <c r="D148" s="92">
        <v>12</v>
      </c>
      <c r="E148" s="200">
        <v>7680</v>
      </c>
      <c r="F148" s="196">
        <f t="shared" si="38"/>
        <v>8.727272727272727</v>
      </c>
      <c r="G148" s="196">
        <f>(0/E148)</f>
        <v>0</v>
      </c>
    </row>
    <row r="149" spans="1:7" ht="12.75">
      <c r="A149" s="90" t="s">
        <v>103</v>
      </c>
      <c r="B149" s="88"/>
      <c r="C149" s="88"/>
      <c r="D149" s="92"/>
      <c r="E149" s="200">
        <v>25140</v>
      </c>
      <c r="F149" s="196">
        <f t="shared" si="38"/>
        <v>28.568181818181817</v>
      </c>
      <c r="G149" s="196">
        <f>(25660/E149)</f>
        <v>1.020684168655529</v>
      </c>
    </row>
    <row r="150" spans="1:7" ht="12.75">
      <c r="A150" s="94" t="s">
        <v>104</v>
      </c>
      <c r="B150" s="95"/>
      <c r="C150" s="95"/>
      <c r="D150" s="95"/>
      <c r="E150" s="58">
        <f>E147+E148+E149</f>
        <v>36140</v>
      </c>
      <c r="F150" s="59">
        <f>F147+F148+F149</f>
        <v>41.06818181818181</v>
      </c>
      <c r="G150" s="59">
        <f>32867/E150</f>
        <v>0.9094355285002766</v>
      </c>
    </row>
    <row r="151" ht="12.75">
      <c r="E151" s="231"/>
    </row>
    <row r="152" spans="1:7" ht="12.75">
      <c r="A152" s="205" t="s">
        <v>156</v>
      </c>
      <c r="B152" s="205"/>
      <c r="C152" s="205"/>
      <c r="D152" s="205"/>
      <c r="E152" s="205"/>
      <c r="F152" s="205"/>
      <c r="G152" s="232">
        <f>G150</f>
        <v>0.9094355285002766</v>
      </c>
    </row>
    <row r="154" spans="1:13" ht="12.75" customHeight="1">
      <c r="A154" s="133" t="s">
        <v>106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6" spans="1:7" ht="43.5" customHeight="1">
      <c r="A156" s="133" t="s">
        <v>107</v>
      </c>
      <c r="B156" s="133"/>
      <c r="C156" s="133"/>
      <c r="D156" s="133"/>
      <c r="E156" s="133"/>
      <c r="F156" s="133"/>
      <c r="G156" s="133"/>
    </row>
    <row r="157" spans="1:7" ht="12.75">
      <c r="A157" s="150"/>
      <c r="B157" s="150"/>
      <c r="C157" s="150"/>
      <c r="D157" s="150"/>
      <c r="E157" s="150"/>
      <c r="F157" s="150"/>
      <c r="G157" s="150"/>
    </row>
    <row r="158" spans="1:7" ht="12.75">
      <c r="A158" s="150" t="s">
        <v>108</v>
      </c>
      <c r="B158" s="150"/>
      <c r="C158" s="150"/>
      <c r="D158" s="150"/>
      <c r="E158" s="150"/>
      <c r="F158" s="150"/>
      <c r="G158" s="150"/>
    </row>
    <row r="159" spans="1:7" ht="12.75">
      <c r="A159" s="150"/>
      <c r="B159" s="150"/>
      <c r="C159" s="150"/>
      <c r="D159" s="150"/>
      <c r="E159" s="150"/>
      <c r="F159" s="150"/>
      <c r="G159" s="150"/>
    </row>
    <row r="160" spans="1:7" ht="15.75">
      <c r="A160" s="176" t="s">
        <v>109</v>
      </c>
      <c r="B160" s="201" t="s">
        <v>110</v>
      </c>
      <c r="C160" s="201"/>
      <c r="D160" s="150"/>
      <c r="E160" s="150"/>
      <c r="F160" s="150"/>
      <c r="G160" s="150"/>
    </row>
    <row r="161" spans="1:7" ht="15.75">
      <c r="A161" s="176"/>
      <c r="B161" s="202" t="s">
        <v>111</v>
      </c>
      <c r="C161" s="202"/>
      <c r="D161" s="150"/>
      <c r="E161" s="150"/>
      <c r="F161" s="150"/>
      <c r="G161" s="150"/>
    </row>
    <row r="162" spans="1:7" ht="12.75">
      <c r="A162" s="203"/>
      <c r="B162" s="176"/>
      <c r="C162" s="176"/>
      <c r="D162" s="150"/>
      <c r="E162" s="150"/>
      <c r="F162" s="150"/>
      <c r="G162" s="150"/>
    </row>
    <row r="163" spans="1:7" ht="15.75" customHeight="1">
      <c r="A163" s="204" t="s">
        <v>112</v>
      </c>
      <c r="B163" s="176"/>
      <c r="C163" s="176"/>
      <c r="D163" s="150"/>
      <c r="E163" s="150"/>
      <c r="F163" s="150"/>
      <c r="G163" s="150"/>
    </row>
    <row r="164" spans="1:7" ht="12.75">
      <c r="A164" s="203"/>
      <c r="B164" s="176"/>
      <c r="C164" s="176"/>
      <c r="D164" s="150"/>
      <c r="E164" s="150"/>
      <c r="F164" s="150"/>
      <c r="G164" s="150"/>
    </row>
    <row r="165" spans="1:7" ht="15.75">
      <c r="A165" s="205" t="s">
        <v>113</v>
      </c>
      <c r="B165" s="205"/>
      <c r="C165" s="205"/>
      <c r="D165" s="205"/>
      <c r="E165" s="205"/>
      <c r="F165" s="205"/>
      <c r="G165" s="205"/>
    </row>
    <row r="166" spans="1:7" ht="12.75">
      <c r="A166" s="203"/>
      <c r="B166" s="176"/>
      <c r="C166" s="176"/>
      <c r="D166" s="150"/>
      <c r="E166" s="150"/>
      <c r="F166" s="150"/>
      <c r="G166" s="150"/>
    </row>
    <row r="167" spans="1:7" ht="15.75">
      <c r="A167" s="205" t="s">
        <v>114</v>
      </c>
      <c r="B167" s="205"/>
      <c r="C167" s="205"/>
      <c r="D167" s="205"/>
      <c r="E167" s="205"/>
      <c r="F167" s="205"/>
      <c r="G167" s="205"/>
    </row>
    <row r="168" spans="1:7" ht="12.75">
      <c r="A168" s="203"/>
      <c r="B168" s="176"/>
      <c r="C168" s="176"/>
      <c r="D168" s="150"/>
      <c r="E168" s="150"/>
      <c r="F168" s="150"/>
      <c r="G168" s="150"/>
    </row>
    <row r="169" spans="1:7" ht="33" customHeight="1">
      <c r="A169" s="171" t="s">
        <v>115</v>
      </c>
      <c r="B169" s="171"/>
      <c r="C169" s="171"/>
      <c r="D169" s="171"/>
      <c r="E169" s="171"/>
      <c r="F169" s="171"/>
      <c r="G169" s="171"/>
    </row>
    <row r="170" spans="1:7" ht="12.75">
      <c r="A170" s="203"/>
      <c r="B170" s="176"/>
      <c r="C170" s="176"/>
      <c r="D170" s="150"/>
      <c r="E170" s="150"/>
      <c r="F170" s="150"/>
      <c r="G170" s="150"/>
    </row>
    <row r="171" spans="1:10" ht="168.75">
      <c r="A171" s="135" t="s">
        <v>116</v>
      </c>
      <c r="B171" s="135" t="s">
        <v>117</v>
      </c>
      <c r="C171" s="135" t="s">
        <v>118</v>
      </c>
      <c r="D171" s="135" t="s">
        <v>119</v>
      </c>
      <c r="E171" s="135" t="s">
        <v>120</v>
      </c>
      <c r="F171" s="136"/>
      <c r="G171" s="138"/>
      <c r="H171" s="206"/>
      <c r="I171" s="206"/>
      <c r="J171" s="206"/>
    </row>
    <row r="172" spans="1:7" ht="12.75">
      <c r="A172" s="128">
        <f>G172*12%</f>
        <v>2042074.0799999998</v>
      </c>
      <c r="B172" s="128">
        <f>G172*4%</f>
        <v>680691.36</v>
      </c>
      <c r="C172" s="128">
        <f>G172*9%</f>
        <v>1531555.56</v>
      </c>
      <c r="D172" s="233">
        <f>N60</f>
        <v>25043813.759999998</v>
      </c>
      <c r="E172" s="128">
        <f>(A172+B172+C172)/D172</f>
        <v>0.16987512528123833</v>
      </c>
      <c r="F172" s="103"/>
      <c r="G172" s="150">
        <f>13070111+3947173</f>
        <v>17017284</v>
      </c>
    </row>
    <row r="173" spans="1:7" ht="12.75">
      <c r="A173" s="29"/>
      <c r="B173" s="29"/>
      <c r="C173" s="29"/>
      <c r="D173" s="29"/>
      <c r="E173" s="29"/>
      <c r="F173" s="29"/>
      <c r="G173" s="150"/>
    </row>
    <row r="174" spans="1:7" ht="42.75" customHeight="1">
      <c r="A174" s="7" t="s">
        <v>121</v>
      </c>
      <c r="B174" s="7"/>
      <c r="C174" s="7"/>
      <c r="D174" s="7"/>
      <c r="E174" s="234">
        <f>E172</f>
        <v>0.16987512528123833</v>
      </c>
      <c r="F174" s="67"/>
      <c r="G174" s="188"/>
    </row>
    <row r="175" spans="1:7" ht="12.75">
      <c r="A175" s="29" t="s">
        <v>122</v>
      </c>
      <c r="B175" s="29"/>
      <c r="C175" s="29"/>
      <c r="D175" s="29"/>
      <c r="E175" s="105"/>
      <c r="F175" s="29"/>
      <c r="G175" s="150"/>
    </row>
    <row r="176" spans="1:7" ht="12.75">
      <c r="A176" s="29"/>
      <c r="B176" s="29"/>
      <c r="C176" s="29"/>
      <c r="D176" s="29"/>
      <c r="E176" s="105"/>
      <c r="F176" s="29"/>
      <c r="G176" s="150"/>
    </row>
    <row r="177" spans="1:13" ht="19.5" customHeight="1">
      <c r="A177" s="10" t="s">
        <v>123</v>
      </c>
      <c r="B177" s="10"/>
      <c r="C177" s="10"/>
      <c r="D177" s="10"/>
      <c r="E177" s="10"/>
      <c r="F177" s="67"/>
      <c r="G177" s="188"/>
      <c r="H177" s="188"/>
      <c r="I177" s="188"/>
      <c r="J177" s="188"/>
      <c r="K177" s="188"/>
      <c r="L177" s="188"/>
      <c r="M177" s="188"/>
    </row>
    <row r="178" spans="1:7" ht="12.75">
      <c r="A178" s="29"/>
      <c r="B178" s="29"/>
      <c r="C178" s="29"/>
      <c r="D178" s="29"/>
      <c r="E178" s="29"/>
      <c r="F178" s="29"/>
      <c r="G178" s="150"/>
    </row>
    <row r="179" spans="1:7" ht="105">
      <c r="A179" s="9" t="s">
        <v>5</v>
      </c>
      <c r="B179" s="32" t="s">
        <v>124</v>
      </c>
      <c r="C179" s="32" t="s">
        <v>125</v>
      </c>
      <c r="D179" s="32" t="s">
        <v>126</v>
      </c>
      <c r="E179" s="32" t="s">
        <v>127</v>
      </c>
      <c r="F179" s="9" t="s">
        <v>48</v>
      </c>
      <c r="G179" s="135" t="s">
        <v>128</v>
      </c>
    </row>
    <row r="180" spans="1:7" ht="25.5">
      <c r="A180" s="13" t="s">
        <v>12</v>
      </c>
      <c r="B180" s="106">
        <f aca="true" t="shared" si="39" ref="B180:B185">M55</f>
        <v>0</v>
      </c>
      <c r="C180" s="106">
        <f>E172</f>
        <v>0.16987512528123833</v>
      </c>
      <c r="D180" s="106">
        <f aca="true" t="shared" si="40" ref="D180:D184">B180*C180</f>
        <v>0</v>
      </c>
      <c r="E180" s="106">
        <f aca="true" t="shared" si="41" ref="E180:E184">D180*B55</f>
        <v>0</v>
      </c>
      <c r="F180" s="106">
        <v>1</v>
      </c>
      <c r="G180" s="208">
        <f aca="true" t="shared" si="42" ref="G180:G184">E180*F180</f>
        <v>0</v>
      </c>
    </row>
    <row r="181" spans="1:7" ht="25.5">
      <c r="A181" s="13" t="s">
        <v>13</v>
      </c>
      <c r="B181" s="106">
        <f t="shared" si="39"/>
        <v>0</v>
      </c>
      <c r="C181" s="106">
        <f aca="true" t="shared" si="43" ref="C181:C184">C180</f>
        <v>0.16987512528123833</v>
      </c>
      <c r="D181" s="106">
        <f t="shared" si="40"/>
        <v>0</v>
      </c>
      <c r="E181" s="106">
        <f t="shared" si="41"/>
        <v>0</v>
      </c>
      <c r="F181" s="106">
        <v>1</v>
      </c>
      <c r="G181" s="208">
        <f t="shared" si="42"/>
        <v>0</v>
      </c>
    </row>
    <row r="182" spans="1:7" ht="25.5">
      <c r="A182" s="13" t="s">
        <v>14</v>
      </c>
      <c r="B182" s="106">
        <f t="shared" si="39"/>
        <v>0</v>
      </c>
      <c r="C182" s="106">
        <f t="shared" si="43"/>
        <v>0.16987512528123833</v>
      </c>
      <c r="D182" s="106">
        <f t="shared" si="40"/>
        <v>0</v>
      </c>
      <c r="E182" s="106">
        <f t="shared" si="41"/>
        <v>0</v>
      </c>
      <c r="F182" s="106">
        <v>1</v>
      </c>
      <c r="G182" s="208">
        <f t="shared" si="42"/>
        <v>0</v>
      </c>
    </row>
    <row r="183" spans="1:7" ht="25.5">
      <c r="A183" s="13" t="s">
        <v>15</v>
      </c>
      <c r="B183" s="106">
        <f t="shared" si="39"/>
        <v>0</v>
      </c>
      <c r="C183" s="106">
        <f t="shared" si="43"/>
        <v>0.16987512528123833</v>
      </c>
      <c r="D183" s="106">
        <f t="shared" si="40"/>
        <v>0</v>
      </c>
      <c r="E183" s="106">
        <f t="shared" si="41"/>
        <v>0</v>
      </c>
      <c r="F183" s="106">
        <v>1</v>
      </c>
      <c r="G183" s="208">
        <f t="shared" si="42"/>
        <v>0</v>
      </c>
    </row>
    <row r="184" spans="1:7" ht="25.5">
      <c r="A184" s="13" t="s">
        <v>16</v>
      </c>
      <c r="B184" s="106">
        <f t="shared" si="39"/>
        <v>28458.87927272727</v>
      </c>
      <c r="C184" s="106">
        <f t="shared" si="43"/>
        <v>0.16987512528123833</v>
      </c>
      <c r="D184" s="106">
        <f t="shared" si="40"/>
        <v>4834.455681818182</v>
      </c>
      <c r="E184" s="106">
        <f t="shared" si="41"/>
        <v>4254321</v>
      </c>
      <c r="F184" s="106">
        <v>1</v>
      </c>
      <c r="G184" s="235">
        <f t="shared" si="42"/>
        <v>4254321</v>
      </c>
    </row>
    <row r="185" spans="1:7" ht="31.5" customHeight="1">
      <c r="A185" s="107" t="s">
        <v>17</v>
      </c>
      <c r="B185" s="108">
        <f t="shared" si="39"/>
        <v>28458.87927272727</v>
      </c>
      <c r="C185" s="32"/>
      <c r="D185" s="108">
        <f>E185/B60</f>
        <v>4834.455681818182</v>
      </c>
      <c r="E185" s="108">
        <f>SUM(E180:E184)</f>
        <v>4254321</v>
      </c>
      <c r="F185" s="108">
        <v>1</v>
      </c>
      <c r="G185" s="236">
        <f>SUM(G180:G184)</f>
        <v>4254321</v>
      </c>
    </row>
    <row r="186" spans="1:7" ht="12.75">
      <c r="A186" s="29"/>
      <c r="B186" s="29"/>
      <c r="C186" s="29"/>
      <c r="D186" s="29"/>
      <c r="E186" s="29"/>
      <c r="F186" s="29"/>
      <c r="G186" s="150"/>
    </row>
    <row r="187" spans="1:7" ht="12.75">
      <c r="A187" s="29" t="s">
        <v>129</v>
      </c>
      <c r="B187" s="29"/>
      <c r="C187" s="29"/>
      <c r="D187" s="29"/>
      <c r="E187" s="29"/>
      <c r="F187" s="29"/>
      <c r="G187" s="150"/>
    </row>
    <row r="188" spans="1:7" ht="12.75">
      <c r="A188" s="29"/>
      <c r="B188" s="29"/>
      <c r="C188" s="29"/>
      <c r="D188" s="29"/>
      <c r="E188" s="29"/>
      <c r="F188" s="29"/>
      <c r="G188" s="150"/>
    </row>
    <row r="189" spans="1:7" ht="16.5">
      <c r="A189" s="29" t="s">
        <v>130</v>
      </c>
      <c r="B189" s="29"/>
      <c r="C189" s="29"/>
      <c r="D189" s="29"/>
      <c r="E189" s="29"/>
      <c r="F189" s="29"/>
      <c r="G189" s="150"/>
    </row>
    <row r="190" spans="1:7" ht="12.75">
      <c r="A190" s="29"/>
      <c r="B190" s="29"/>
      <c r="C190" s="29"/>
      <c r="D190" s="29"/>
      <c r="E190" s="29"/>
      <c r="F190" s="29"/>
      <c r="G190" s="150"/>
    </row>
    <row r="191" spans="1:7" ht="63.75">
      <c r="A191" s="9" t="s">
        <v>74</v>
      </c>
      <c r="B191" s="9" t="s">
        <v>78</v>
      </c>
      <c r="C191" s="9" t="s">
        <v>64</v>
      </c>
      <c r="D191" s="9" t="s">
        <v>48</v>
      </c>
      <c r="E191" s="10"/>
      <c r="F191" s="10"/>
      <c r="G191" s="136"/>
    </row>
    <row r="192" spans="1:7" ht="38.25">
      <c r="A192" s="81" t="s">
        <v>131</v>
      </c>
      <c r="B192" s="212">
        <v>324</v>
      </c>
      <c r="C192" s="196">
        <f aca="true" t="shared" si="44" ref="C192:C193">B192/$B$60</f>
        <v>0.36818181818181817</v>
      </c>
      <c r="D192" s="196">
        <f>295/B192</f>
        <v>0.9104938271604939</v>
      </c>
      <c r="E192" s="109"/>
      <c r="F192" s="110"/>
      <c r="G192" s="214"/>
    </row>
    <row r="193" spans="1:7" ht="16.5" customHeight="1">
      <c r="A193" s="81" t="s">
        <v>132</v>
      </c>
      <c r="B193" s="212">
        <f>17455+18684</f>
        <v>36139</v>
      </c>
      <c r="C193" s="196">
        <f t="shared" si="44"/>
        <v>41.06704545454546</v>
      </c>
      <c r="D193" s="196">
        <f>(15874+16992)/B193</f>
        <v>0.909433022496472</v>
      </c>
      <c r="E193" s="109"/>
      <c r="F193" s="110"/>
      <c r="G193" s="214"/>
    </row>
    <row r="194" spans="1:7" ht="12.75">
      <c r="A194" s="83" t="s">
        <v>17</v>
      </c>
      <c r="B194" s="108">
        <f>SUM(B192:B193)</f>
        <v>36463</v>
      </c>
      <c r="C194" s="108">
        <f>SUM(C192:C193)</f>
        <v>41.435227272727275</v>
      </c>
      <c r="D194" s="196">
        <f>(295+15874+16992)/B194</f>
        <v>0.9094424485094479</v>
      </c>
      <c r="E194" s="111"/>
      <c r="F194" s="111"/>
      <c r="G194" s="215"/>
    </row>
    <row r="195" spans="1:7" ht="12.75">
      <c r="A195" s="29"/>
      <c r="B195" s="29"/>
      <c r="C195" s="29"/>
      <c r="D195" s="29"/>
      <c r="E195" s="29"/>
      <c r="F195" s="29"/>
      <c r="G195" s="150"/>
    </row>
    <row r="196" spans="1:7" ht="26.25" customHeight="1">
      <c r="A196" s="49" t="s">
        <v>152</v>
      </c>
      <c r="B196" s="49"/>
      <c r="C196" s="49"/>
      <c r="D196" s="198">
        <f>D194</f>
        <v>0.9094424485094479</v>
      </c>
      <c r="E196" s="51"/>
      <c r="F196" s="51"/>
      <c r="G196" s="173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2">
        <f>E125+E140+E150+G172+B194</f>
        <v>20772458</v>
      </c>
      <c r="B199" s="1"/>
      <c r="C199" s="1"/>
      <c r="D199" s="1"/>
      <c r="E199" s="1"/>
      <c r="F199" s="1"/>
    </row>
    <row r="200" spans="1:6" ht="12.75">
      <c r="A200" s="2">
        <f>20772458-A199</f>
        <v>0</v>
      </c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</sheetData>
  <sheetProtection selectLockedCells="1" selectUnlockedCells="1"/>
  <mergeCells count="27">
    <mergeCell ref="A1:K1"/>
    <mergeCell ref="A3:K3"/>
    <mergeCell ref="A5:K5"/>
    <mergeCell ref="A7:K7"/>
    <mergeCell ref="A9:K9"/>
    <mergeCell ref="A19:K19"/>
    <mergeCell ref="A21:K21"/>
    <mergeCell ref="A23:K23"/>
    <mergeCell ref="L52:M52"/>
    <mergeCell ref="C62:R62"/>
    <mergeCell ref="A64:K64"/>
    <mergeCell ref="A66:M66"/>
    <mergeCell ref="A74:M74"/>
    <mergeCell ref="A116:E116"/>
    <mergeCell ref="A127:F127"/>
    <mergeCell ref="A142:F142"/>
    <mergeCell ref="A152:F152"/>
    <mergeCell ref="A154:M154"/>
    <mergeCell ref="A156:G156"/>
    <mergeCell ref="A160:A161"/>
    <mergeCell ref="B161:C161"/>
    <mergeCell ref="A165:G165"/>
    <mergeCell ref="A167:G167"/>
    <mergeCell ref="A169:G169"/>
    <mergeCell ref="A174:D174"/>
    <mergeCell ref="A177:E177"/>
    <mergeCell ref="A196:C196"/>
  </mergeCells>
  <printOptions/>
  <pageMargins left="0" right="0" top="0" bottom="0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/>
  <cp:lastPrinted>2020-12-23T11:54:08Z</cp:lastPrinted>
  <dcterms:created xsi:type="dcterms:W3CDTF">2015-12-02T11:10:25Z</dcterms:created>
  <dcterms:modified xsi:type="dcterms:W3CDTF">2021-09-30T07:26:13Z</dcterms:modified>
  <cp:category/>
  <cp:version/>
  <cp:contentType/>
  <cp:contentStatus/>
  <cp:revision>1</cp:revision>
</cp:coreProperties>
</file>