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3"/>
  </bookViews>
  <sheets>
    <sheet name="1" sheetId="1" r:id="rId1"/>
    <sheet name="2" sheetId="2" r:id="rId2"/>
    <sheet name="3" sheetId="3" r:id="rId3"/>
    <sheet name="4" sheetId="4" r:id="rId4"/>
    <sheet name="6" sheetId="5" r:id="rId5"/>
    <sheet name="7" sheetId="6" r:id="rId6"/>
    <sheet name="11" sheetId="7" r:id="rId7"/>
    <sheet name="12" sheetId="8" r:id="rId8"/>
    <sheet name="14" sheetId="9" r:id="rId9"/>
    <sheet name="17" sheetId="10" r:id="rId10"/>
    <sheet name="18" sheetId="11" r:id="rId11"/>
    <sheet name="19" sheetId="12" r:id="rId12"/>
    <sheet name="21" sheetId="13" r:id="rId13"/>
    <sheet name="35" sheetId="14" r:id="rId14"/>
  </sheets>
  <externalReferences>
    <externalReference r:id="rId17"/>
  </externalReferences>
  <definedNames>
    <definedName name="asd1">'[1]Оборотная ведомость ТМЦ'!#REF!</definedName>
    <definedName name="none">'[1]Оборотная ведомость ТМЦ'!#REF!</definedName>
    <definedName name="Валюта">'[1]Оборотная ведомость ТМЦ'!#REF!</definedName>
    <definedName name="Всего">'[1]Оборотная ведомость ТМЦ'!#REF!</definedName>
    <definedName name="ДатаЭкспл">'[1]Оборотная ведомость ТМЦ'!#REF!</definedName>
    <definedName name="Износ">'[1]Оборотная ведомость ТМЦ'!#REF!</definedName>
    <definedName name="ИтогКолНачало">'[1]Оборотная ведомость ТМЦ'!#REF!</definedName>
    <definedName name="ИтогОборотДебет">'[1]Оборотная ведомость ТМЦ'!#REF!</definedName>
    <definedName name="ИтогОборотКредит">'[1]Оборотная ведомость ТМЦ'!#REF!</definedName>
    <definedName name="ИтогоИзнос">'[1]Оборотная ведомость ТМЦ'!#REF!</definedName>
    <definedName name="ИтогоПо">'[1]Оборотная ведомость ТМЦ'!#REF!</definedName>
    <definedName name="ИтогОстатокКонец">'[1]Оборотная ведомость ТМЦ'!#REF!</definedName>
    <definedName name="ИтогОстатокНачало">'[1]Оборотная ведомость ТМЦ'!#REF!</definedName>
    <definedName name="ИтогОстСт">'[1]Оборотная ведомость ТМЦ'!#REF!</definedName>
    <definedName name="КолДебет">'[1]Оборотная ведомость ТМЦ'!#REF!</definedName>
    <definedName name="КолКонец">'[1]Оборотная ведомость ТМЦ'!#REF!</definedName>
    <definedName name="КолКредит">'[1]Оборотная ведомость ТМЦ'!#REF!</definedName>
    <definedName name="КолНачало">'[1]Оборотная ведомость ТМЦ'!#REF!</definedName>
    <definedName name="Номенклатура">'[1]Оборотная ведомость ТМЦ'!#REF!</definedName>
    <definedName name="Номер1">'[1]Оборотная ведомость ТМЦ'!#REF!</definedName>
    <definedName name="ОборотДебет">'[1]Оборотная ведомость ТМЦ'!#REF!</definedName>
    <definedName name="ОборотКредит">'[1]Оборотная ведомость ТМЦ'!#REF!</definedName>
    <definedName name="ОстатокКонец">'[1]Оборотная ведомость ТМЦ'!#REF!</definedName>
    <definedName name="ОстатокНачало">'[1]Оборотная ведомость ТМЦ'!#REF!</definedName>
    <definedName name="ОстатСтоим">'[1]Оборотная ведомость ТМЦ'!#REF!</definedName>
    <definedName name="ПартияДата">'[1]Оборотная ведомость ТМЦ'!#REF!</definedName>
    <definedName name="СчетМол">'[1]Оборотная ведомость ТМЦ'!#REF!</definedName>
    <definedName name="asd1" localSheetId="1">'[1]Оборотная ведомость ТМЦ'!#REF!</definedName>
    <definedName name="none" localSheetId="1">'[1]Оборотная ведомость ТМЦ'!#REF!</definedName>
    <definedName name="Валюта" localSheetId="1">'[1]Оборотная ведомость ТМЦ'!#REF!</definedName>
    <definedName name="Всего" localSheetId="1">'[1]Оборотная ведомость ТМЦ'!#REF!</definedName>
    <definedName name="ДатаЭкспл" localSheetId="1">'[1]Оборотная ведомость ТМЦ'!#REF!</definedName>
    <definedName name="Износ" localSheetId="1">'[1]Оборотная ведомость ТМЦ'!#REF!</definedName>
    <definedName name="ИтогКолНачало" localSheetId="1">'[1]Оборотная ведомость ТМЦ'!#REF!</definedName>
    <definedName name="ИтогОборотДебет" localSheetId="1">'[1]Оборотная ведомость ТМЦ'!#REF!</definedName>
    <definedName name="ИтогОборотКредит" localSheetId="1">'[1]Оборотная ведомость ТМЦ'!#REF!</definedName>
    <definedName name="ИтогоИзнос" localSheetId="1">'[1]Оборотная ведомость ТМЦ'!#REF!</definedName>
    <definedName name="ИтогоПо" localSheetId="1">'[1]Оборотная ведомость ТМЦ'!#REF!</definedName>
    <definedName name="ИтогОстатокКонец" localSheetId="1">'[1]Оборотная ведомость ТМЦ'!#REF!</definedName>
    <definedName name="ИтогОстатокНачало" localSheetId="1">'[1]Оборотная ведомость ТМЦ'!#REF!</definedName>
    <definedName name="ИтогОстСт" localSheetId="1">'[1]Оборотная ведомость ТМЦ'!#REF!</definedName>
    <definedName name="КолДебет" localSheetId="1">'[1]Оборотная ведомость ТМЦ'!#REF!</definedName>
    <definedName name="КолКонец" localSheetId="1">'[1]Оборотная ведомость ТМЦ'!#REF!</definedName>
    <definedName name="КолКредит" localSheetId="1">'[1]Оборотная ведомость ТМЦ'!#REF!</definedName>
    <definedName name="КолНачало" localSheetId="1">'[1]Оборотная ведомость ТМЦ'!#REF!</definedName>
    <definedName name="Номенклатура" localSheetId="1">'[1]Оборотная ведомость ТМЦ'!#REF!</definedName>
    <definedName name="Номер1" localSheetId="1">'[1]Оборотная ведомость ТМЦ'!#REF!</definedName>
    <definedName name="ОборотДебет" localSheetId="1">'[1]Оборотная ведомость ТМЦ'!#REF!</definedName>
    <definedName name="ОборотКредит" localSheetId="1">'[1]Оборотная ведомость ТМЦ'!#REF!</definedName>
    <definedName name="ОстатокКонец" localSheetId="1">'[1]Оборотная ведомость ТМЦ'!#REF!</definedName>
    <definedName name="ОстатокНачало" localSheetId="1">'[1]Оборотная ведомость ТМЦ'!#REF!</definedName>
    <definedName name="ОстатСтоим" localSheetId="1">'[1]Оборотная ведомость ТМЦ'!#REF!</definedName>
    <definedName name="ПартияДата" localSheetId="1">'[1]Оборотная ведомость ТМЦ'!#REF!</definedName>
    <definedName name="СчетМол" localSheetId="1">'[1]Оборотная ведомость ТМЦ'!#REF!</definedName>
    <definedName name="asd1" localSheetId="2">'[1]Оборотная ведомость ТМЦ'!#REF!</definedName>
    <definedName name="none" localSheetId="2">'[1]Оборотная ведомость ТМЦ'!#REF!</definedName>
    <definedName name="Валюта" localSheetId="2">'[1]Оборотная ведомость ТМЦ'!#REF!</definedName>
    <definedName name="Всего" localSheetId="2">'[1]Оборотная ведомость ТМЦ'!#REF!</definedName>
    <definedName name="ДатаЭкспл" localSheetId="2">'[1]Оборотная ведомость ТМЦ'!#REF!</definedName>
    <definedName name="Износ" localSheetId="2">'[1]Оборотная ведомость ТМЦ'!#REF!</definedName>
    <definedName name="ИтогКолНачало" localSheetId="2">'[1]Оборотная ведомость ТМЦ'!#REF!</definedName>
    <definedName name="ИтогОборотДебет" localSheetId="2">'[1]Оборотная ведомость ТМЦ'!#REF!</definedName>
    <definedName name="ИтогОборотКредит" localSheetId="2">'[1]Оборотная ведомость ТМЦ'!#REF!</definedName>
    <definedName name="ИтогоИзнос" localSheetId="2">'[1]Оборотная ведомость ТМЦ'!#REF!</definedName>
    <definedName name="ИтогоПо" localSheetId="2">'[1]Оборотная ведомость ТМЦ'!#REF!</definedName>
    <definedName name="ИтогОстатокКонец" localSheetId="2">'[1]Оборотная ведомость ТМЦ'!#REF!</definedName>
    <definedName name="ИтогОстатокНачало" localSheetId="2">'[1]Оборотная ведомость ТМЦ'!#REF!</definedName>
    <definedName name="ИтогОстСт" localSheetId="2">'[1]Оборотная ведомость ТМЦ'!#REF!</definedName>
    <definedName name="КолДебет" localSheetId="2">'[1]Оборотная ведомость ТМЦ'!#REF!</definedName>
    <definedName name="КолКонец" localSheetId="2">'[1]Оборотная ведомость ТМЦ'!#REF!</definedName>
    <definedName name="КолКредит" localSheetId="2">'[1]Оборотная ведомость ТМЦ'!#REF!</definedName>
    <definedName name="КолНачало" localSheetId="2">'[1]Оборотная ведомость ТМЦ'!#REF!</definedName>
    <definedName name="Номенклатура" localSheetId="2">'[1]Оборотная ведомость ТМЦ'!#REF!</definedName>
    <definedName name="Номер1" localSheetId="2">'[1]Оборотная ведомость ТМЦ'!#REF!</definedName>
    <definedName name="ОборотДебет" localSheetId="2">'[1]Оборотная ведомость ТМЦ'!#REF!</definedName>
    <definedName name="ОборотКредит" localSheetId="2">'[1]Оборотная ведомость ТМЦ'!#REF!</definedName>
    <definedName name="ОстатокКонец" localSheetId="2">'[1]Оборотная ведомость ТМЦ'!#REF!</definedName>
    <definedName name="ОстатокНачало" localSheetId="2">'[1]Оборотная ведомость ТМЦ'!#REF!</definedName>
    <definedName name="ОстатСтоим" localSheetId="2">'[1]Оборотная ведомость ТМЦ'!#REF!</definedName>
    <definedName name="ПартияДата" localSheetId="2">'[1]Оборотная ведомость ТМЦ'!#REF!</definedName>
    <definedName name="СчетМол" localSheetId="2">'[1]Оборотная ведомость ТМЦ'!#REF!</definedName>
    <definedName name="asd1" localSheetId="3">'[1]Оборотная ведомость ТМЦ'!#REF!</definedName>
    <definedName name="none" localSheetId="3">'[1]Оборотная ведомость ТМЦ'!#REF!</definedName>
    <definedName name="Валюта" localSheetId="3">'[1]Оборотная ведомость ТМЦ'!#REF!</definedName>
    <definedName name="Всего" localSheetId="3">'[1]Оборотная ведомость ТМЦ'!#REF!</definedName>
    <definedName name="ДатаЭкспл" localSheetId="3">'[1]Оборотная ведомость ТМЦ'!#REF!</definedName>
    <definedName name="Износ" localSheetId="3">'[1]Оборотная ведомость ТМЦ'!#REF!</definedName>
    <definedName name="ИтогКолНачало" localSheetId="3">'[1]Оборотная ведомость ТМЦ'!#REF!</definedName>
    <definedName name="ИтогОборотДебет" localSheetId="3">'[1]Оборотная ведомость ТМЦ'!#REF!</definedName>
    <definedName name="ИтогОборотКредит" localSheetId="3">'[1]Оборотная ведомость ТМЦ'!#REF!</definedName>
    <definedName name="ИтогоИзнос" localSheetId="3">'[1]Оборотная ведомость ТМЦ'!#REF!</definedName>
    <definedName name="ИтогоПо" localSheetId="3">'[1]Оборотная ведомость ТМЦ'!#REF!</definedName>
    <definedName name="ИтогОстатокКонец" localSheetId="3">'[1]Оборотная ведомость ТМЦ'!#REF!</definedName>
    <definedName name="ИтогОстатокНачало" localSheetId="3">'[1]Оборотная ведомость ТМЦ'!#REF!</definedName>
    <definedName name="ИтогОстСт" localSheetId="3">'[1]Оборотная ведомость ТМЦ'!#REF!</definedName>
    <definedName name="КолДебет" localSheetId="3">'[1]Оборотная ведомость ТМЦ'!#REF!</definedName>
    <definedName name="КолКонец" localSheetId="3">'[1]Оборотная ведомость ТМЦ'!#REF!</definedName>
    <definedName name="КолКредит" localSheetId="3">'[1]Оборотная ведомость ТМЦ'!#REF!</definedName>
    <definedName name="КолНачало" localSheetId="3">'[1]Оборотная ведомость ТМЦ'!#REF!</definedName>
    <definedName name="Номенклатура" localSheetId="3">'[1]Оборотная ведомость ТМЦ'!#REF!</definedName>
    <definedName name="Номер1" localSheetId="3">'[1]Оборотная ведомость ТМЦ'!#REF!</definedName>
    <definedName name="ОборотДебет" localSheetId="3">'[1]Оборотная ведомость ТМЦ'!#REF!</definedName>
    <definedName name="ОборотКредит" localSheetId="3">'[1]Оборотная ведомость ТМЦ'!#REF!</definedName>
    <definedName name="ОстатокКонец" localSheetId="3">'[1]Оборотная ведомость ТМЦ'!#REF!</definedName>
    <definedName name="ОстатокНачало" localSheetId="3">'[1]Оборотная ведомость ТМЦ'!#REF!</definedName>
    <definedName name="ОстатСтоим" localSheetId="3">'[1]Оборотная ведомость ТМЦ'!#REF!</definedName>
    <definedName name="ПартияДата" localSheetId="3">'[1]Оборотная ведомость ТМЦ'!#REF!</definedName>
    <definedName name="СчетМол" localSheetId="3">'[1]Оборотная ведомость ТМЦ'!#REF!</definedName>
    <definedName name="asd1" localSheetId="4">'[1]Оборотная ведомость ТМЦ'!#REF!</definedName>
    <definedName name="none" localSheetId="4">'[1]Оборотная ведомость ТМЦ'!#REF!</definedName>
    <definedName name="Валюта" localSheetId="4">'[1]Оборотная ведомость ТМЦ'!#REF!</definedName>
    <definedName name="Всего" localSheetId="4">'[1]Оборотная ведомость ТМЦ'!#REF!</definedName>
    <definedName name="ДатаЭкспл" localSheetId="4">'[1]Оборотная ведомость ТМЦ'!#REF!</definedName>
    <definedName name="Износ" localSheetId="4">'[1]Оборотная ведомость ТМЦ'!#REF!</definedName>
    <definedName name="ИтогКолНачало" localSheetId="4">'[1]Оборотная ведомость ТМЦ'!#REF!</definedName>
    <definedName name="ИтогОборотДебет" localSheetId="4">'[1]Оборотная ведомость ТМЦ'!#REF!</definedName>
    <definedName name="ИтогОборотКредит" localSheetId="4">'[1]Оборотная ведомость ТМЦ'!#REF!</definedName>
    <definedName name="ИтогоИзнос" localSheetId="4">'[1]Оборотная ведомость ТМЦ'!#REF!</definedName>
    <definedName name="ИтогоПо" localSheetId="4">'[1]Оборотная ведомость ТМЦ'!#REF!</definedName>
    <definedName name="ИтогОстатокКонец" localSheetId="4">'[1]Оборотная ведомость ТМЦ'!#REF!</definedName>
    <definedName name="ИтогОстатокНачало" localSheetId="4">'[1]Оборотная ведомость ТМЦ'!#REF!</definedName>
    <definedName name="ИтогОстСт" localSheetId="4">'[1]Оборотная ведомость ТМЦ'!#REF!</definedName>
    <definedName name="КолДебет" localSheetId="4">'[1]Оборотная ведомость ТМЦ'!#REF!</definedName>
    <definedName name="КолКонец" localSheetId="4">'[1]Оборотная ведомость ТМЦ'!#REF!</definedName>
    <definedName name="КолКредит" localSheetId="4">'[1]Оборотная ведомость ТМЦ'!#REF!</definedName>
    <definedName name="КолНачало" localSheetId="4">'[1]Оборотная ведомость ТМЦ'!#REF!</definedName>
    <definedName name="Номенклатура" localSheetId="4">'[1]Оборотная ведомость ТМЦ'!#REF!</definedName>
    <definedName name="Номер1" localSheetId="4">'[1]Оборотная ведомость ТМЦ'!#REF!</definedName>
    <definedName name="ОборотДебет" localSheetId="4">'[1]Оборотная ведомость ТМЦ'!#REF!</definedName>
    <definedName name="ОборотКредит" localSheetId="4">'[1]Оборотная ведомость ТМЦ'!#REF!</definedName>
    <definedName name="ОстатокКонец" localSheetId="4">'[1]Оборотная ведомость ТМЦ'!#REF!</definedName>
    <definedName name="ОстатокНачало" localSheetId="4">'[1]Оборотная ведомость ТМЦ'!#REF!</definedName>
    <definedName name="ОстатСтоим" localSheetId="4">'[1]Оборотная ведомость ТМЦ'!#REF!</definedName>
    <definedName name="ПартияДата" localSheetId="4">'[1]Оборотная ведомость ТМЦ'!#REF!</definedName>
    <definedName name="СчетМол" localSheetId="4">'[1]Оборотная ведомость ТМЦ'!#REF!</definedName>
    <definedName name="asd1" localSheetId="5">'[1]Оборотная ведомость ТМЦ'!#REF!</definedName>
    <definedName name="none" localSheetId="5">'[1]Оборотная ведомость ТМЦ'!#REF!</definedName>
    <definedName name="Валюта" localSheetId="5">'[1]Оборотная ведомость ТМЦ'!#REF!</definedName>
    <definedName name="Всего" localSheetId="5">'[1]Оборотная ведомость ТМЦ'!#REF!</definedName>
    <definedName name="ДатаЭкспл" localSheetId="5">'[1]Оборотная ведомость ТМЦ'!#REF!</definedName>
    <definedName name="Износ" localSheetId="5">'[1]Оборотная ведомость ТМЦ'!#REF!</definedName>
    <definedName name="ИтогКолНачало" localSheetId="5">'[1]Оборотная ведомость ТМЦ'!#REF!</definedName>
    <definedName name="ИтогОборотДебет" localSheetId="5">'[1]Оборотная ведомость ТМЦ'!#REF!</definedName>
    <definedName name="ИтогОборотКредит" localSheetId="5">'[1]Оборотная ведомость ТМЦ'!#REF!</definedName>
    <definedName name="ИтогоИзнос" localSheetId="5">'[1]Оборотная ведомость ТМЦ'!#REF!</definedName>
    <definedName name="ИтогоПо" localSheetId="5">'[1]Оборотная ведомость ТМЦ'!#REF!</definedName>
    <definedName name="ИтогОстатокКонец" localSheetId="5">'[1]Оборотная ведомость ТМЦ'!#REF!</definedName>
    <definedName name="ИтогОстатокНачало" localSheetId="5">'[1]Оборотная ведомость ТМЦ'!#REF!</definedName>
    <definedName name="ИтогОстСт" localSheetId="5">'[1]Оборотная ведомость ТМЦ'!#REF!</definedName>
    <definedName name="КолДебет" localSheetId="5">'[1]Оборотная ведомость ТМЦ'!#REF!</definedName>
    <definedName name="КолКонец" localSheetId="5">'[1]Оборотная ведомость ТМЦ'!#REF!</definedName>
    <definedName name="КолКредит" localSheetId="5">'[1]Оборотная ведомость ТМЦ'!#REF!</definedName>
    <definedName name="КолНачало" localSheetId="5">'[1]Оборотная ведомость ТМЦ'!#REF!</definedName>
    <definedName name="Номенклатура" localSheetId="5">'[1]Оборотная ведомость ТМЦ'!#REF!</definedName>
    <definedName name="Номер1" localSheetId="5">'[1]Оборотная ведомость ТМЦ'!#REF!</definedName>
    <definedName name="ОборотДебет" localSheetId="5">'[1]Оборотная ведомость ТМЦ'!#REF!</definedName>
    <definedName name="ОборотКредит" localSheetId="5">'[1]Оборотная ведомость ТМЦ'!#REF!</definedName>
    <definedName name="ОстатокКонец" localSheetId="5">'[1]Оборотная ведомость ТМЦ'!#REF!</definedName>
    <definedName name="ОстатокНачало" localSheetId="5">'[1]Оборотная ведомость ТМЦ'!#REF!</definedName>
    <definedName name="ОстатСтоим" localSheetId="5">'[1]Оборотная ведомость ТМЦ'!#REF!</definedName>
    <definedName name="ПартияДата" localSheetId="5">'[1]Оборотная ведомость ТМЦ'!#REF!</definedName>
    <definedName name="СчетМол" localSheetId="5">'[1]Оборотная ведомость ТМЦ'!#REF!</definedName>
    <definedName name="asd1" localSheetId="6">'[1]Оборотная ведомость ТМЦ'!#REF!</definedName>
    <definedName name="none" localSheetId="6">'[1]Оборотная ведомость ТМЦ'!#REF!</definedName>
    <definedName name="Валюта" localSheetId="6">'[1]Оборотная ведомость ТМЦ'!#REF!</definedName>
    <definedName name="Всего" localSheetId="6">'[1]Оборотная ведомость ТМЦ'!#REF!</definedName>
    <definedName name="ДатаЭкспл" localSheetId="6">'[1]Оборотная ведомость ТМЦ'!#REF!</definedName>
    <definedName name="Износ" localSheetId="6">'[1]Оборотная ведомость ТМЦ'!#REF!</definedName>
    <definedName name="ИтогКолНачало" localSheetId="6">'[1]Оборотная ведомость ТМЦ'!#REF!</definedName>
    <definedName name="ИтогОборотДебет" localSheetId="6">'[1]Оборотная ведомость ТМЦ'!#REF!</definedName>
    <definedName name="ИтогОборотКредит" localSheetId="6">'[1]Оборотная ведомость ТМЦ'!#REF!</definedName>
    <definedName name="ИтогоИзнос" localSheetId="6">'[1]Оборотная ведомость ТМЦ'!#REF!</definedName>
    <definedName name="ИтогоПо" localSheetId="6">'[1]Оборотная ведомость ТМЦ'!#REF!</definedName>
    <definedName name="ИтогОстатокКонец" localSheetId="6">'[1]Оборотная ведомость ТМЦ'!#REF!</definedName>
    <definedName name="ИтогОстатокНачало" localSheetId="6">'[1]Оборотная ведомость ТМЦ'!#REF!</definedName>
    <definedName name="ИтогОстСт" localSheetId="6">'[1]Оборотная ведомость ТМЦ'!#REF!</definedName>
    <definedName name="КолДебет" localSheetId="6">'[1]Оборотная ведомость ТМЦ'!#REF!</definedName>
    <definedName name="КолКонец" localSheetId="6">'[1]Оборотная ведомость ТМЦ'!#REF!</definedName>
    <definedName name="КолКредит" localSheetId="6">'[1]Оборотная ведомость ТМЦ'!#REF!</definedName>
    <definedName name="КолНачало" localSheetId="6">'[1]Оборотная ведомость ТМЦ'!#REF!</definedName>
    <definedName name="Номенклатура" localSheetId="6">'[1]Оборотная ведомость ТМЦ'!#REF!</definedName>
    <definedName name="Номер1" localSheetId="6">'[1]Оборотная ведомость ТМЦ'!#REF!</definedName>
    <definedName name="ОборотДебет" localSheetId="6">'[1]Оборотная ведомость ТМЦ'!#REF!</definedName>
    <definedName name="ОборотКредит" localSheetId="6">'[1]Оборотная ведомость ТМЦ'!#REF!</definedName>
    <definedName name="ОстатокКонец" localSheetId="6">'[1]Оборотная ведомость ТМЦ'!#REF!</definedName>
    <definedName name="ОстатокНачало" localSheetId="6">'[1]Оборотная ведомость ТМЦ'!#REF!</definedName>
    <definedName name="ОстатСтоим" localSheetId="6">'[1]Оборотная ведомость ТМЦ'!#REF!</definedName>
    <definedName name="ПартияДата" localSheetId="6">'[1]Оборотная ведомость ТМЦ'!#REF!</definedName>
    <definedName name="СчетМол" localSheetId="6">'[1]Оборотная ведомость ТМЦ'!#REF!</definedName>
    <definedName name="asd1" localSheetId="7">'[1]Оборотная ведомость ТМЦ'!#REF!</definedName>
    <definedName name="none" localSheetId="7">'[1]Оборотная ведомость ТМЦ'!#REF!</definedName>
    <definedName name="Валюта" localSheetId="7">'[1]Оборотная ведомость ТМЦ'!#REF!</definedName>
    <definedName name="Всего" localSheetId="7">'[1]Оборотная ведомость ТМЦ'!#REF!</definedName>
    <definedName name="ДатаЭкспл" localSheetId="7">'[1]Оборотная ведомость ТМЦ'!#REF!</definedName>
    <definedName name="Износ" localSheetId="7">'[1]Оборотная ведомость ТМЦ'!#REF!</definedName>
    <definedName name="ИтогКолНачало" localSheetId="7">'[1]Оборотная ведомость ТМЦ'!#REF!</definedName>
    <definedName name="ИтогОборотДебет" localSheetId="7">'[1]Оборотная ведомость ТМЦ'!#REF!</definedName>
    <definedName name="ИтогОборотКредит" localSheetId="7">'[1]Оборотная ведомость ТМЦ'!#REF!</definedName>
    <definedName name="ИтогоИзнос" localSheetId="7">'[1]Оборотная ведомость ТМЦ'!#REF!</definedName>
    <definedName name="ИтогоПо" localSheetId="7">'[1]Оборотная ведомость ТМЦ'!#REF!</definedName>
    <definedName name="ИтогОстатокКонец" localSheetId="7">'[1]Оборотная ведомость ТМЦ'!#REF!</definedName>
    <definedName name="ИтогОстатокНачало" localSheetId="7">'[1]Оборотная ведомость ТМЦ'!#REF!</definedName>
    <definedName name="ИтогОстСт" localSheetId="7">'[1]Оборотная ведомость ТМЦ'!#REF!</definedName>
    <definedName name="КолДебет" localSheetId="7">'[1]Оборотная ведомость ТМЦ'!#REF!</definedName>
    <definedName name="КолКонец" localSheetId="7">'[1]Оборотная ведомость ТМЦ'!#REF!</definedName>
    <definedName name="КолКредит" localSheetId="7">'[1]Оборотная ведомость ТМЦ'!#REF!</definedName>
    <definedName name="КолНачало" localSheetId="7">'[1]Оборотная ведомость ТМЦ'!#REF!</definedName>
    <definedName name="Номенклатура" localSheetId="7">'[1]Оборотная ведомость ТМЦ'!#REF!</definedName>
    <definedName name="Номер1" localSheetId="7">'[1]Оборотная ведомость ТМЦ'!#REF!</definedName>
    <definedName name="ОборотДебет" localSheetId="7">'[1]Оборотная ведомость ТМЦ'!#REF!</definedName>
    <definedName name="ОборотКредит" localSheetId="7">'[1]Оборотная ведомость ТМЦ'!#REF!</definedName>
    <definedName name="ОстатокКонец" localSheetId="7">'[1]Оборотная ведомость ТМЦ'!#REF!</definedName>
    <definedName name="ОстатокНачало" localSheetId="7">'[1]Оборотная ведомость ТМЦ'!#REF!</definedName>
    <definedName name="ОстатСтоим" localSheetId="7">'[1]Оборотная ведомость ТМЦ'!#REF!</definedName>
    <definedName name="ПартияДата" localSheetId="7">'[1]Оборотная ведомость ТМЦ'!#REF!</definedName>
    <definedName name="СчетМол" localSheetId="7">'[1]Оборотная ведомость ТМЦ'!#REF!</definedName>
    <definedName name="asd1" localSheetId="8">'[1]Оборотная ведомость ТМЦ'!#REF!</definedName>
    <definedName name="none" localSheetId="8">'[1]Оборотная ведомость ТМЦ'!#REF!</definedName>
    <definedName name="Валюта" localSheetId="8">'[1]Оборотная ведомость ТМЦ'!#REF!</definedName>
    <definedName name="Всего" localSheetId="8">'[1]Оборотная ведомость ТМЦ'!#REF!</definedName>
    <definedName name="ДатаЭкспл" localSheetId="8">'[1]Оборотная ведомость ТМЦ'!#REF!</definedName>
    <definedName name="Износ" localSheetId="8">'[1]Оборотная ведомость ТМЦ'!#REF!</definedName>
    <definedName name="ИтогКолНачало" localSheetId="8">'[1]Оборотная ведомость ТМЦ'!#REF!</definedName>
    <definedName name="ИтогОборотДебет" localSheetId="8">'[1]Оборотная ведомость ТМЦ'!#REF!</definedName>
    <definedName name="ИтогОборотКредит" localSheetId="8">'[1]Оборотная ведомость ТМЦ'!#REF!</definedName>
    <definedName name="ИтогоИзнос" localSheetId="8">'[1]Оборотная ведомость ТМЦ'!#REF!</definedName>
    <definedName name="ИтогоПо" localSheetId="8">'[1]Оборотная ведомость ТМЦ'!#REF!</definedName>
    <definedName name="ИтогОстатокКонец" localSheetId="8">'[1]Оборотная ведомость ТМЦ'!#REF!</definedName>
    <definedName name="ИтогОстатокНачало" localSheetId="8">'[1]Оборотная ведомость ТМЦ'!#REF!</definedName>
    <definedName name="ИтогОстСт" localSheetId="8">'[1]Оборотная ведомость ТМЦ'!#REF!</definedName>
    <definedName name="КолДебет" localSheetId="8">'[1]Оборотная ведомость ТМЦ'!#REF!</definedName>
    <definedName name="КолКонец" localSheetId="8">'[1]Оборотная ведомость ТМЦ'!#REF!</definedName>
    <definedName name="КолКредит" localSheetId="8">'[1]Оборотная ведомость ТМЦ'!#REF!</definedName>
    <definedName name="КолНачало" localSheetId="8">'[1]Оборотная ведомость ТМЦ'!#REF!</definedName>
    <definedName name="Номенклатура" localSheetId="8">'[1]Оборотная ведомость ТМЦ'!#REF!</definedName>
    <definedName name="Номер1" localSheetId="8">'[1]Оборотная ведомость ТМЦ'!#REF!</definedName>
    <definedName name="ОборотДебет" localSheetId="8">'[1]Оборотная ведомость ТМЦ'!#REF!</definedName>
    <definedName name="ОборотКредит" localSheetId="8">'[1]Оборотная ведомость ТМЦ'!#REF!</definedName>
    <definedName name="ОстатокКонец" localSheetId="8">'[1]Оборотная ведомость ТМЦ'!#REF!</definedName>
    <definedName name="ОстатокНачало" localSheetId="8">'[1]Оборотная ведомость ТМЦ'!#REF!</definedName>
    <definedName name="ОстатСтоим" localSheetId="8">'[1]Оборотная ведомость ТМЦ'!#REF!</definedName>
    <definedName name="ПартияДата" localSheetId="8">'[1]Оборотная ведомость ТМЦ'!#REF!</definedName>
    <definedName name="СчетМол" localSheetId="8">'[1]Оборотная ведомость ТМЦ'!#REF!</definedName>
    <definedName name="asd1" localSheetId="9">'[1]Оборотная ведомость ТМЦ'!#REF!</definedName>
    <definedName name="none" localSheetId="9">'[1]Оборотная ведомость ТМЦ'!#REF!</definedName>
    <definedName name="Валюта" localSheetId="9">'[1]Оборотная ведомость ТМЦ'!#REF!</definedName>
    <definedName name="Всего" localSheetId="9">'[1]Оборотная ведомость ТМЦ'!#REF!</definedName>
    <definedName name="ДатаЭкспл" localSheetId="9">'[1]Оборотная ведомость ТМЦ'!#REF!</definedName>
    <definedName name="Износ" localSheetId="9">'[1]Оборотная ведомость ТМЦ'!#REF!</definedName>
    <definedName name="ИтогКолНачало" localSheetId="9">'[1]Оборотная ведомость ТМЦ'!#REF!</definedName>
    <definedName name="ИтогОборотДебет" localSheetId="9">'[1]Оборотная ведомость ТМЦ'!#REF!</definedName>
    <definedName name="ИтогОборотКредит" localSheetId="9">'[1]Оборотная ведомость ТМЦ'!#REF!</definedName>
    <definedName name="ИтогоИзнос" localSheetId="9">'[1]Оборотная ведомость ТМЦ'!#REF!</definedName>
    <definedName name="ИтогоПо" localSheetId="9">'[1]Оборотная ведомость ТМЦ'!#REF!</definedName>
    <definedName name="ИтогОстатокКонец" localSheetId="9">'[1]Оборотная ведомость ТМЦ'!#REF!</definedName>
    <definedName name="ИтогОстатокНачало" localSheetId="9">'[1]Оборотная ведомость ТМЦ'!#REF!</definedName>
    <definedName name="ИтогОстСт" localSheetId="9">'[1]Оборотная ведомость ТМЦ'!#REF!</definedName>
    <definedName name="КолДебет" localSheetId="9">'[1]Оборотная ведомость ТМЦ'!#REF!</definedName>
    <definedName name="КолКонец" localSheetId="9">'[1]Оборотная ведомость ТМЦ'!#REF!</definedName>
    <definedName name="КолКредит" localSheetId="9">'[1]Оборотная ведомость ТМЦ'!#REF!</definedName>
    <definedName name="КолНачало" localSheetId="9">'[1]Оборотная ведомость ТМЦ'!#REF!</definedName>
    <definedName name="Номенклатура" localSheetId="9">'[1]Оборотная ведомость ТМЦ'!#REF!</definedName>
    <definedName name="Номер1" localSheetId="9">'[1]Оборотная ведомость ТМЦ'!#REF!</definedName>
    <definedName name="ОборотДебет" localSheetId="9">'[1]Оборотная ведомость ТМЦ'!#REF!</definedName>
    <definedName name="ОборотКредит" localSheetId="9">'[1]Оборотная ведомость ТМЦ'!#REF!</definedName>
    <definedName name="ОстатокКонец" localSheetId="9">'[1]Оборотная ведомость ТМЦ'!#REF!</definedName>
    <definedName name="ОстатокНачало" localSheetId="9">'[1]Оборотная ведомость ТМЦ'!#REF!</definedName>
    <definedName name="ОстатСтоим" localSheetId="9">'[1]Оборотная ведомость ТМЦ'!#REF!</definedName>
    <definedName name="ПартияДата" localSheetId="9">'[1]Оборотная ведомость ТМЦ'!#REF!</definedName>
    <definedName name="СчетМол" localSheetId="9">'[1]Оборотная ведомость ТМЦ'!#REF!</definedName>
    <definedName name="asd1" localSheetId="10">'[1]Оборотная ведомость ТМЦ'!#REF!</definedName>
    <definedName name="none" localSheetId="10">'[1]Оборотная ведомость ТМЦ'!#REF!</definedName>
    <definedName name="Валюта" localSheetId="10">'[1]Оборотная ведомость ТМЦ'!#REF!</definedName>
    <definedName name="Всего" localSheetId="10">'[1]Оборотная ведомость ТМЦ'!#REF!</definedName>
    <definedName name="ДатаЭкспл" localSheetId="10">'[1]Оборотная ведомость ТМЦ'!#REF!</definedName>
    <definedName name="Износ" localSheetId="10">'[1]Оборотная ведомость ТМЦ'!#REF!</definedName>
    <definedName name="ИтогКолНачало" localSheetId="10">'[1]Оборотная ведомость ТМЦ'!#REF!</definedName>
    <definedName name="ИтогОборотДебет" localSheetId="10">'[1]Оборотная ведомость ТМЦ'!#REF!</definedName>
    <definedName name="ИтогОборотКредит" localSheetId="10">'[1]Оборотная ведомость ТМЦ'!#REF!</definedName>
    <definedName name="ИтогоИзнос" localSheetId="10">'[1]Оборотная ведомость ТМЦ'!#REF!</definedName>
    <definedName name="ИтогоПо" localSheetId="10">'[1]Оборотная ведомость ТМЦ'!#REF!</definedName>
    <definedName name="ИтогОстатокКонец" localSheetId="10">'[1]Оборотная ведомость ТМЦ'!#REF!</definedName>
    <definedName name="ИтогОстатокНачало" localSheetId="10">'[1]Оборотная ведомость ТМЦ'!#REF!</definedName>
    <definedName name="ИтогОстСт" localSheetId="10">'[1]Оборотная ведомость ТМЦ'!#REF!</definedName>
    <definedName name="КолДебет" localSheetId="10">'[1]Оборотная ведомость ТМЦ'!#REF!</definedName>
    <definedName name="КолКонец" localSheetId="10">'[1]Оборотная ведомость ТМЦ'!#REF!</definedName>
    <definedName name="КолКредит" localSheetId="10">'[1]Оборотная ведомость ТМЦ'!#REF!</definedName>
    <definedName name="КолНачало" localSheetId="10">'[1]Оборотная ведомость ТМЦ'!#REF!</definedName>
    <definedName name="Номенклатура" localSheetId="10">'[1]Оборотная ведомость ТМЦ'!#REF!</definedName>
    <definedName name="Номер1" localSheetId="10">'[1]Оборотная ведомость ТМЦ'!#REF!</definedName>
    <definedName name="ОборотДебет" localSheetId="10">'[1]Оборотная ведомость ТМЦ'!#REF!</definedName>
    <definedName name="ОборотКредит" localSheetId="10">'[1]Оборотная ведомость ТМЦ'!#REF!</definedName>
    <definedName name="ОстатокКонец" localSheetId="10">'[1]Оборотная ведомость ТМЦ'!#REF!</definedName>
    <definedName name="ОстатокНачало" localSheetId="10">'[1]Оборотная ведомость ТМЦ'!#REF!</definedName>
    <definedName name="ОстатСтоим" localSheetId="10">'[1]Оборотная ведомость ТМЦ'!#REF!</definedName>
    <definedName name="ПартияДата" localSheetId="10">'[1]Оборотная ведомость ТМЦ'!#REF!</definedName>
    <definedName name="СчетМол" localSheetId="10">'[1]Оборотная ведомость ТМЦ'!#REF!</definedName>
    <definedName name="asd1" localSheetId="11">'[1]Оборотная ведомость ТМЦ'!#REF!</definedName>
    <definedName name="none" localSheetId="11">'[1]Оборотная ведомость ТМЦ'!#REF!</definedName>
    <definedName name="Валюта" localSheetId="11">'[1]Оборотная ведомость ТМЦ'!#REF!</definedName>
    <definedName name="Всего" localSheetId="11">'[1]Оборотная ведомость ТМЦ'!#REF!</definedName>
    <definedName name="ДатаЭкспл" localSheetId="11">'[1]Оборотная ведомость ТМЦ'!#REF!</definedName>
    <definedName name="Износ" localSheetId="11">'[1]Оборотная ведомость ТМЦ'!#REF!</definedName>
    <definedName name="ИтогКолНачало" localSheetId="11">'[1]Оборотная ведомость ТМЦ'!#REF!</definedName>
    <definedName name="ИтогОборотДебет" localSheetId="11">'[1]Оборотная ведомость ТМЦ'!#REF!</definedName>
    <definedName name="ИтогОборотКредит" localSheetId="11">'[1]Оборотная ведомость ТМЦ'!#REF!</definedName>
    <definedName name="ИтогоИзнос" localSheetId="11">'[1]Оборотная ведомость ТМЦ'!#REF!</definedName>
    <definedName name="ИтогоПо" localSheetId="11">'[1]Оборотная ведомость ТМЦ'!#REF!</definedName>
    <definedName name="ИтогОстатокКонец" localSheetId="11">'[1]Оборотная ведомость ТМЦ'!#REF!</definedName>
    <definedName name="ИтогОстатокНачало" localSheetId="11">'[1]Оборотная ведомость ТМЦ'!#REF!</definedName>
    <definedName name="ИтогОстСт" localSheetId="11">'[1]Оборотная ведомость ТМЦ'!#REF!</definedName>
    <definedName name="КолДебет" localSheetId="11">'[1]Оборотная ведомость ТМЦ'!#REF!</definedName>
    <definedName name="КолКонец" localSheetId="11">'[1]Оборотная ведомость ТМЦ'!#REF!</definedName>
    <definedName name="КолКредит" localSheetId="11">'[1]Оборотная ведомость ТМЦ'!#REF!</definedName>
    <definedName name="КолНачало" localSheetId="11">'[1]Оборотная ведомость ТМЦ'!#REF!</definedName>
    <definedName name="Номенклатура" localSheetId="11">'[1]Оборотная ведомость ТМЦ'!#REF!</definedName>
    <definedName name="Номер1" localSheetId="11">'[1]Оборотная ведомость ТМЦ'!#REF!</definedName>
    <definedName name="ОборотДебет" localSheetId="11">'[1]Оборотная ведомость ТМЦ'!#REF!</definedName>
    <definedName name="ОборотКредит" localSheetId="11">'[1]Оборотная ведомость ТМЦ'!#REF!</definedName>
    <definedName name="ОстатокКонец" localSheetId="11">'[1]Оборотная ведомость ТМЦ'!#REF!</definedName>
    <definedName name="ОстатокНачало" localSheetId="11">'[1]Оборотная ведомость ТМЦ'!#REF!</definedName>
    <definedName name="ОстатСтоим" localSheetId="11">'[1]Оборотная ведомость ТМЦ'!#REF!</definedName>
    <definedName name="ПартияДата" localSheetId="11">'[1]Оборотная ведомость ТМЦ'!#REF!</definedName>
    <definedName name="СчетМол" localSheetId="11">'[1]Оборотная ведомость ТМЦ'!#REF!</definedName>
    <definedName name="asd1" localSheetId="12">'[1]Оборотная ведомость ТМЦ'!#REF!</definedName>
    <definedName name="none" localSheetId="12">'[1]Оборотная ведомость ТМЦ'!#REF!</definedName>
    <definedName name="Валюта" localSheetId="12">'[1]Оборотная ведомость ТМЦ'!#REF!</definedName>
    <definedName name="Всего" localSheetId="12">'[1]Оборотная ведомость ТМЦ'!#REF!</definedName>
    <definedName name="ДатаЭкспл" localSheetId="12">'[1]Оборотная ведомость ТМЦ'!#REF!</definedName>
    <definedName name="Износ" localSheetId="12">'[1]Оборотная ведомость ТМЦ'!#REF!</definedName>
    <definedName name="ИтогКолНачало" localSheetId="12">'[1]Оборотная ведомость ТМЦ'!#REF!</definedName>
    <definedName name="ИтогОборотДебет" localSheetId="12">'[1]Оборотная ведомость ТМЦ'!#REF!</definedName>
    <definedName name="ИтогОборотКредит" localSheetId="12">'[1]Оборотная ведомость ТМЦ'!#REF!</definedName>
    <definedName name="ИтогоИзнос" localSheetId="12">'[1]Оборотная ведомость ТМЦ'!#REF!</definedName>
    <definedName name="ИтогоПо" localSheetId="12">'[1]Оборотная ведомость ТМЦ'!#REF!</definedName>
    <definedName name="ИтогОстатокКонец" localSheetId="12">'[1]Оборотная ведомость ТМЦ'!#REF!</definedName>
    <definedName name="ИтогОстатокНачало" localSheetId="12">'[1]Оборотная ведомость ТМЦ'!#REF!</definedName>
    <definedName name="ИтогОстСт" localSheetId="12">'[1]Оборотная ведомость ТМЦ'!#REF!</definedName>
    <definedName name="КолДебет" localSheetId="12">'[1]Оборотная ведомость ТМЦ'!#REF!</definedName>
    <definedName name="КолКонец" localSheetId="12">'[1]Оборотная ведомость ТМЦ'!#REF!</definedName>
    <definedName name="КолКредит" localSheetId="12">'[1]Оборотная ведомость ТМЦ'!#REF!</definedName>
    <definedName name="КолНачало" localSheetId="12">'[1]Оборотная ведомость ТМЦ'!#REF!</definedName>
    <definedName name="Номенклатура" localSheetId="12">'[1]Оборотная ведомость ТМЦ'!#REF!</definedName>
    <definedName name="Номер1" localSheetId="12">'[1]Оборотная ведомость ТМЦ'!#REF!</definedName>
    <definedName name="ОборотДебет" localSheetId="12">'[1]Оборотная ведомость ТМЦ'!#REF!</definedName>
    <definedName name="ОборотКредит" localSheetId="12">'[1]Оборотная ведомость ТМЦ'!#REF!</definedName>
    <definedName name="ОстатокКонец" localSheetId="12">'[1]Оборотная ведомость ТМЦ'!#REF!</definedName>
    <definedName name="ОстатокНачало" localSheetId="12">'[1]Оборотная ведомость ТМЦ'!#REF!</definedName>
    <definedName name="ОстатСтоим" localSheetId="12">'[1]Оборотная ведомость ТМЦ'!#REF!</definedName>
    <definedName name="ПартияДата" localSheetId="12">'[1]Оборотная ведомость ТМЦ'!#REF!</definedName>
    <definedName name="СчетМол" localSheetId="12">'[1]Оборотная ведомость ТМЦ'!#REF!</definedName>
    <definedName name="asd1" localSheetId="13">'[1]Оборотная ведомость ТМЦ'!#REF!</definedName>
    <definedName name="none" localSheetId="13">'[1]Оборотная ведомость ТМЦ'!#REF!</definedName>
    <definedName name="Валюта" localSheetId="13">'[1]Оборотная ведомость ТМЦ'!#REF!</definedName>
    <definedName name="Всего" localSheetId="13">'[1]Оборотная ведомость ТМЦ'!#REF!</definedName>
    <definedName name="ДатаЭкспл" localSheetId="13">'[1]Оборотная ведомость ТМЦ'!#REF!</definedName>
    <definedName name="Износ" localSheetId="13">'[1]Оборотная ведомость ТМЦ'!#REF!</definedName>
    <definedName name="ИтогКолНачало" localSheetId="13">'[1]Оборотная ведомость ТМЦ'!#REF!</definedName>
    <definedName name="ИтогОборотДебет" localSheetId="13">'[1]Оборотная ведомость ТМЦ'!#REF!</definedName>
    <definedName name="ИтогОборотКредит" localSheetId="13">'[1]Оборотная ведомость ТМЦ'!#REF!</definedName>
    <definedName name="ИтогоИзнос" localSheetId="13">'[1]Оборотная ведомость ТМЦ'!#REF!</definedName>
    <definedName name="ИтогоПо" localSheetId="13">'[1]Оборотная ведомость ТМЦ'!#REF!</definedName>
    <definedName name="ИтогОстатокКонец" localSheetId="13">'[1]Оборотная ведомость ТМЦ'!#REF!</definedName>
    <definedName name="ИтогОстатокНачало" localSheetId="13">'[1]Оборотная ведомость ТМЦ'!#REF!</definedName>
    <definedName name="ИтогОстСт" localSheetId="13">'[1]Оборотная ведомость ТМЦ'!#REF!</definedName>
    <definedName name="КолДебет" localSheetId="13">'[1]Оборотная ведомость ТМЦ'!#REF!</definedName>
    <definedName name="КолКонец" localSheetId="13">'[1]Оборотная ведомость ТМЦ'!#REF!</definedName>
    <definedName name="КолКредит" localSheetId="13">'[1]Оборотная ведомость ТМЦ'!#REF!</definedName>
    <definedName name="КолНачало" localSheetId="13">'[1]Оборотная ведомость ТМЦ'!#REF!</definedName>
    <definedName name="Номенклатура" localSheetId="13">'[1]Оборотная ведомость ТМЦ'!#REF!</definedName>
    <definedName name="Номер1" localSheetId="13">'[1]Оборотная ведомость ТМЦ'!#REF!</definedName>
    <definedName name="ОборотДебет" localSheetId="13">'[1]Оборотная ведомость ТМЦ'!#REF!</definedName>
    <definedName name="ОборотКредит" localSheetId="13">'[1]Оборотная ведомость ТМЦ'!#REF!</definedName>
    <definedName name="ОстатокКонец" localSheetId="13">'[1]Оборотная ведомость ТМЦ'!#REF!</definedName>
    <definedName name="ОстатокНачало" localSheetId="13">'[1]Оборотная ведомость ТМЦ'!#REF!</definedName>
    <definedName name="ОстатСтоим" localSheetId="13">'[1]Оборотная ведомость ТМЦ'!#REF!</definedName>
    <definedName name="ПартияДата" localSheetId="13">'[1]Оборотная ведомость ТМЦ'!#REF!</definedName>
    <definedName name="СчетМол" localSheetId="13">'[1]Оборотная ведомость ТМЦ'!#REF!</definedName>
  </definedNames>
  <calcPr fullCalcOnLoad="1"/>
</workbook>
</file>

<file path=xl/sharedStrings.xml><?xml version="1.0" encoding="utf-8"?>
<sst xmlns="http://schemas.openxmlformats.org/spreadsheetml/2006/main" count="1897" uniqueCount="208">
  <si>
    <t>Расчёт нормативных затрат на реализацию общеобразовательных  программ дошкольного образования для МБДОУ детский сад № 1</t>
  </si>
  <si>
    <t xml:space="preserve">       Для расчета нормативных затрат на реализацию общеобразовательных программ дошкольного образования необходимо определение значения показателя объема (качества) муниципальных услуг, который расчитывается по формуле:</t>
  </si>
  <si>
    <t xml:space="preserve">СГК  оч = </t>
  </si>
  <si>
    <t>К оч х 12 - В оч х 4 + П оч х 4</t>
  </si>
  <si>
    <t>, где</t>
  </si>
  <si>
    <t>СГК оч - среднегодовое количество воспитанников очередного года</t>
  </si>
  <si>
    <t xml:space="preserve">К оч - контигент обучающихся по состоянию на 1 января очередного финансового года. </t>
  </si>
  <si>
    <t xml:space="preserve">     Источником информации для расчета значения показателя является данные статистической формы  № 85 - К " Сведения деятельности организации, осуществляющей образовательную деятельность по образовательным программа дошкольного образования, присмотр и уход за детьми"</t>
  </si>
  <si>
    <t>В оч - ожидаемый выпуск воспитанников в очередном финансовом году</t>
  </si>
  <si>
    <t>П оч - ожидаемый прием воспитанников в очередном финансовом году</t>
  </si>
  <si>
    <t xml:space="preserve">Численность воспитанников на 01.01.2020 год   на основании отчета 85 - К                                        (К оч)   </t>
  </si>
  <si>
    <t>Прием воспитанников по приказу № 26 - од от 13.01.2019     (К оч)</t>
  </si>
  <si>
    <t>Ожидаемый выпуск воспитанников в 2020 году             (В оч)</t>
  </si>
  <si>
    <t>Прием воспитанников на  01.09.2020 г.  по тарификации        (П оч)</t>
  </si>
  <si>
    <t>Прием воспитанников по приказу № 736 - од от 15.09.2019       (П оч)</t>
  </si>
  <si>
    <t>Среднегодовая численность воспитанников для расчета       (СГК оч)</t>
  </si>
  <si>
    <t>1. Норматив затрат на оказание услуги по реализации "Содержание детей" состоит из нормативов разработанных по группам расходов, и расчитывается по формуле:</t>
  </si>
  <si>
    <t>N сд. = N кну+N сни+N пнз+N уc</t>
  </si>
  <si>
    <t>где:</t>
  </si>
  <si>
    <t>N общ - нормативные затраты на оказание услуги;</t>
  </si>
  <si>
    <t>N ку - нормативные затраты на оказание коммунальных услуг</t>
  </si>
  <si>
    <t>N сни - услуги на содержание объектов недвижимого имущества</t>
  </si>
  <si>
    <t>N пнз - услуги на прочие нормативные затраты</t>
  </si>
  <si>
    <t>N ус - услуги связи</t>
  </si>
  <si>
    <t>Показатель</t>
  </si>
  <si>
    <t xml:space="preserve">Среднегодовая численность воспитанников </t>
  </si>
  <si>
    <t>Норматив затрат на одного воспитанника в год, руб.</t>
  </si>
  <si>
    <t xml:space="preserve">Общая сумма затрат, руб. </t>
  </si>
  <si>
    <t>Утвержденный коэффициент к нормативу затрат</t>
  </si>
  <si>
    <t>Общий объём затрат  согласно базоваго норматива</t>
  </si>
  <si>
    <t>N ку</t>
  </si>
  <si>
    <t>N сни</t>
  </si>
  <si>
    <t>N пнз</t>
  </si>
  <si>
    <t>N ус</t>
  </si>
  <si>
    <t>N от2</t>
  </si>
  <si>
    <t>Nобщ</t>
  </si>
  <si>
    <t>Для регулирования утвержденного бюджета к нормативу затрат на реализацию услуги  " Содержание детей" применен повышающий коэффициент 1,15</t>
  </si>
  <si>
    <t>1.1. Расчет нормативных затрат на коммунальные услуги (N ку)</t>
  </si>
  <si>
    <t>Наименование ресурса</t>
  </si>
  <si>
    <t>Ед. изм.</t>
  </si>
  <si>
    <t>Установленный лимит потребления</t>
  </si>
  <si>
    <t>Тариф, руб.</t>
  </si>
  <si>
    <t>Плановые затраты, руб.</t>
  </si>
  <si>
    <t>Оплата отопления и технологич.нужд</t>
  </si>
  <si>
    <t>Г/кал</t>
  </si>
  <si>
    <t>Оплата потребления газа</t>
  </si>
  <si>
    <t>м3</t>
  </si>
  <si>
    <t>Оплата потребления элект.энергии</t>
  </si>
  <si>
    <t>Квт</t>
  </si>
  <si>
    <t>Оплата водоснабжения</t>
  </si>
  <si>
    <t>ИТОГО</t>
  </si>
  <si>
    <t>Для регулирования утвержденного бюджета к нормативу затрат на коммунальные услуги применен понижающий коэффициент 1,0</t>
  </si>
  <si>
    <t>1.2. Расчет нормативных затрат на содержание недвижимого имущества (N сни)</t>
  </si>
  <si>
    <t>Объем</t>
  </si>
  <si>
    <t>Тариф</t>
  </si>
  <si>
    <t>Оплата содержания помещения (вывоз ТБО, дератизация)</t>
  </si>
  <si>
    <t>Промывка и опресовка</t>
  </si>
  <si>
    <t>количество систем</t>
  </si>
  <si>
    <t>Текущий ремонт</t>
  </si>
  <si>
    <t>Охрана</t>
  </si>
  <si>
    <t>Земельный налог</t>
  </si>
  <si>
    <t>Налог на имущество</t>
  </si>
  <si>
    <t>Для регулирования утвержденного бюджета к нормативу затрат на содержание недвижимого имущества применен понижающий коэффициент 0,75</t>
  </si>
  <si>
    <t>1.3. Расчет нормативных затрат на прочие услуги (N пнз)</t>
  </si>
  <si>
    <t>Оплата за негативное воздействие на окружающую среду</t>
  </si>
  <si>
    <t>Прочие услуги</t>
  </si>
  <si>
    <t>Для регулирования утвержденного бюджета к нормативу затрат на прочие услуги  применен понижающий коэффициент 0,63</t>
  </si>
  <si>
    <t>1.4. Расчет норматива затрат на услуги связи (N ус)</t>
  </si>
  <si>
    <t>Наименование</t>
  </si>
  <si>
    <t>Кол-во телефонных номеров, каналов передачи</t>
  </si>
  <si>
    <t xml:space="preserve">Количество мес. услуги </t>
  </si>
  <si>
    <t>Плановые затраты на год</t>
  </si>
  <si>
    <t>Абонентская плата</t>
  </si>
  <si>
    <t>Повременная оплата</t>
  </si>
  <si>
    <t>Услуги интернета</t>
  </si>
  <si>
    <t>Итого</t>
  </si>
  <si>
    <t>Норматив затрат на оказание услуг связи утвержден бюджетом в полном объеме.</t>
  </si>
  <si>
    <t>2. Норматив затрат на оказание услуги по реализации "Присмотр и уход" состоит из суточных норм питания, разработанных СанПин, среднегодовой численности воспитанников, количества дней функционирования организации в год и стоимости одного детодня (N пу)</t>
  </si>
  <si>
    <t>Общий объём затрат на питание согласно базоваго норматива</t>
  </si>
  <si>
    <t>Отклонение</t>
  </si>
  <si>
    <t>Продукты питания</t>
  </si>
  <si>
    <t>Для регулирования утвержденного бюджета к нормативу затрат на продукты питания  применен понижающий коэффициент 0,71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</si>
  <si>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</t>
  </si>
  <si>
    <r>
      <rPr>
        <sz val="10"/>
        <rFont val="Times New Roman"/>
        <family val="1"/>
      </rPr>
      <t>S усл = (N сд  х К п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N пу х К 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 х СГК оч, где</t>
    </r>
  </si>
  <si>
    <t>S усл. - размер утвержденной субсидии на выполнение муниципального задания</t>
  </si>
  <si>
    <t>N сд. - норматив затрат на содержание детей в дошкольных образовательных организациях</t>
  </si>
  <si>
    <r>
      <rPr>
        <sz val="10"/>
        <rFont val="Times New Roman"/>
        <family val="1"/>
      </rPr>
      <t>Кп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утвержденный коэффициент к нормативу затрат на содержание детей в дошкольных образовательных организациях                             </t>
    </r>
  </si>
  <si>
    <t>N пу. - норматив затрат на присмотр и уход в дошкольных образовательных организациях</t>
  </si>
  <si>
    <r>
      <rPr>
        <sz val="10"/>
        <rFont val="Times New Roman"/>
        <family val="1"/>
      </rPr>
      <t>Кп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утвержденный коэффициент к нормативу затрат наприсмотр и уход в дошкольных образовательных организациях                             </t>
    </r>
  </si>
  <si>
    <t>Норматив затрат на содержание детей в дошкольных образовательных организациях                               (N сд)</t>
  </si>
  <si>
    <r>
      <rPr>
        <sz val="10"/>
        <rFont val="Times New Roman"/>
        <family val="1"/>
      </rPr>
      <t>Утвержденный коэффициент к нормативу затрат                                (Кп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</si>
  <si>
    <t>Норматив затрат на присмотр и уход в дошкольных образовательных организациях  (N пу)</t>
  </si>
  <si>
    <r>
      <rPr>
        <sz val="10"/>
        <rFont val="Times New Roman"/>
        <family val="1"/>
      </rPr>
      <t>Утвержденный коэффициент к нормативу затрат                                (Кп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</si>
  <si>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Размер утвержденной субсидии на выполнение муниципального задания                                       (S усл.)</t>
  </si>
  <si>
    <t xml:space="preserve">        4. Размер субвенции муниципальному бюджетному дошкольному образовательному учреждению детскому саду № 1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</si>
  <si>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С оу = Сн + Сс + С д, где</t>
  </si>
  <si>
    <t>С оу - объем субвенции</t>
  </si>
  <si>
    <t>С н - объем субвенции по нормативам подушевого финансирования расходов</t>
  </si>
  <si>
    <t>С с - объем субвенции с учетом норматива дополнительного стимулирования отдельных категорий работников</t>
  </si>
  <si>
    <t>С д - объем субвенции с учетом нормативадля осуществления доплат педагогическим работникам</t>
  </si>
  <si>
    <t>объем субвенции по нормативам подушевого финансирования расходов (С н)</t>
  </si>
  <si>
    <t>объем субвенции с учетом норматива дополнительного стимулирования отдельных категорий работников (С с)</t>
  </si>
  <si>
    <t>объем субвенции с учетом нормативадля осуществления доплат педагогическим работникам (С д)</t>
  </si>
  <si>
    <t>объем субвенции  (С оу)</t>
  </si>
  <si>
    <t>211,212,213,225,226,290,310,340</t>
  </si>
  <si>
    <t>губернаторская</t>
  </si>
  <si>
    <t>педдоплата</t>
  </si>
  <si>
    <t>Фонд заработной платы обслуживающего персонала От2</t>
  </si>
  <si>
    <t>местный бюджет</t>
  </si>
  <si>
    <t>ст.211</t>
  </si>
  <si>
    <t>ст.213</t>
  </si>
  <si>
    <t>Расчёт нормативных затрат на реализацию общеобразовательных  программ дошкольного образования для МБДОУ детский сад № 2</t>
  </si>
  <si>
    <t>Прием воспитанников по приказу    (К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</si>
  <si>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0,82</t>
  </si>
  <si>
    <t>Для регулирования утвержденного бюджета к нормативу затрат на коммунальные услуги применен понижающий коэффициент 0,64</t>
  </si>
  <si>
    <t>Охрана (пож.сигнализация)</t>
  </si>
  <si>
    <t>Для регулирования утвержденного бюджета к нормативу затрат на содержание недвижимого имущества применен понижающий коэффициент 0,63</t>
  </si>
  <si>
    <t>Для регулирования утвержденного бюджета к нормативу затрат на прочие услуги  применен повышающий коэффициент 0,85</t>
  </si>
  <si>
    <t>Для регулирования утвержденного бюджета к нормативу затрат на услуги связи  применен понижающий коэффициент 0,43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</si>
  <si>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2</t>
  </si>
  <si>
    <t xml:space="preserve">        4. Размер субвенции муниципальному бюджетному дошкольному образовательному учреждению детскому саду № 2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</si>
  <si>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объем субвенции по нормативам подушевого финансирования расходов (С н) край</t>
  </si>
  <si>
    <t>Расчёт нормативных затрат на реализацию общеобразовательных  программ дошкольного образования для МАДОУ детский сад № 3</t>
  </si>
  <si>
    <t xml:space="preserve">Численность воспитанников на 01.01.2020год   на основании отчета 85 - К                                        (К оч)   </t>
  </si>
  <si>
    <t>Прием воспитанников по приказу     (К оч)</t>
  </si>
  <si>
    <t>Прием воспитанников по приказу       (П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</si>
  <si>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0,93</t>
  </si>
  <si>
    <t>Для регулирования утвержденного бюджета к нормативу затрат на коммунальные услуги применен понижающий коэффициент 0,59</t>
  </si>
  <si>
    <t>Для регулирования утвержденного бюджета к нормативу затрат на содержание недвижимого имущества применен понижающий коэффициент 0,65</t>
  </si>
  <si>
    <t>Для регулирования утвержденного бюджета к нормативу затрат на прочие услуги  применен понижающий коэффициент 0,71</t>
  </si>
  <si>
    <t>Для регулирования утвержденного бюджета к нормативу затрат на услуги связи  применен понижающий коэффициент 0,65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</si>
  <si>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автономного дошкольного образовательного учреждения детского сада № 3</t>
  </si>
  <si>
    <t xml:space="preserve">        4. Размер субвенции муниципальному автономному дошкольному образовательному учреждению детскому саду № 3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</si>
  <si>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4</t>
  </si>
  <si>
    <t>Для регулирования утвержденного бюджета к нормативу затрат на реализацию услуги  " Содержание детей" применен понижающий коэффициент 0,87</t>
  </si>
  <si>
    <t>Для регулирования утвержденного бюджета к нормативу затрат на содержание недвижимого имущества применен понижающий коэффициент 0,68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</si>
  <si>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4</t>
  </si>
  <si>
    <t xml:space="preserve">        4. Размер субвенции муниципальному бюджетному дошкольному образовательному учреждению детскому саду № 4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</si>
  <si>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6</t>
  </si>
  <si>
    <t>Прием воспитанников по приказу     (П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</si>
  <si>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0,95</t>
  </si>
  <si>
    <t>Для регулирования утвержденного бюджета к нормативу затрат на коммунальные услуги применен понижающий коэффициент 0,61</t>
  </si>
  <si>
    <t>Для регулирования утвержденного бюджета к нормативу затрат на содержание недвижимого имущества применен понижающий коэффициент 0,69</t>
  </si>
  <si>
    <t>Для регулирования утвержденного бюджета к нормативу затрат на прочие услуги  применен понижающий коэффициент 0,78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</si>
  <si>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6</t>
  </si>
  <si>
    <t xml:space="preserve">        4. Размер субвенции муниципальному бюджетному дошкольному образовательному учреждению детскому саду № 6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</si>
  <si>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7</t>
  </si>
  <si>
    <t>Прием воспитанников по приказу      (К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</si>
  <si>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0,89</t>
  </si>
  <si>
    <t>Для регулирования утвержденного бюджета к нормативу затрат на коммунальные услуги применен понижающий коэффициент 0,53</t>
  </si>
  <si>
    <t>Для регулирования утвержденного бюджета к нормативу затрат на содержание недвижимого имущества применен понижающий коэффициент 0,66</t>
  </si>
  <si>
    <t>Для регулирования утвержденного бюджета к нормативу затрат на прочие услуги  применен повышающий коэффициент 0,71</t>
  </si>
  <si>
    <t>Для регулирования утвержденного бюджета к нормативу затрат на услуги связи  применен понижающий коэффициент 0,44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</si>
  <si>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7</t>
  </si>
  <si>
    <t>Расчёт нормативных затрат на реализацию общеобразовательных  программ дошкольного образования для МБДОУ детский сад № 11</t>
  </si>
  <si>
    <t>Прием воспитанников на  01.09.2020г.  по тарификации        (П оч)</t>
  </si>
  <si>
    <t>Прием воспитанников по приказу        (П оч)</t>
  </si>
  <si>
    <t>Для регулирования утвержденного бюджета к нормативу затрат на реализацию услуги  " Содержание детей" применен  коэффициент 1,0</t>
  </si>
  <si>
    <t>Для регулирования утвержденного бюджета к нормативу затрат на коммунальные услуги применен понижающий коэффициент 0,74</t>
  </si>
  <si>
    <t>Для регулирования утвержденного бюджета к нормативу затрат на содержание недвижимого имущества применен понижающий коэффициент 0,70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</si>
  <si>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11</t>
  </si>
  <si>
    <t xml:space="preserve">        4. Размер субвенции муниципальному бюджетному дошкольному образовательному учреждению детскому саду № 11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</si>
  <si>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12</t>
  </si>
  <si>
    <t>Для регулирования утвержденного бюджета к нормативу затрат на реализацию услуги  " Содержание детей" применен понижающий коэффициент 0,96</t>
  </si>
  <si>
    <t>Для регулирования утвержденного бюджета к нормативу затрат на коммунальные услуги применен понижающий коэффициент 0,75</t>
  </si>
  <si>
    <t>Для регулирования утвержденного бюджета к нормативу затрат на прочие услуги  применен понижающийй коэффициент 0,71</t>
  </si>
  <si>
    <t>Для регулирования утвержденного бюджета к нормативу затрат на услуги связи  применен понижающий коэффициент 0,41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</si>
  <si>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12</t>
  </si>
  <si>
    <t xml:space="preserve">        4. Размер субвенции муниципальному бюджетному дошкольному образовательному учреждению детскому саду № 12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</si>
  <si>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14</t>
  </si>
  <si>
    <t>Прием воспитанников по приказу    (П оч)</t>
  </si>
  <si>
    <t>Для регулирования утвержденного бюджета к нормативу затрат на реализацию услуги  " Содержание детей" применен понижающий коэффициент 0,86</t>
  </si>
  <si>
    <t>Для регулирования утвержденного бюджета к нормативу затрат на коммунальные услуги применен понижающий коэффициент 0,62</t>
  </si>
  <si>
    <t>Для регулирования утвержденного бюджета к нормативу затрат на услуги связи  применен понижающий коэффициент 0,53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</si>
  <si>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14</t>
  </si>
  <si>
    <t xml:space="preserve">        4. Размер субвенции муниципальному бюджетному дошкольному образовательному учреждению детскому саду № 14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</si>
  <si>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17</t>
  </si>
  <si>
    <t>Прием воспитанников по приказу      (П оч)</t>
  </si>
  <si>
    <t>Для регулирования утвержденного бюджета к нормативу затрат на коммунальные услуги применен понижающий коэффициент 0,67</t>
  </si>
  <si>
    <t>Для регулирования утвержденного бюджета к нормативу затрат на продукты питания  применен понижающий коэффициент 0,24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</si>
  <si>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17</t>
  </si>
  <si>
    <t xml:space="preserve">        4. Размер субвенции муниципальному бюджетному дошкольному образовательному учреждению детскому саду № 17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</si>
  <si>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18</t>
  </si>
  <si>
    <t>Для регулирования утвержденного бюджета к нормативу затрат на реализацию услуги  " Содержание детей" применен  коэффициент 1,11</t>
  </si>
  <si>
    <t>Для регулирования утвержденного бюджета к нормативу затрат на содержание недвижимого имущества применен понижающий коэффициент 0,77</t>
  </si>
  <si>
    <t>Для регулирования утвержденного бюджета к нормативу затрат на услуги связи  применен понижающий коэффициент 0,47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</si>
  <si>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18</t>
  </si>
  <si>
    <t xml:space="preserve">        4. Размер субвенции муниципальному бюджетному дошкольному образовательному учреждению детскому саду № 18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</si>
  <si>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19</t>
  </si>
  <si>
    <t>Для регулирования утвержденного бюджета к нормативу затрат на реализацию услуги  " Содержание детей" применен понижающий коэффициент 0,90</t>
  </si>
  <si>
    <t>Промывка и опресовка и прочие</t>
  </si>
  <si>
    <t>Для регулирования утвержденного бюджета к нормативу затрат на услуги связи  применен понижающий коэффициент 0,45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</si>
  <si>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бюджетного дошкольного образовательного учреждения детского сада № 19</t>
  </si>
  <si>
    <t xml:space="preserve">        4. Размер субвенции муниципальному бюджетному дошкольному образовательному учреждению детскому саду № 19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</si>
  <si>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МАДОУ детский сад № 21</t>
  </si>
  <si>
    <t>Ожидаемый выпуск воспитанников в 2020оду             (В оч)</t>
  </si>
  <si>
    <t>Для регулирования утвержденного бюджета к нормативу затрат на коммунальные услуги применен повышающий коэффициент 0,84</t>
  </si>
  <si>
    <t>Промывка и опресовка, прочие</t>
  </si>
  <si>
    <t>Для регулирования утвержденного бюджета к нормативу затрат на содержание недвижимого имущества применен понижающий коэффициент 0,74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</si>
  <si>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автономногодошкольного образовательного учреждения детского сада № 21</t>
  </si>
  <si>
    <t xml:space="preserve">        4. Размер субвенции муниципальному автономному дошкольному образовательному учреждению детскому саду № 21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</si>
  <si>
    <t>Расчёт нормативных затрат на реализацию общеобразовательных  программ дошкольного образования для МБДОУ детский сад № 35</t>
  </si>
  <si>
    <t>Nот2</t>
  </si>
  <si>
    <t>Для регулирования утвержденного бюджета к нормативу затрат на реализацию услуги  " Содержание детей" применен понижающий коэффициент 1,04</t>
  </si>
  <si>
    <t>Для регулирования утвержденного бюджета к нормативу затрат на коммунальные услуги применен понижающий коэффициент 0,63</t>
  </si>
  <si>
    <t>Для регулирования утвержденного бюджета к нормативу затрат на услуги связи  применен понижающий коэффициент 0,32</t>
  </si>
  <si>
    <t>3. Итоговый расчет размера субсидии на выполнение муниципального задания на реализацию общеобразовательной программы дошкольного образования для Муниципального муниципального дошкольного образовательного учреждения детского сада № 35</t>
  </si>
  <si>
    <t xml:space="preserve">        4. Размер субвенции муниципальному бюджетному дошкольному образовательному учреждению детскому саду № 35 на осуществление государственных полномочий в области образования по финансовому обеспечению государственных гарантий реализации прав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за исключением расходов на содержание зданий и оплату коммунальных услуг в соотвествии с нормативами финансового обеспечения образовательной деятельности (нормативами подушевого финансирования расходов), установленными законом Каснодарского края о краевом бюджете на соотвествующий финансовый год, и определяются по формуле: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</si>
</sst>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.00"/>
    <numFmt numFmtId="168" formatCode="#,##0"/>
    <numFmt numFmtId="169" formatCode="#,##0.000"/>
    <numFmt numFmtId="170" formatCode="#,##0.0"/>
  </numFmts>
  <fonts count="11">
    <font>
      <sz val="10"/>
      <name val="Arial Cyr"/>
      <family val="0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right" vertical="center"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/>
    </xf>
    <xf numFmtId="165" fontId="3" fillId="2" borderId="3" xfId="0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/>
    </xf>
    <xf numFmtId="166" fontId="3" fillId="0" borderId="3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/>
    </xf>
    <xf numFmtId="164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0" borderId="3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3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 wrapText="1"/>
    </xf>
    <xf numFmtId="164" fontId="5" fillId="0" borderId="3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vertical="center"/>
    </xf>
    <xf numFmtId="164" fontId="4" fillId="0" borderId="3" xfId="0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right"/>
    </xf>
    <xf numFmtId="164" fontId="6" fillId="0" borderId="3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4" fontId="3" fillId="0" borderId="3" xfId="0" applyFont="1" applyBorder="1" applyAlignment="1">
      <alignment wrapText="1"/>
    </xf>
    <xf numFmtId="164" fontId="5" fillId="0" borderId="3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wrapText="1"/>
    </xf>
    <xf numFmtId="164" fontId="7" fillId="0" borderId="0" xfId="0" applyFont="1" applyAlignment="1">
      <alignment horizontal="left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9" fillId="2" borderId="0" xfId="0" applyFont="1" applyFill="1" applyAlignment="1">
      <alignment wrapText="1"/>
    </xf>
    <xf numFmtId="164" fontId="9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5" fillId="0" borderId="0" xfId="0" applyFont="1" applyAlignment="1">
      <alignment/>
    </xf>
    <xf numFmtId="164" fontId="4" fillId="2" borderId="5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/>
    </xf>
    <xf numFmtId="167" fontId="3" fillId="2" borderId="3" xfId="0" applyNumberFormat="1" applyFont="1" applyFill="1" applyBorder="1" applyAlignment="1">
      <alignment horizontal="center" vertical="center" wrapText="1"/>
    </xf>
    <xf numFmtId="164" fontId="7" fillId="2" borderId="0" xfId="0" applyFont="1" applyFill="1" applyAlignment="1">
      <alignment horizontal="left" wrapText="1"/>
    </xf>
    <xf numFmtId="164" fontId="7" fillId="0" borderId="0" xfId="0" applyFont="1" applyAlignment="1">
      <alignment/>
    </xf>
    <xf numFmtId="166" fontId="9" fillId="2" borderId="0" xfId="0" applyNumberFormat="1" applyFont="1" applyFill="1" applyAlignment="1">
      <alignment/>
    </xf>
    <xf numFmtId="166" fontId="10" fillId="0" borderId="0" xfId="0" applyNumberFormat="1" applyFont="1" applyBorder="1" applyAlignment="1">
      <alignment/>
    </xf>
    <xf numFmtId="167" fontId="4" fillId="2" borderId="3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нига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72;&#1083;&#1072;&#1085;&#1089;.&#1089;&#1090;-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ная ведомость ТМЦ (2)"/>
      <sheetName val="Оборотная ведомость ТМЦ"/>
      <sheetName val="Настройка"/>
      <sheetName val="Ошиб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0"/>
  <sheetViews>
    <sheetView workbookViewId="0" topLeftCell="A22">
      <selection activeCell="A131" sqref="A131"/>
    </sheetView>
  </sheetViews>
  <sheetFormatPr defaultColWidth="8.00390625" defaultRowHeight="12.75"/>
  <cols>
    <col min="1" max="1" width="21.25390625" style="0" customWidth="1"/>
    <col min="2" max="2" width="16.25390625" style="0" customWidth="1"/>
    <col min="3" max="3" width="14.75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10.00390625" style="0" customWidth="1"/>
    <col min="9" max="9" width="11.00390625" style="0" customWidth="1"/>
    <col min="10" max="16384" width="9.00390625" style="0" customWidth="1"/>
  </cols>
  <sheetData>
    <row r="2" spans="1:13" ht="46.5" customHeight="1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</v>
      </c>
      <c r="C17" s="10" t="s">
        <v>12</v>
      </c>
      <c r="D17" s="9" t="s">
        <v>13</v>
      </c>
      <c r="E17" s="9" t="s">
        <v>14</v>
      </c>
      <c r="F17" s="11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0</v>
      </c>
      <c r="B18" s="10">
        <v>0</v>
      </c>
      <c r="C18" s="10">
        <v>0</v>
      </c>
      <c r="D18" s="12">
        <v>117</v>
      </c>
      <c r="E18" s="12">
        <v>0</v>
      </c>
      <c r="F18" s="12">
        <v>117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117</v>
      </c>
      <c r="C37" s="18">
        <f>F53</f>
        <v>8102.693162393162</v>
      </c>
      <c r="D37" s="18">
        <f>E53</f>
        <v>948015.1</v>
      </c>
      <c r="E37" s="19">
        <f>G53</f>
        <v>1</v>
      </c>
      <c r="F37" s="18">
        <f aca="true" t="shared" si="0" ref="F37:F40">D37*E37</f>
        <v>948015.1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117</v>
      </c>
      <c r="C38" s="18">
        <f>F69</f>
        <v>22054.939316239313</v>
      </c>
      <c r="D38" s="18">
        <f>E69</f>
        <v>2580427.9</v>
      </c>
      <c r="E38" s="19">
        <f>G69</f>
        <v>0.7478728237281886</v>
      </c>
      <c r="F38" s="18">
        <f t="shared" si="0"/>
        <v>1929831.9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117</v>
      </c>
      <c r="C39" s="18">
        <f>C78</f>
        <v>894.1282051282051</v>
      </c>
      <c r="D39" s="18">
        <f>B78</f>
        <v>104613</v>
      </c>
      <c r="E39" s="19">
        <f>D78</f>
        <v>0.627264297936203</v>
      </c>
      <c r="F39" s="18">
        <f t="shared" si="0"/>
        <v>65620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117</v>
      </c>
      <c r="C40" s="18">
        <f>F88</f>
        <v>0</v>
      </c>
      <c r="D40" s="18">
        <f aca="true" t="shared" si="2" ref="D40:D41"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117</v>
      </c>
      <c r="C41" s="18"/>
      <c r="D41" s="18">
        <f t="shared" si="2"/>
        <v>0</v>
      </c>
      <c r="E41" s="19">
        <f>C137</f>
        <v>0</v>
      </c>
      <c r="F41" s="18">
        <f>D136</f>
        <v>1219715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31051.760683760684</v>
      </c>
      <c r="D42" s="22">
        <f>SUM(D37:D40)</f>
        <v>3633056</v>
      </c>
      <c r="E42" s="23">
        <f>F42/D42</f>
        <v>1.145917376445615</v>
      </c>
      <c r="F42" s="18">
        <f>F37+F38+F39+F40+F41</f>
        <v>4163182</v>
      </c>
      <c r="G42" s="24">
        <f>F42+E95</f>
        <v>4821972</v>
      </c>
      <c r="H42" s="24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36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46.2/2</f>
        <v>23.1</v>
      </c>
      <c r="D49" s="19">
        <f aca="true" t="shared" si="3" ref="D49:D52">E49/C49</f>
        <v>10914.004329004329</v>
      </c>
      <c r="E49" s="19">
        <f>504227/2</f>
        <v>252113.5</v>
      </c>
      <c r="F49" s="19">
        <f aca="true" t="shared" si="4" ref="F49:F52">E49/$B$40</f>
        <v>2154.8162393162393</v>
      </c>
      <c r="G49" s="19">
        <f>(504227/2/E49)</f>
        <v>1</v>
      </c>
      <c r="H49" s="3"/>
      <c r="I49" s="3"/>
      <c r="J49" s="3"/>
      <c r="K49" s="3"/>
      <c r="L49" s="3"/>
      <c r="M49" s="3"/>
    </row>
    <row r="50" spans="1:13" ht="12.75">
      <c r="A50" s="26" t="s">
        <v>45</v>
      </c>
      <c r="B50" s="27" t="s">
        <v>46</v>
      </c>
      <c r="C50" s="19">
        <f>9.18/2</f>
        <v>4.59</v>
      </c>
      <c r="D50" s="19">
        <f t="shared" si="3"/>
        <v>0</v>
      </c>
      <c r="E50" s="19">
        <f>0/2</f>
        <v>0</v>
      </c>
      <c r="F50" s="19">
        <f t="shared" si="4"/>
        <v>0</v>
      </c>
      <c r="G50" s="19" t="e">
        <f>(0/2/E50)</f>
        <v>#DIV/0!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6200*90%</f>
        <v>5580</v>
      </c>
      <c r="D51" s="19">
        <f t="shared" si="3"/>
        <v>114.46193548387096</v>
      </c>
      <c r="E51" s="19">
        <f>709664*90%</f>
        <v>638697.6</v>
      </c>
      <c r="F51" s="19">
        <f t="shared" si="4"/>
        <v>5458.953846153846</v>
      </c>
      <c r="G51" s="19">
        <f>(709664*90%/E51)</f>
        <v>1</v>
      </c>
      <c r="H51" s="3"/>
      <c r="I51" s="3"/>
      <c r="J51" s="3"/>
      <c r="K51" s="3"/>
      <c r="L51" s="3"/>
      <c r="M51" s="3"/>
    </row>
    <row r="52" spans="1:13" ht="12.75">
      <c r="A52" s="26" t="s">
        <v>49</v>
      </c>
      <c r="B52" s="27" t="s">
        <v>46</v>
      </c>
      <c r="C52" s="19">
        <f>3834+4434</f>
        <v>8268</v>
      </c>
      <c r="D52" s="19">
        <f t="shared" si="3"/>
        <v>6.918722786647315</v>
      </c>
      <c r="E52" s="19">
        <v>57204</v>
      </c>
      <c r="F52" s="19">
        <f t="shared" si="4"/>
        <v>488.9230769230769</v>
      </c>
      <c r="G52" s="19">
        <f>(57204/E52)</f>
        <v>1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948015.1</v>
      </c>
      <c r="F53" s="23">
        <f>F49+F50+F51+F52</f>
        <v>8102.693162393162</v>
      </c>
      <c r="G53" s="30">
        <f>(504227/2+709664*90%+57204)/E53</f>
        <v>1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5.5" customHeight="1">
      <c r="A55" s="25" t="s">
        <v>51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128884</v>
      </c>
      <c r="F60" s="19">
        <f aca="true" t="shared" si="5" ref="F60:F68">E60/$B$40</f>
        <v>1101.5726495726497</v>
      </c>
      <c r="G60" s="19">
        <f>(91738/E60)</f>
        <v>0.7117873436578629</v>
      </c>
      <c r="H60" s="3"/>
      <c r="I60" s="3"/>
      <c r="J60" s="3"/>
      <c r="K60" s="3"/>
      <c r="L60" s="3"/>
      <c r="M60" s="3"/>
    </row>
    <row r="61" spans="1:13" ht="12.75">
      <c r="A61" s="26" t="s">
        <v>56</v>
      </c>
      <c r="B61" s="31" t="s">
        <v>57</v>
      </c>
      <c r="C61" s="19">
        <v>1</v>
      </c>
      <c r="D61" s="19">
        <f>E61/C61</f>
        <v>0</v>
      </c>
      <c r="E61" s="19">
        <v>0</v>
      </c>
      <c r="F61" s="19">
        <f t="shared" si="5"/>
        <v>0</v>
      </c>
      <c r="G61" s="19" t="e">
        <f aca="true" t="shared" si="6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 t="shared" si="6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6920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46.2/2</f>
        <v>23.1</v>
      </c>
      <c r="D64" s="19">
        <f aca="true" t="shared" si="7" ref="D64:D66">E64/C64</f>
        <v>10914.004329004329</v>
      </c>
      <c r="E64" s="19">
        <f>504227/2</f>
        <v>252113.5</v>
      </c>
      <c r="F64" s="19">
        <f t="shared" si="5"/>
        <v>2154.8162393162393</v>
      </c>
      <c r="G64" s="19">
        <f>(504227/2/E64)</f>
        <v>1</v>
      </c>
      <c r="H64" s="3"/>
      <c r="I64" s="3"/>
      <c r="J64" s="3"/>
      <c r="K64" s="3"/>
      <c r="L64" s="3"/>
      <c r="M64" s="3"/>
    </row>
    <row r="65" spans="1:13" ht="12.75">
      <c r="A65" s="26" t="s">
        <v>45</v>
      </c>
      <c r="B65" s="27" t="s">
        <v>46</v>
      </c>
      <c r="C65" s="19">
        <f>9180/2</f>
        <v>4590</v>
      </c>
      <c r="D65" s="19">
        <f t="shared" si="7"/>
        <v>0</v>
      </c>
      <c r="E65" s="19">
        <f>0/2</f>
        <v>0</v>
      </c>
      <c r="F65" s="19">
        <f t="shared" si="5"/>
        <v>0</v>
      </c>
      <c r="G65" s="19" t="e">
        <f>(0/2/E65)</f>
        <v>#DIV/0!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6200*10%</f>
        <v>620</v>
      </c>
      <c r="D66" s="19">
        <f t="shared" si="7"/>
        <v>114.46193548387099</v>
      </c>
      <c r="E66" s="19">
        <f>709664*10%</f>
        <v>70966.40000000001</v>
      </c>
      <c r="F66" s="19">
        <f t="shared" si="5"/>
        <v>606.5504273504274</v>
      </c>
      <c r="G66" s="19">
        <f>(709664*10%/E66)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54528</v>
      </c>
      <c r="F67" s="19">
        <f t="shared" si="5"/>
        <v>466.05128205128204</v>
      </c>
      <c r="G67" s="19">
        <f>(38812/E67)</f>
        <v>0.711781103286385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1264296</v>
      </c>
      <c r="F68" s="19">
        <f t="shared" si="5"/>
        <v>10805.948717948719</v>
      </c>
      <c r="G68" s="19">
        <f>(899910/E68)</f>
        <v>0.711787429525997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2580427.9</v>
      </c>
      <c r="F69" s="23">
        <f>SUM(F60:F68)</f>
        <v>22054.939316239313</v>
      </c>
      <c r="G69" s="30">
        <f>(91738+576292+504227/2+709664*10%+899910+38812)/E69</f>
        <v>0.7478728237281886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1.5" customHeight="1">
      <c r="A71" s="25" t="s">
        <v>62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38.25">
      <c r="A76" s="26" t="s">
        <v>64</v>
      </c>
      <c r="B76" s="34">
        <v>0</v>
      </c>
      <c r="C76" s="19">
        <f aca="true" t="shared" si="8" ref="C76:C77">B76/$B$40</f>
        <v>0</v>
      </c>
      <c r="D76" s="19" t="e">
        <f>(0/B76)</f>
        <v>#DIV/0!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68508+6226+17455+12424</f>
        <v>104613</v>
      </c>
      <c r="C77" s="19">
        <f t="shared" si="8"/>
        <v>894.1282051282051</v>
      </c>
      <c r="D77" s="19">
        <f>(48763+4433+12424)/B77</f>
        <v>0.627264297936203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104613</v>
      </c>
      <c r="C78" s="37">
        <f>SUM(C76:C77)</f>
        <v>894.1282051282051</v>
      </c>
      <c r="D78" s="37">
        <f>(12424+48763+4433)/B78</f>
        <v>0.627264297936203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66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9" ref="C85:C86">E85/D85/B85</f>
        <v>0</v>
      </c>
      <c r="D85" s="44">
        <v>12</v>
      </c>
      <c r="E85" s="45">
        <v>0</v>
      </c>
      <c r="F85" s="19">
        <f aca="true" t="shared" si="10" ref="F85:F88">E85/$B$40</f>
        <v>0</v>
      </c>
      <c r="G85" s="46" t="e">
        <f aca="true" t="shared" si="11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9"/>
        <v>0</v>
      </c>
      <c r="D86" s="44">
        <v>12</v>
      </c>
      <c r="E86" s="45">
        <v>0</v>
      </c>
      <c r="F86" s="19">
        <f t="shared" si="10"/>
        <v>0</v>
      </c>
      <c r="G86" s="46" t="e">
        <f t="shared" si="11"/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10"/>
        <v>0</v>
      </c>
      <c r="G87" s="46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10"/>
        <v>0</v>
      </c>
      <c r="G88" s="30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hidden="1">
      <c r="A90" s="3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925543</v>
      </c>
      <c r="C95" s="23">
        <f>B95/$B$40</f>
        <v>7910.623931623932</v>
      </c>
      <c r="D95" s="23">
        <f>658790/B95</f>
        <v>0.7117875668661532</v>
      </c>
      <c r="E95" s="18">
        <f>B95*D95</f>
        <v>658790</v>
      </c>
      <c r="F95" s="18">
        <f>E95-B95</f>
        <v>-266753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82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89.2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24"/>
      <c r="I115" s="3"/>
      <c r="J115" s="3"/>
      <c r="K115" s="3"/>
      <c r="L115" s="3"/>
      <c r="M115" s="3"/>
    </row>
    <row r="116" spans="1:13" ht="12.75">
      <c r="A116" s="37">
        <f>C42</f>
        <v>31051.760683760684</v>
      </c>
      <c r="B116" s="37">
        <f>E42</f>
        <v>1.145917376445615</v>
      </c>
      <c r="C116" s="23">
        <f>C95</f>
        <v>7910.623931623932</v>
      </c>
      <c r="D116" s="23">
        <f>D95</f>
        <v>0.7117875668661532</v>
      </c>
      <c r="E116" s="37">
        <f>(A116*B116+C116*D116)*F18</f>
        <v>4821972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4" customHeight="1">
      <c r="A118" s="13" t="s">
        <v>94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02">
      <c r="A129" s="31" t="s">
        <v>100</v>
      </c>
      <c r="B129" s="15" t="s">
        <v>101</v>
      </c>
      <c r="C129" s="31" t="s">
        <v>102</v>
      </c>
      <c r="D129" s="31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95.25" customHeight="1">
      <c r="A130" s="54">
        <f>6907872+25742+65101+81197+30000</f>
        <v>7109912</v>
      </c>
      <c r="B130" s="54">
        <v>984312</v>
      </c>
      <c r="C130" s="55">
        <v>656208</v>
      </c>
      <c r="D130" s="56">
        <f>A130+B130+C130</f>
        <v>8750432</v>
      </c>
      <c r="E130" s="57"/>
      <c r="F130" s="3"/>
      <c r="G130" s="3"/>
      <c r="H130" s="3"/>
      <c r="I130" s="3"/>
      <c r="J130" s="3"/>
      <c r="K130" s="3"/>
      <c r="L130" s="3"/>
      <c r="M130" s="3"/>
    </row>
    <row r="131" spans="1:13" ht="25.5">
      <c r="A131" s="58" t="s">
        <v>104</v>
      </c>
      <c r="B131" s="59" t="s">
        <v>105</v>
      </c>
      <c r="C131" s="59" t="s">
        <v>106</v>
      </c>
      <c r="D131" s="60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1" t="s">
        <v>107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 t="s">
        <v>108</v>
      </c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16" t="s">
        <v>109</v>
      </c>
      <c r="B134" s="16">
        <v>0</v>
      </c>
      <c r="C134" s="16"/>
      <c r="D134" s="18">
        <f>936801</f>
        <v>936801</v>
      </c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110</v>
      </c>
      <c r="B135" s="16">
        <v>0</v>
      </c>
      <c r="C135" s="16"/>
      <c r="D135" s="18">
        <v>282914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21" t="s">
        <v>50</v>
      </c>
      <c r="B136" s="21">
        <f>B134+B135</f>
        <v>0</v>
      </c>
      <c r="C136" s="21"/>
      <c r="D136" s="22">
        <f>D134+D135</f>
        <v>1219715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6:13" ht="12.75">
      <c r="F360" s="3"/>
      <c r="G360" s="3"/>
      <c r="H360" s="3"/>
      <c r="I360" s="3"/>
      <c r="J360" s="3"/>
      <c r="K360" s="3"/>
      <c r="L360" s="3"/>
      <c r="M360" s="3"/>
    </row>
  </sheetData>
  <sheetProtection selectLockedCells="1" selectUnlockedCells="1"/>
  <mergeCells count="18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57"/>
  <sheetViews>
    <sheetView workbookViewId="0" topLeftCell="A114">
      <selection activeCell="A121" sqref="A12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5.25390625" style="0" customWidth="1"/>
    <col min="8" max="16384" width="9.00390625" style="0" customWidth="1"/>
  </cols>
  <sheetData>
    <row r="2" spans="1:13" ht="59.25" customHeight="1">
      <c r="A2" s="1" t="s">
        <v>176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147</v>
      </c>
      <c r="C17" s="10" t="s">
        <v>12</v>
      </c>
      <c r="D17" s="9" t="s">
        <v>13</v>
      </c>
      <c r="E17" s="9" t="s">
        <v>177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202</v>
      </c>
      <c r="B18" s="10">
        <v>0</v>
      </c>
      <c r="C18" s="12">
        <v>31</v>
      </c>
      <c r="D18" s="12">
        <v>31</v>
      </c>
      <c r="E18" s="63">
        <v>9</v>
      </c>
      <c r="F18" s="63">
        <v>193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82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193</v>
      </c>
      <c r="C37" s="18">
        <f>F53</f>
        <v>7411.545595854923</v>
      </c>
      <c r="D37" s="18">
        <f>E53</f>
        <v>1430428.3</v>
      </c>
      <c r="E37" s="19">
        <f>G53</f>
        <v>0.6665764372810578</v>
      </c>
      <c r="F37" s="18">
        <f aca="true" t="shared" si="0" ref="F37:F40">E37*D37</f>
        <v>953489.8</v>
      </c>
      <c r="G37" s="66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193</v>
      </c>
      <c r="C38" s="18">
        <f>F69</f>
        <v>7583.174611398965</v>
      </c>
      <c r="D38" s="18">
        <f>E69</f>
        <v>1463552.7</v>
      </c>
      <c r="E38" s="19">
        <f>G69</f>
        <v>0.6779668405517615</v>
      </c>
      <c r="F38" s="18">
        <f t="shared" si="0"/>
        <v>992240.2</v>
      </c>
      <c r="G38" s="66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193</v>
      </c>
      <c r="C39" s="18">
        <f>C78</f>
        <v>442.69430051813475</v>
      </c>
      <c r="D39" s="18">
        <f>B78</f>
        <v>85440</v>
      </c>
      <c r="E39" s="19">
        <f>D78</f>
        <v>0.7117860486891385</v>
      </c>
      <c r="F39" s="18">
        <f t="shared" si="0"/>
        <v>60814.99999999999</v>
      </c>
      <c r="G39" s="66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193</v>
      </c>
      <c r="C40" s="18">
        <v>0</v>
      </c>
      <c r="D40" s="18">
        <v>0</v>
      </c>
      <c r="E40" s="19">
        <v>0</v>
      </c>
      <c r="F40" s="18">
        <f t="shared" si="0"/>
        <v>0</v>
      </c>
      <c r="G40" s="66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193</v>
      </c>
      <c r="C41" s="18">
        <v>0</v>
      </c>
      <c r="D41" s="18">
        <v>0</v>
      </c>
      <c r="E41" s="19">
        <v>1</v>
      </c>
      <c r="F41" s="18">
        <f>D128</f>
        <v>977185</v>
      </c>
      <c r="G41" s="66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15437.41450777202</v>
      </c>
      <c r="D42" s="22">
        <f>SUM(D37:D40)</f>
        <v>2979421</v>
      </c>
      <c r="E42" s="23">
        <f>F42/D42</f>
        <v>1.0014462541547502</v>
      </c>
      <c r="F42" s="18">
        <f>F37+F38+F39+F40+F41</f>
        <v>2983730</v>
      </c>
      <c r="G42" s="66">
        <f>F42+E86</f>
        <v>4469796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157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181.25/2</f>
        <v>90.625</v>
      </c>
      <c r="D49" s="19">
        <f aca="true" t="shared" si="2" ref="D49:D52">E49/C49</f>
        <v>3279.977931034483</v>
      </c>
      <c r="E49" s="19">
        <f>594496/2</f>
        <v>297248</v>
      </c>
      <c r="F49" s="19">
        <f aca="true" t="shared" si="3" ref="F49:F52">E49/$B$40</f>
        <v>1540.1450777202072</v>
      </c>
      <c r="G49" s="19">
        <f>(272131/2/E49)</f>
        <v>0.4577507670362795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2.472/2</f>
        <v>1.236</v>
      </c>
      <c r="D50" s="19">
        <f t="shared" si="2"/>
        <v>10129.045307443366</v>
      </c>
      <c r="E50" s="19">
        <f>25039/2</f>
        <v>12519.5</v>
      </c>
      <c r="F50" s="19">
        <f t="shared" si="3"/>
        <v>64.8678756476684</v>
      </c>
      <c r="G50" s="19">
        <f>(25039/2/E50)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72340*90%</f>
        <v>65106</v>
      </c>
      <c r="D51" s="19">
        <f t="shared" si="2"/>
        <v>10.746364390378767</v>
      </c>
      <c r="E51" s="19">
        <f>777392*90%</f>
        <v>699652.8</v>
      </c>
      <c r="F51" s="19">
        <f t="shared" si="3"/>
        <v>3625.1440414507774</v>
      </c>
      <c r="G51" s="19">
        <f>(777392*90%/E51)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5894+3770</f>
        <v>9664</v>
      </c>
      <c r="D52" s="19">
        <f t="shared" si="2"/>
        <v>43.56456953642384</v>
      </c>
      <c r="E52" s="19">
        <v>421008</v>
      </c>
      <c r="F52" s="19">
        <f t="shared" si="3"/>
        <v>2181.3886010362694</v>
      </c>
      <c r="G52" s="19">
        <f>(105252/E52)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1430428.3</v>
      </c>
      <c r="F53" s="23">
        <f>F49+F50+F51+F52</f>
        <v>7411.545595854923</v>
      </c>
      <c r="G53" s="23">
        <f>(272131/2+25039/2+777392*90%+105252)/E53</f>
        <v>0.6665764372810578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3.25" customHeight="1">
      <c r="A55" s="25" t="s">
        <v>178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41757</v>
      </c>
      <c r="F60" s="19">
        <f aca="true" t="shared" si="4" ref="F60:F68">E60/$B$40</f>
        <v>216.3575129533679</v>
      </c>
      <c r="G60" s="19">
        <f>(29722/E60)</f>
        <v>0.7117848504442369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2</v>
      </c>
      <c r="D61" s="19">
        <f>E61/C61</f>
        <v>9298.5</v>
      </c>
      <c r="E61" s="19">
        <v>18597</v>
      </c>
      <c r="F61" s="19">
        <f t="shared" si="4"/>
        <v>96.35751295336787</v>
      </c>
      <c r="G61" s="19">
        <f>(13237/E61)</f>
        <v>0.7117814701295908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4"/>
        <v>4195.025906735751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181.25/2</f>
        <v>90.625</v>
      </c>
      <c r="D64" s="19">
        <f aca="true" t="shared" si="5" ref="D64:D66">E64/C64</f>
        <v>3279.977931034483</v>
      </c>
      <c r="E64" s="19">
        <f>594496/2</f>
        <v>297248</v>
      </c>
      <c r="F64" s="19">
        <f t="shared" si="4"/>
        <v>1540.1450777202072</v>
      </c>
      <c r="G64" s="19">
        <f>(272131/2/E64)</f>
        <v>0.4577507670362795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2.472/2</f>
        <v>1.236</v>
      </c>
      <c r="D65" s="19">
        <f t="shared" si="5"/>
        <v>10129.045307443366</v>
      </c>
      <c r="E65" s="19">
        <f>25039/2</f>
        <v>12519.5</v>
      </c>
      <c r="F65" s="19">
        <f t="shared" si="4"/>
        <v>64.8678756476684</v>
      </c>
      <c r="G65" s="19">
        <f>(25039/2/E65)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72340*10%</f>
        <v>7234</v>
      </c>
      <c r="D66" s="19">
        <f t="shared" si="5"/>
        <v>10.746364390378767</v>
      </c>
      <c r="E66" s="19">
        <f>777392*10%</f>
        <v>77739.2</v>
      </c>
      <c r="F66" s="19">
        <f t="shared" si="4"/>
        <v>402.7937823834197</v>
      </c>
      <c r="G66" s="19">
        <f>(777392*10%/E66)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105488</v>
      </c>
      <c r="F67" s="19">
        <f t="shared" si="4"/>
        <v>546.5699481865284</v>
      </c>
      <c r="G67" s="19">
        <f>(75085/E67)</f>
        <v>0.7117871227059002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100564</v>
      </c>
      <c r="F68" s="19">
        <f t="shared" si="4"/>
        <v>521.0569948186528</v>
      </c>
      <c r="G68" s="19">
        <f>(71580/E68)</f>
        <v>0.7117855296129828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1463552.7</v>
      </c>
      <c r="F69" s="23">
        <f>SUM(F60:F68)</f>
        <v>7583.174611398965</v>
      </c>
      <c r="G69" s="23">
        <f>(29722+13237+576292+272131/2+25039/2+777392*10%+71580+75085)/E69</f>
        <v>0.6779668405517615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8.5" customHeight="1">
      <c r="A71" s="25" t="s">
        <v>135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1943</v>
      </c>
      <c r="C76" s="19">
        <f aca="true" t="shared" si="6" ref="C76:C77">B76/$B$40</f>
        <v>10.067357512953368</v>
      </c>
      <c r="D76" s="19">
        <f>(1383/B76)</f>
        <v>0.7117858980957282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66042+17455</f>
        <v>83497</v>
      </c>
      <c r="C77" s="19">
        <f t="shared" si="6"/>
        <v>432.6269430051814</v>
      </c>
      <c r="D77" s="19">
        <f>(47008+12424)/B77</f>
        <v>0.711786052193492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85440</v>
      </c>
      <c r="C78" s="37">
        <f>SUM(C76:C77)</f>
        <v>442.69430051813475</v>
      </c>
      <c r="D78" s="37">
        <f>(47008+12424+1383)/B78</f>
        <v>0.7117860486891385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151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45" customHeight="1">
      <c r="A83" s="13" t="s">
        <v>77</v>
      </c>
      <c r="B83" s="13"/>
      <c r="C83" s="13"/>
      <c r="D83" s="13"/>
      <c r="E83" s="13"/>
      <c r="F83" s="13"/>
      <c r="G83" s="13"/>
      <c r="H83" s="14"/>
      <c r="I83" s="14"/>
      <c r="J83" s="14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63.75">
      <c r="A85" s="15" t="s">
        <v>38</v>
      </c>
      <c r="B85" s="40" t="s">
        <v>71</v>
      </c>
      <c r="C85" s="15" t="s">
        <v>26</v>
      </c>
      <c r="D85" s="15" t="s">
        <v>28</v>
      </c>
      <c r="E85" s="50" t="s">
        <v>78</v>
      </c>
      <c r="F85" s="3"/>
      <c r="G85" s="3"/>
      <c r="H85" s="3"/>
      <c r="I85" s="3"/>
      <c r="J85" s="3"/>
      <c r="K85" s="3"/>
      <c r="L85" s="3"/>
      <c r="M85" s="3"/>
    </row>
    <row r="86" spans="1:13" ht="12.75">
      <c r="A86" s="51" t="s">
        <v>80</v>
      </c>
      <c r="B86" s="37">
        <v>2087794</v>
      </c>
      <c r="C86" s="23">
        <f>B86/$B$40</f>
        <v>10817.58549222798</v>
      </c>
      <c r="D86" s="23">
        <f>1486066/B86</f>
        <v>0.7117876572113916</v>
      </c>
      <c r="E86" s="18">
        <f>B86*D86</f>
        <v>1486066</v>
      </c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34.5" customHeight="1">
      <c r="A88" s="25" t="s">
        <v>179</v>
      </c>
      <c r="B88" s="25"/>
      <c r="C88" s="25"/>
      <c r="D88" s="25"/>
      <c r="E88" s="25"/>
      <c r="F88" s="25"/>
      <c r="G88" s="25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48.75" customHeight="1">
      <c r="A90" s="52" t="s">
        <v>180</v>
      </c>
      <c r="B90" s="52"/>
      <c r="C90" s="52"/>
      <c r="D90" s="52"/>
      <c r="E90" s="52"/>
      <c r="F90" s="52"/>
      <c r="G90" s="52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4.25">
      <c r="A92" s="3" t="s">
        <v>83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 t="s">
        <v>84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 t="s">
        <v>85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7.25" customHeight="1">
      <c r="A98" s="4" t="s">
        <v>86</v>
      </c>
      <c r="B98" s="4"/>
      <c r="C98" s="4"/>
      <c r="D98" s="4"/>
      <c r="E98" s="4"/>
      <c r="F98" s="4"/>
      <c r="G98" s="4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 t="s">
        <v>87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3.5" customHeight="1">
      <c r="A102" s="4" t="s">
        <v>88</v>
      </c>
      <c r="B102" s="4"/>
      <c r="C102" s="4"/>
      <c r="D102" s="4"/>
      <c r="E102" s="4"/>
      <c r="F102" s="4"/>
      <c r="G102" s="4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 t="s">
        <v>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14.75">
      <c r="A106" s="15" t="s">
        <v>89</v>
      </c>
      <c r="B106" s="15" t="s">
        <v>90</v>
      </c>
      <c r="C106" s="40" t="s">
        <v>91</v>
      </c>
      <c r="D106" s="15" t="s">
        <v>92</v>
      </c>
      <c r="E106" s="15" t="s">
        <v>93</v>
      </c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7">
        <f>C42</f>
        <v>15437.41450777202</v>
      </c>
      <c r="B107" s="37">
        <f>E42</f>
        <v>1.0014462541547502</v>
      </c>
      <c r="C107" s="23">
        <f>C86</f>
        <v>10817.58549222798</v>
      </c>
      <c r="D107" s="23">
        <f>D86</f>
        <v>0.7117876572113916</v>
      </c>
      <c r="E107" s="37">
        <f>(A107*B107+C107*D107)*F18</f>
        <v>4469796</v>
      </c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97.5" customHeight="1">
      <c r="A109" s="13" t="s">
        <v>181</v>
      </c>
      <c r="B109" s="13"/>
      <c r="C109" s="13"/>
      <c r="D109" s="13"/>
      <c r="E109" s="13"/>
      <c r="F109" s="13"/>
      <c r="G109" s="1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 t="s">
        <v>95</v>
      </c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 t="s">
        <v>96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 t="s">
        <v>97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 t="s">
        <v>98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 t="s">
        <v>99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40.25">
      <c r="A120" s="70" t="s">
        <v>100</v>
      </c>
      <c r="B120" s="9" t="s">
        <v>101</v>
      </c>
      <c r="C120" s="70" t="s">
        <v>102</v>
      </c>
      <c r="D120" s="70" t="s">
        <v>103</v>
      </c>
      <c r="E120" s="53"/>
      <c r="F120" s="53"/>
      <c r="G120" s="53"/>
      <c r="H120" s="3"/>
      <c r="I120" s="3"/>
      <c r="J120" s="3"/>
      <c r="K120" s="3"/>
      <c r="L120" s="3"/>
      <c r="M120" s="3"/>
    </row>
    <row r="121" spans="1:13" ht="12.75">
      <c r="A121" s="54">
        <f>13175437+600+27092+285708+164452+5000</f>
        <v>13658289</v>
      </c>
      <c r="B121" s="54">
        <f>1404000+424008</f>
        <v>1828008</v>
      </c>
      <c r="C121" s="55">
        <f>936000+282672</f>
        <v>1218672</v>
      </c>
      <c r="D121" s="56">
        <f>A121+B121+C121</f>
        <v>16704969</v>
      </c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72"/>
      <c r="B122" s="72"/>
      <c r="C122" s="72"/>
      <c r="D122" s="72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72"/>
      <c r="B123" s="72"/>
      <c r="C123" s="72"/>
      <c r="D123" s="72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77" t="s">
        <v>107</v>
      </c>
      <c r="B124" s="78"/>
      <c r="C124" s="78"/>
      <c r="D124" s="78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78"/>
      <c r="B125" s="78"/>
      <c r="C125" s="78"/>
      <c r="D125" s="78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79" t="s">
        <v>109</v>
      </c>
      <c r="B126" s="79">
        <v>0</v>
      </c>
      <c r="C126" s="79"/>
      <c r="D126" s="18">
        <v>750526</v>
      </c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79" t="s">
        <v>110</v>
      </c>
      <c r="B127" s="79">
        <v>0</v>
      </c>
      <c r="C127" s="79"/>
      <c r="D127" s="18">
        <v>226659</v>
      </c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80" t="s">
        <v>50</v>
      </c>
      <c r="B128" s="80">
        <f>B126+B127</f>
        <v>0</v>
      </c>
      <c r="C128" s="80"/>
      <c r="D128" s="22">
        <f>D126+D127</f>
        <v>977185</v>
      </c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6:13" ht="12.75">
      <c r="F357" s="3"/>
      <c r="G357" s="3"/>
      <c r="H357" s="3"/>
      <c r="I357" s="3"/>
      <c r="J357" s="3"/>
      <c r="K357" s="3"/>
      <c r="L357" s="3"/>
      <c r="M357" s="3"/>
    </row>
  </sheetData>
  <sheetProtection selectLockedCells="1" selectUnlockedCells="1"/>
  <mergeCells count="18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83:G83"/>
    <mergeCell ref="A88:G88"/>
    <mergeCell ref="A90:G90"/>
    <mergeCell ref="A98:G98"/>
    <mergeCell ref="A102:G102"/>
    <mergeCell ref="A109:G10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F137" sqref="F137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4.25390625" style="0" customWidth="1"/>
    <col min="8" max="16384" width="9.00390625" style="0" customWidth="1"/>
  </cols>
  <sheetData>
    <row r="2" spans="1:13" ht="59.25" customHeight="1">
      <c r="A2" s="1" t="s">
        <v>182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124</v>
      </c>
      <c r="C17" s="10" t="s">
        <v>12</v>
      </c>
      <c r="D17" s="9" t="s">
        <v>13</v>
      </c>
      <c r="E17" s="9" t="s">
        <v>125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308</v>
      </c>
      <c r="B18" s="10">
        <v>1</v>
      </c>
      <c r="C18" s="12">
        <v>84</v>
      </c>
      <c r="D18" s="12">
        <v>75</v>
      </c>
      <c r="E18" s="63">
        <v>9</v>
      </c>
      <c r="F18" s="63">
        <v>279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279</v>
      </c>
      <c r="C37" s="18">
        <f>F53</f>
        <v>8138.069175627241</v>
      </c>
      <c r="D37" s="18">
        <f>E53</f>
        <v>2270521.3</v>
      </c>
      <c r="E37" s="19">
        <f>G53</f>
        <v>0.7509435388252029</v>
      </c>
      <c r="F37" s="18">
        <f aca="true" t="shared" si="0" ref="F37:F40">E37*D37</f>
        <v>1705033.3</v>
      </c>
      <c r="G37" s="65">
        <f aca="true" t="shared" si="1" ref="G37:G40">F37-D37</f>
        <v>-565487.9999999998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279</v>
      </c>
      <c r="C38" s="18">
        <f>F69</f>
        <v>7211.40394265233</v>
      </c>
      <c r="D38" s="18">
        <f>E69</f>
        <v>2011981.7</v>
      </c>
      <c r="E38" s="19">
        <f>G69</f>
        <v>0.7715302281327907</v>
      </c>
      <c r="F38" s="18">
        <f t="shared" si="0"/>
        <v>1552304.7</v>
      </c>
      <c r="G38" s="65">
        <f t="shared" si="1"/>
        <v>-459677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279</v>
      </c>
      <c r="C39" s="18">
        <f>C78</f>
        <v>372.258064516129</v>
      </c>
      <c r="D39" s="18">
        <f>B78</f>
        <v>103860</v>
      </c>
      <c r="E39" s="19">
        <f>D78</f>
        <v>0.711785095320624</v>
      </c>
      <c r="F39" s="18">
        <f t="shared" si="0"/>
        <v>73926</v>
      </c>
      <c r="G39" s="65">
        <f t="shared" si="1"/>
        <v>-29934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279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279</v>
      </c>
      <c r="C41" s="18">
        <v>0</v>
      </c>
      <c r="D41" s="18">
        <v>0</v>
      </c>
      <c r="E41" s="19">
        <v>1</v>
      </c>
      <c r="F41" s="18">
        <f>D137</f>
        <v>1546870</v>
      </c>
      <c r="G41" s="65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15721.731182795698</v>
      </c>
      <c r="D42" s="22">
        <f>SUM(D37:D40)</f>
        <v>4386363</v>
      </c>
      <c r="E42" s="23">
        <f>F42/D42</f>
        <v>1.1121136121201096</v>
      </c>
      <c r="F42" s="18">
        <f>F37+F38+F39+F40+F41</f>
        <v>4878134</v>
      </c>
      <c r="G42" s="81">
        <f>F42+E95</f>
        <v>7138347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183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0/2</f>
        <v>0</v>
      </c>
      <c r="D49" s="19" t="e">
        <f aca="true" t="shared" si="3" ref="D49:D52">E49/C49</f>
        <v>#DIV/0!</v>
      </c>
      <c r="E49" s="19">
        <v>0</v>
      </c>
      <c r="F49" s="19">
        <f aca="true" t="shared" si="4" ref="F49:F52">E49/$B$40</f>
        <v>0</v>
      </c>
      <c r="G49" s="19" t="e">
        <f>(0/2/E49)</f>
        <v>#DIV/0!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73.141/2</f>
        <v>36.5705</v>
      </c>
      <c r="D50" s="19">
        <f t="shared" si="3"/>
        <v>7646.0671852996265</v>
      </c>
      <c r="E50" s="19">
        <f>559241/2</f>
        <v>279620.5</v>
      </c>
      <c r="F50" s="19">
        <f t="shared" si="4"/>
        <v>1002.2240143369175</v>
      </c>
      <c r="G50" s="19">
        <f>(559241/2/E50)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118190*90%</f>
        <v>106371</v>
      </c>
      <c r="D51" s="19">
        <f t="shared" si="3"/>
        <v>11.628327269650564</v>
      </c>
      <c r="E51" s="19">
        <f>1374352*90%</f>
        <v>1236916.8</v>
      </c>
      <c r="F51" s="19">
        <f t="shared" si="4"/>
        <v>4433.393548387097</v>
      </c>
      <c r="G51" s="19">
        <f>(1374352*90%/E51)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10170+3770</f>
        <v>13940</v>
      </c>
      <c r="D52" s="19">
        <f t="shared" si="3"/>
        <v>54.08780487804878</v>
      </c>
      <c r="E52" s="19">
        <v>753984</v>
      </c>
      <c r="F52" s="19">
        <f t="shared" si="4"/>
        <v>2702.451612903226</v>
      </c>
      <c r="G52" s="19">
        <f>(188496/E52)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2270521.3</v>
      </c>
      <c r="F53" s="23">
        <f>F49+F50+F51+F52</f>
        <v>8138.069175627241</v>
      </c>
      <c r="G53" s="23">
        <f>(559241/2+1374352*90%+188496)/E53</f>
        <v>0.7509435388252029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6.25" customHeight="1">
      <c r="A55" s="25" t="s">
        <v>164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90230</v>
      </c>
      <c r="F60" s="19">
        <f aca="true" t="shared" si="5" ref="F60:F68">E60/$B$40</f>
        <v>323.40501792114696</v>
      </c>
      <c r="G60" s="19">
        <f>(64225/E60)</f>
        <v>0.7117920868890613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0</v>
      </c>
      <c r="E61" s="19">
        <v>0</v>
      </c>
      <c r="F61" s="19">
        <f t="shared" si="5"/>
        <v>0</v>
      </c>
      <c r="G61" s="19" t="e">
        <f aca="true" t="shared" si="6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 t="shared" si="6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2901.935483870968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 t="e">
        <f aca="true" t="shared" si="7" ref="D64:D66">E64/C64</f>
        <v>#DIV/0!</v>
      </c>
      <c r="E64" s="19">
        <v>0</v>
      </c>
      <c r="F64" s="19">
        <f t="shared" si="5"/>
        <v>0</v>
      </c>
      <c r="G64" s="19" t="e">
        <f>(0/2/E64)</f>
        <v>#DIV/0!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73.141/2</f>
        <v>36.5705</v>
      </c>
      <c r="D65" s="19">
        <f t="shared" si="7"/>
        <v>7646.0671852996265</v>
      </c>
      <c r="E65" s="19">
        <f>559241/2</f>
        <v>279620.5</v>
      </c>
      <c r="F65" s="19">
        <f t="shared" si="5"/>
        <v>1002.2240143369175</v>
      </c>
      <c r="G65" s="19">
        <f>(559241/2/E65)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118190*10%</f>
        <v>11819</v>
      </c>
      <c r="D66" s="19">
        <f t="shared" si="7"/>
        <v>11.628327269650564</v>
      </c>
      <c r="E66" s="19">
        <f>1374352*10%</f>
        <v>137435.2</v>
      </c>
      <c r="F66" s="19">
        <f t="shared" si="5"/>
        <v>492.5992831541219</v>
      </c>
      <c r="G66" s="19">
        <f>(1374352*10%/E66)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218320</v>
      </c>
      <c r="F67" s="19">
        <f t="shared" si="5"/>
        <v>782.5089605734767</v>
      </c>
      <c r="G67" s="19">
        <f>(155397/E67)</f>
        <v>0.7117854525467204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476736</v>
      </c>
      <c r="F68" s="19">
        <f t="shared" si="5"/>
        <v>1708.731182795699</v>
      </c>
      <c r="G68" s="19">
        <f>(339335/E68)</f>
        <v>0.7117880755806149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2011981.7</v>
      </c>
      <c r="F69" s="23">
        <f>SUM(F60:F68)</f>
        <v>7211.40394265233</v>
      </c>
      <c r="G69" s="23">
        <f>(64225+576292+559241/2+1374352*10%+339335+155397)/E69</f>
        <v>0.7715302281327907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8.5" customHeight="1">
      <c r="A71" s="25" t="s">
        <v>184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2950</v>
      </c>
      <c r="C76" s="19">
        <f aca="true" t="shared" si="8" ref="C76:C77">B76/$B$40</f>
        <v>10.57347670250896</v>
      </c>
      <c r="D76" s="19">
        <f>(2100/B76)</f>
        <v>0.711864406779661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83455+17455</f>
        <v>100910</v>
      </c>
      <c r="C77" s="19">
        <f t="shared" si="8"/>
        <v>361.68458781362006</v>
      </c>
      <c r="D77" s="19">
        <f>(59402+12424)/B77</f>
        <v>0.7117827767317412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103860</v>
      </c>
      <c r="C78" s="37">
        <f>SUM(C76:C77)</f>
        <v>372.258064516129</v>
      </c>
      <c r="D78" s="37">
        <f>(59402+12424+2100)/B78</f>
        <v>0.711785095320624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2</v>
      </c>
      <c r="C85" s="43">
        <f aca="true" t="shared" si="9" ref="C85:C86">E85/D85/B85</f>
        <v>0</v>
      </c>
      <c r="D85" s="44">
        <v>12</v>
      </c>
      <c r="E85" s="45">
        <v>0</v>
      </c>
      <c r="F85" s="19">
        <f aca="true" t="shared" si="10" ref="F85:F88">E85/$B$40</f>
        <v>0</v>
      </c>
      <c r="G85" s="19" t="e">
        <f>(0/E85)*2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9"/>
        <v>0</v>
      </c>
      <c r="D86" s="44">
        <v>12</v>
      </c>
      <c r="E86" s="45">
        <v>0</v>
      </c>
      <c r="F86" s="19">
        <f t="shared" si="10"/>
        <v>0</v>
      </c>
      <c r="G86" s="19" t="e">
        <f aca="true" t="shared" si="11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10"/>
        <v>0</v>
      </c>
      <c r="G87" s="19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10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" customHeight="1" hidden="1">
      <c r="A90" s="25" t="s">
        <v>185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3175404</v>
      </c>
      <c r="C95" s="23">
        <f>B95/$B$40</f>
        <v>11381.376344086022</v>
      </c>
      <c r="D95" s="23">
        <f>2260213/B95</f>
        <v>0.7117875394752919</v>
      </c>
      <c r="E95" s="18">
        <f>B95*D95</f>
        <v>2260213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186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15721.731182795698</v>
      </c>
      <c r="B116" s="37">
        <f>E42</f>
        <v>1.1121136121201096</v>
      </c>
      <c r="C116" s="23">
        <f>C95</f>
        <v>11381.376344086022</v>
      </c>
      <c r="D116" s="23">
        <f>D95</f>
        <v>0.7117875394752919</v>
      </c>
      <c r="E116" s="37">
        <f>(A116*B116+C116*D116)*F18</f>
        <v>7138347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5.25" customHeight="1">
      <c r="A118" s="13" t="s">
        <v>187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19818690+1200+58543+260530+439347+40000+1</f>
        <v>20618311</v>
      </c>
      <c r="B130" s="54">
        <f>2448000+739296</f>
        <v>3187296</v>
      </c>
      <c r="C130" s="55">
        <f>1692000+510984</f>
        <v>2202984</v>
      </c>
      <c r="D130" s="56">
        <f>A130+B130+C130</f>
        <v>26008591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77" t="s">
        <v>107</v>
      </c>
      <c r="B133" s="78"/>
      <c r="C133" s="78"/>
      <c r="D133" s="7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8"/>
      <c r="B134" s="78"/>
      <c r="C134" s="78"/>
      <c r="D134" s="78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9" t="s">
        <v>109</v>
      </c>
      <c r="B135" s="79">
        <v>0</v>
      </c>
      <c r="C135" s="79"/>
      <c r="D135" s="18">
        <f>1187611+600</f>
        <v>1188211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79" t="s">
        <v>110</v>
      </c>
      <c r="B136" s="79">
        <v>0</v>
      </c>
      <c r="C136" s="79"/>
      <c r="D136" s="18">
        <v>358659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80" t="s">
        <v>50</v>
      </c>
      <c r="B137" s="80">
        <f>B135+B136</f>
        <v>0</v>
      </c>
      <c r="C137" s="80"/>
      <c r="D137" s="22">
        <f>D135+D136</f>
        <v>1546870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4.375" style="0" customWidth="1"/>
    <col min="8" max="16384" width="9.00390625" style="0" customWidth="1"/>
  </cols>
  <sheetData>
    <row r="2" spans="1:13" ht="59.25" customHeight="1">
      <c r="A2" s="1" t="s">
        <v>188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124</v>
      </c>
      <c r="C17" s="10" t="s">
        <v>12</v>
      </c>
      <c r="D17" s="9" t="s">
        <v>155</v>
      </c>
      <c r="E17" s="9" t="s">
        <v>156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307</v>
      </c>
      <c r="B18" s="10">
        <v>6</v>
      </c>
      <c r="C18" s="12">
        <v>48</v>
      </c>
      <c r="D18" s="12">
        <v>56</v>
      </c>
      <c r="E18" s="63">
        <v>9</v>
      </c>
      <c r="F18" s="63">
        <v>301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301</v>
      </c>
      <c r="C37" s="18">
        <f>F53</f>
        <v>10516.874418604652</v>
      </c>
      <c r="D37" s="18">
        <f>E53</f>
        <v>3165579.2</v>
      </c>
      <c r="E37" s="19">
        <f>G53</f>
        <v>0.617062653178919</v>
      </c>
      <c r="F37" s="18">
        <f aca="true" t="shared" si="0" ref="F37:F40">E37*D37</f>
        <v>1953360.6999999997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301</v>
      </c>
      <c r="C38" s="18">
        <f>F69</f>
        <v>6339.1189368770765</v>
      </c>
      <c r="D38" s="18">
        <f>E69</f>
        <v>1908074.8</v>
      </c>
      <c r="E38" s="19">
        <f>G69</f>
        <v>0.6799425787710209</v>
      </c>
      <c r="F38" s="18">
        <f t="shared" si="0"/>
        <v>1297381.3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301</v>
      </c>
      <c r="C39" s="18">
        <f>C78</f>
        <v>336.8637873754153</v>
      </c>
      <c r="D39" s="18">
        <f>B78</f>
        <v>101396</v>
      </c>
      <c r="E39" s="19">
        <f>D78</f>
        <v>0.7117835023077833</v>
      </c>
      <c r="F39" s="18">
        <f t="shared" si="0"/>
        <v>72172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301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301</v>
      </c>
      <c r="C41" s="18">
        <v>0</v>
      </c>
      <c r="D41" s="18">
        <v>0</v>
      </c>
      <c r="E41" s="19">
        <v>1</v>
      </c>
      <c r="F41" s="18">
        <f>D137</f>
        <v>1309346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17192.85714285714</v>
      </c>
      <c r="D42" s="22">
        <f>SUM(D37:D40)</f>
        <v>5175050</v>
      </c>
      <c r="E42" s="23">
        <f>F42/D42</f>
        <v>0.8951140568690158</v>
      </c>
      <c r="F42" s="18">
        <f>F37+F38+F39+F40+F41</f>
        <v>4632260</v>
      </c>
      <c r="G42" s="24">
        <f>F42+E95</f>
        <v>7038427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189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269.58/2</f>
        <v>134.79</v>
      </c>
      <c r="D49" s="19">
        <f>E49/C49</f>
        <v>3280.06528674234</v>
      </c>
      <c r="E49" s="19">
        <f>884240/2</f>
        <v>442120</v>
      </c>
      <c r="F49" s="19">
        <f aca="true" t="shared" si="2" ref="F49:F52">E49/$B$40</f>
        <v>1468.8372093023256</v>
      </c>
      <c r="G49" s="19">
        <f>(417003/2/E49)</f>
        <v>0.47159481588708946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144920*90%</f>
        <v>130428</v>
      </c>
      <c r="D51" s="19">
        <f aca="true" t="shared" si="3" ref="D51:D52">E51/C51</f>
        <v>10.87695280154568</v>
      </c>
      <c r="E51" s="19">
        <f>1576288*90%</f>
        <v>1418659.2</v>
      </c>
      <c r="F51" s="19">
        <f t="shared" si="2"/>
        <v>4713.153488372093</v>
      </c>
      <c r="G51" s="19">
        <f>(1576288*90%/E51)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18830+4630</f>
        <v>23460</v>
      </c>
      <c r="D52" s="19">
        <f t="shared" si="3"/>
        <v>55.61807331628304</v>
      </c>
      <c r="E52" s="19">
        <v>1304800</v>
      </c>
      <c r="F52" s="19">
        <f t="shared" si="2"/>
        <v>4334.883720930233</v>
      </c>
      <c r="G52" s="19">
        <f>(326200/E52)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3165579.2</v>
      </c>
      <c r="F53" s="23">
        <f>F49+F50+F51+F52</f>
        <v>10516.874418604652</v>
      </c>
      <c r="G53" s="23">
        <f>(417003/2+1576288*90%+326200)/E53</f>
        <v>0.617062653178919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31.5" customHeight="1">
      <c r="A55" s="25" t="s">
        <v>172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138280</v>
      </c>
      <c r="F60" s="19">
        <f aca="true" t="shared" si="4" ref="F60:F68">E60/$B$40</f>
        <v>459.40199335548175</v>
      </c>
      <c r="G60" s="19">
        <f>(98426/E60)</f>
        <v>0.7117876771767429</v>
      </c>
      <c r="H60" s="3"/>
      <c r="I60" s="3"/>
      <c r="J60" s="3"/>
      <c r="K60" s="3"/>
      <c r="L60" s="3"/>
      <c r="M60" s="3"/>
    </row>
    <row r="61" spans="1:13" ht="25.5">
      <c r="A61" s="26" t="s">
        <v>190</v>
      </c>
      <c r="B61" s="31" t="s">
        <v>57</v>
      </c>
      <c r="C61" s="19">
        <v>2</v>
      </c>
      <c r="D61" s="19">
        <f>E61/C61</f>
        <v>81437</v>
      </c>
      <c r="E61" s="19">
        <v>162874</v>
      </c>
      <c r="F61" s="19">
        <f t="shared" si="4"/>
        <v>541.109634551495</v>
      </c>
      <c r="G61" s="19">
        <f>(115932/E61)</f>
        <v>0.7117894814396405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4"/>
        <v>2689.8338870431894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269.58/2</f>
        <v>134.79</v>
      </c>
      <c r="D64" s="19">
        <f>E64/C64</f>
        <v>3280.06528674234</v>
      </c>
      <c r="E64" s="19">
        <f>884240/2</f>
        <v>442120</v>
      </c>
      <c r="F64" s="19">
        <f t="shared" si="4"/>
        <v>1468.8372093023256</v>
      </c>
      <c r="G64" s="19">
        <f>(417003/2/E64)</f>
        <v>0.47159481588708946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144920*10%</f>
        <v>14492</v>
      </c>
      <c r="D66" s="19">
        <f>E66/C66</f>
        <v>10.876952801545682</v>
      </c>
      <c r="E66" s="19">
        <f>1576288*10%</f>
        <v>157628.80000000002</v>
      </c>
      <c r="F66" s="19">
        <f t="shared" si="4"/>
        <v>523.6837209302327</v>
      </c>
      <c r="G66" s="19">
        <f>(1576288*10%/E66)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184264</v>
      </c>
      <c r="F67" s="19">
        <f t="shared" si="4"/>
        <v>612.172757475083</v>
      </c>
      <c r="G67" s="19">
        <f>(131157/E67)</f>
        <v>0.7117885208179568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13268</v>
      </c>
      <c r="F68" s="19">
        <f t="shared" si="4"/>
        <v>44.079734219269106</v>
      </c>
      <c r="G68" s="19">
        <f>(9444/E68)</f>
        <v>0.7117877600241181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1908074.8</v>
      </c>
      <c r="F69" s="23">
        <f>SUM(F60:F68)</f>
        <v>6339.1189368770765</v>
      </c>
      <c r="G69" s="23">
        <f>(98426+115932+576292+417003/2+1576288*10%+9444+131157)/E69</f>
        <v>0.6799425787710209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8.5" customHeight="1">
      <c r="A71" s="83" t="s">
        <v>135</v>
      </c>
      <c r="B71" s="83"/>
      <c r="C71" s="83"/>
      <c r="D71" s="83"/>
      <c r="E71" s="83"/>
      <c r="F71" s="83"/>
      <c r="G71" s="8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2977</v>
      </c>
      <c r="C76" s="19">
        <f aca="true" t="shared" si="5" ref="C76:C77">B76/$B$40</f>
        <v>9.890365448504983</v>
      </c>
      <c r="D76" s="19">
        <f>(2119/B76)</f>
        <v>0.7117903930131004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80964+17455</f>
        <v>98419</v>
      </c>
      <c r="C77" s="19">
        <f t="shared" si="5"/>
        <v>326.9734219269103</v>
      </c>
      <c r="D77" s="19">
        <f>(57629+12424)/B77</f>
        <v>0.7117832938761824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101396</v>
      </c>
      <c r="C78" s="37">
        <f>SUM(C76:C77)</f>
        <v>336.8637873754153</v>
      </c>
      <c r="D78" s="37">
        <f>(2119+57629+12424)/B78</f>
        <v>0.7117835023077833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2</v>
      </c>
      <c r="C85" s="43">
        <f aca="true" t="shared" si="6" ref="C85:C86">E85/D85/B85</f>
        <v>0</v>
      </c>
      <c r="D85" s="44">
        <v>12</v>
      </c>
      <c r="E85" s="45">
        <v>0</v>
      </c>
      <c r="F85" s="19">
        <f aca="true" t="shared" si="7" ref="F85:F88">E85/$B$40</f>
        <v>0</v>
      </c>
      <c r="G85" s="67" t="e">
        <f>(0/E85)*2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6"/>
        <v>0</v>
      </c>
      <c r="D86" s="44">
        <v>12</v>
      </c>
      <c r="E86" s="45">
        <v>0</v>
      </c>
      <c r="F86" s="19">
        <f t="shared" si="7"/>
        <v>0</v>
      </c>
      <c r="G86" s="67" t="e">
        <f aca="true" t="shared" si="8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7"/>
        <v>0</v>
      </c>
      <c r="G87" s="67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7"/>
        <v>0</v>
      </c>
      <c r="G88" s="30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1.75" customHeight="1" hidden="1">
      <c r="A90" s="25" t="s">
        <v>191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3380456</v>
      </c>
      <c r="C95" s="23">
        <f>B95/$B$40</f>
        <v>11230.750830564784</v>
      </c>
      <c r="D95" s="23">
        <f>2406167/B95</f>
        <v>0.7117876996476215</v>
      </c>
      <c r="E95" s="18">
        <f>B95*D95</f>
        <v>2406167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192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17192.85714285714</v>
      </c>
      <c r="B116" s="37">
        <f>E42</f>
        <v>0.8951140568690158</v>
      </c>
      <c r="C116" s="23">
        <f>C95</f>
        <v>11230.750830564784</v>
      </c>
      <c r="D116" s="23">
        <f>D95</f>
        <v>0.7117876996476215</v>
      </c>
      <c r="E116" s="37">
        <f>(A116*B116+C116*D116)*F18</f>
        <v>7038427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6" customHeight="1">
      <c r="A118" s="13" t="s">
        <v>193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18909686+800+36849+243876+417134+40000</f>
        <v>19648345</v>
      </c>
      <c r="B130" s="54">
        <f>2124000+641448</f>
        <v>2765448</v>
      </c>
      <c r="C130" s="55">
        <f>1476000+445752</f>
        <v>1921752</v>
      </c>
      <c r="D130" s="56">
        <f>A130+B130+C130</f>
        <v>24335545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77" t="s">
        <v>107</v>
      </c>
      <c r="B133" s="78"/>
      <c r="C133" s="78"/>
      <c r="D133" s="7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8"/>
      <c r="B134" s="78"/>
      <c r="C134" s="78"/>
      <c r="D134" s="78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9" t="s">
        <v>109</v>
      </c>
      <c r="B135" s="79">
        <v>0</v>
      </c>
      <c r="C135" s="79"/>
      <c r="D135" s="18">
        <v>1005642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79" t="s">
        <v>110</v>
      </c>
      <c r="B136" s="79">
        <v>0</v>
      </c>
      <c r="C136" s="79"/>
      <c r="D136" s="18">
        <v>303704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80" t="s">
        <v>50</v>
      </c>
      <c r="B137" s="80">
        <f>B135+B136</f>
        <v>0</v>
      </c>
      <c r="C137" s="80"/>
      <c r="D137" s="22">
        <f>D135+D136</f>
        <v>1309346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A130" sqref="A130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4.375" style="0" customWidth="1"/>
    <col min="8" max="16384" width="9.00390625" style="0" customWidth="1"/>
  </cols>
  <sheetData>
    <row r="2" spans="1:13" ht="59.25" customHeight="1">
      <c r="A2" s="1" t="s">
        <v>194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124</v>
      </c>
      <c r="C17" s="10" t="s">
        <v>195</v>
      </c>
      <c r="D17" s="9" t="s">
        <v>13</v>
      </c>
      <c r="E17" s="9" t="s">
        <v>156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175</v>
      </c>
      <c r="B18" s="10">
        <v>3</v>
      </c>
      <c r="C18" s="12">
        <v>39</v>
      </c>
      <c r="D18" s="12">
        <v>24</v>
      </c>
      <c r="E18" s="63">
        <v>6</v>
      </c>
      <c r="F18" s="63">
        <v>161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161</v>
      </c>
      <c r="C37" s="18">
        <f>F53</f>
        <v>10855.426708074532</v>
      </c>
      <c r="D37" s="18">
        <f>E53</f>
        <v>1747723.7</v>
      </c>
      <c r="E37" s="19">
        <f>G53</f>
        <v>0.8401440685389802</v>
      </c>
      <c r="F37" s="18">
        <f aca="true" t="shared" si="0" ref="F37:F40">E37*D37</f>
        <v>1468339.7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161</v>
      </c>
      <c r="C38" s="18">
        <f>F69</f>
        <v>22129.672670807453</v>
      </c>
      <c r="D38" s="18">
        <f>E69</f>
        <v>3562877.3</v>
      </c>
      <c r="E38" s="19">
        <f>G69</f>
        <v>0.7353029811046258</v>
      </c>
      <c r="F38" s="18">
        <f t="shared" si="0"/>
        <v>2619794.3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161</v>
      </c>
      <c r="C39" s="18">
        <f>C78</f>
        <v>310.5465838509317</v>
      </c>
      <c r="D39" s="18">
        <f>B78</f>
        <v>49998</v>
      </c>
      <c r="E39" s="19">
        <f>D78</f>
        <v>0.7117884715388616</v>
      </c>
      <c r="F39" s="18">
        <f t="shared" si="0"/>
        <v>35588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161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1"/>
        <v>161</v>
      </c>
      <c r="C41" s="18">
        <v>0</v>
      </c>
      <c r="D41" s="18">
        <v>0</v>
      </c>
      <c r="E41" s="19">
        <v>1</v>
      </c>
      <c r="F41" s="18">
        <f>D136</f>
        <v>839760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33295.64596273292</v>
      </c>
      <c r="D42" s="22">
        <f>SUM(D37:D40)</f>
        <v>5360599</v>
      </c>
      <c r="E42" s="23">
        <f>F42/D42</f>
        <v>0.9259192862588677</v>
      </c>
      <c r="F42" s="18">
        <f>F37+F38+F39+F40+F41</f>
        <v>4963482</v>
      </c>
      <c r="G42" s="24">
        <f>F42+E95</f>
        <v>6210469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126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v>0</v>
      </c>
      <c r="D49" s="19">
        <v>0</v>
      </c>
      <c r="E49" s="19">
        <v>0</v>
      </c>
      <c r="F49" s="19">
        <f aca="true" t="shared" si="2" ref="F49:F52">E49/$B$40</f>
        <v>0</v>
      </c>
      <c r="G49" s="19">
        <v>0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36.75/2</f>
        <v>18.375</v>
      </c>
      <c r="D50" s="19">
        <f aca="true" t="shared" si="3" ref="D50:D52">E50/C50</f>
        <v>8442.367346938776</v>
      </c>
      <c r="E50" s="19">
        <f>310257/2</f>
        <v>155128.5</v>
      </c>
      <c r="F50" s="19">
        <f t="shared" si="2"/>
        <v>963.5310559006211</v>
      </c>
      <c r="G50" s="19">
        <f>(310257/2/E50)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108300*90%</f>
        <v>97470</v>
      </c>
      <c r="D51" s="19">
        <f t="shared" si="3"/>
        <v>12.517525392428439</v>
      </c>
      <c r="E51" s="19">
        <f>1355648*90%</f>
        <v>1220083.2</v>
      </c>
      <c r="F51" s="19">
        <f t="shared" si="2"/>
        <v>7578.15652173913</v>
      </c>
      <c r="G51" s="19">
        <f>(1355648*90%/E51)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4958+1960</f>
        <v>6918</v>
      </c>
      <c r="D52" s="19">
        <f t="shared" si="3"/>
        <v>53.84677652500723</v>
      </c>
      <c r="E52" s="19">
        <v>372512</v>
      </c>
      <c r="F52" s="19">
        <f t="shared" si="2"/>
        <v>2313.7391304347825</v>
      </c>
      <c r="G52" s="19">
        <f>(93128/E52)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1747723.7</v>
      </c>
      <c r="F53" s="23">
        <f>F49+F50+F51+F52</f>
        <v>10855.426708074532</v>
      </c>
      <c r="G53" s="23">
        <f>(310257/2+1355648*90%+93128)/E53</f>
        <v>0.8401440685389802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6.25" customHeight="1">
      <c r="A55" s="25" t="s">
        <v>196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74103</v>
      </c>
      <c r="F60" s="19">
        <f aca="true" t="shared" si="4" ref="F60:F68">E60/$B$40</f>
        <v>460.2670807453416</v>
      </c>
      <c r="G60" s="19">
        <f>(52746/E60)</f>
        <v>0.7117930448159994</v>
      </c>
      <c r="H60" s="3"/>
      <c r="I60" s="3"/>
      <c r="J60" s="3"/>
      <c r="K60" s="3"/>
      <c r="L60" s="3"/>
      <c r="M60" s="3"/>
    </row>
    <row r="61" spans="1:13" ht="25.5">
      <c r="A61" s="26" t="s">
        <v>197</v>
      </c>
      <c r="B61" s="31" t="s">
        <v>57</v>
      </c>
      <c r="C61" s="19">
        <v>1</v>
      </c>
      <c r="D61" s="19">
        <v>0</v>
      </c>
      <c r="E61" s="19">
        <v>180325</v>
      </c>
      <c r="F61" s="19">
        <f t="shared" si="4"/>
        <v>1120.0310559006211</v>
      </c>
      <c r="G61" s="19">
        <f>(128353/E61)</f>
        <v>0.7117870511576321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4"/>
        <v>5028.819875776398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v>0</v>
      </c>
      <c r="D64" s="19">
        <v>0</v>
      </c>
      <c r="E64" s="19">
        <v>0</v>
      </c>
      <c r="F64" s="19">
        <f t="shared" si="4"/>
        <v>0</v>
      </c>
      <c r="G64" s="19">
        <v>0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36.75/2</f>
        <v>18.375</v>
      </c>
      <c r="D65" s="19">
        <f aca="true" t="shared" si="5" ref="D65:D66">E65/C65</f>
        <v>8442.367346938776</v>
      </c>
      <c r="E65" s="19">
        <f>310257/2</f>
        <v>155128.5</v>
      </c>
      <c r="F65" s="19">
        <f t="shared" si="4"/>
        <v>963.5310559006211</v>
      </c>
      <c r="G65" s="19">
        <f>(310257/2/E65)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108300*10%</f>
        <v>10830</v>
      </c>
      <c r="D66" s="19">
        <f t="shared" si="5"/>
        <v>12.51752539242844</v>
      </c>
      <c r="E66" s="19">
        <f>1355648*10%</f>
        <v>135564.80000000002</v>
      </c>
      <c r="F66" s="19">
        <f t="shared" si="4"/>
        <v>842.0173913043479</v>
      </c>
      <c r="G66" s="19">
        <f>(1355648*10%/E66)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81728</v>
      </c>
      <c r="F67" s="19">
        <f t="shared" si="4"/>
        <v>507.6273291925466</v>
      </c>
      <c r="G67" s="19">
        <f>(58173/E67)</f>
        <v>0.7117878817541112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2126388</v>
      </c>
      <c r="F68" s="19">
        <f t="shared" si="4"/>
        <v>13207.378881987577</v>
      </c>
      <c r="G68" s="19">
        <f>(1513537/E68)</f>
        <v>0.7117877828505428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3562877.3</v>
      </c>
      <c r="F69" s="23">
        <f>SUM(F60:F68)</f>
        <v>22129.672670807453</v>
      </c>
      <c r="G69" s="23">
        <f>(52746+128353+576292+310257/2+1355648*10%+1513537+58173)/E69</f>
        <v>0.7353029811046258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7.75" customHeight="1">
      <c r="A71" s="25" t="s">
        <v>198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1403</v>
      </c>
      <c r="C76" s="19">
        <f aca="true" t="shared" si="6" ref="C76:C77">B76/$B$40</f>
        <v>8.714285714285714</v>
      </c>
      <c r="D76" s="19">
        <f>(999/B76)</f>
        <v>0.7120456165359943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31140+17455</f>
        <v>48595</v>
      </c>
      <c r="C77" s="19">
        <f t="shared" si="6"/>
        <v>301.832298136646</v>
      </c>
      <c r="D77" s="19">
        <f>(22165+12424)/B77</f>
        <v>0.7117810474328634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49998</v>
      </c>
      <c r="C78" s="37">
        <f>SUM(C76:C77)</f>
        <v>310.5465838509317</v>
      </c>
      <c r="D78" s="37">
        <f>(22165+12424+999)/B78</f>
        <v>0.7117884715388616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2</v>
      </c>
      <c r="C85" s="43">
        <f aca="true" t="shared" si="7" ref="C85:C86">E85/D85/B85</f>
        <v>0</v>
      </c>
      <c r="D85" s="44">
        <v>12</v>
      </c>
      <c r="E85" s="45">
        <v>0</v>
      </c>
      <c r="F85" s="19">
        <f aca="true" t="shared" si="8" ref="F85:F88">E85/$B$40</f>
        <v>0</v>
      </c>
      <c r="G85" s="67" t="e">
        <f>(0/E85)*2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7"/>
        <v>0</v>
      </c>
      <c r="D86" s="44">
        <v>12</v>
      </c>
      <c r="E86" s="45">
        <v>0</v>
      </c>
      <c r="F86" s="19">
        <f t="shared" si="8"/>
        <v>0</v>
      </c>
      <c r="G86" s="67" t="e">
        <f aca="true" t="shared" si="9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8"/>
        <v>0</v>
      </c>
      <c r="G87" s="67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8"/>
        <v>0</v>
      </c>
      <c r="G88" s="30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3.25" customHeight="1" hidden="1">
      <c r="A90" s="25" t="s">
        <v>191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1751909</v>
      </c>
      <c r="C95" s="23">
        <f>B95/$B$40</f>
        <v>10881.422360248447</v>
      </c>
      <c r="D95" s="23">
        <f>1246987/B95</f>
        <v>0.711787541476184</v>
      </c>
      <c r="E95" s="18">
        <f>B95*D95</f>
        <v>1246987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199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33295.64596273292</v>
      </c>
      <c r="B116" s="37">
        <f>E42</f>
        <v>0.9259192862588677</v>
      </c>
      <c r="C116" s="23">
        <f>C95</f>
        <v>10881.422360248447</v>
      </c>
      <c r="D116" s="23">
        <f>D95</f>
        <v>0.711787541476184</v>
      </c>
      <c r="E116" s="37">
        <f>(A116*B116+C116*D116)*F18</f>
        <v>6210468.999999999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3" customHeight="1">
      <c r="A118" s="13" t="s">
        <v>200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8252158+600+32489+119468+68943+30000+1</f>
        <v>8503659</v>
      </c>
      <c r="B130" s="54">
        <f>828000+250056</f>
        <v>1078056</v>
      </c>
      <c r="C130" s="55">
        <f>612000+184824</f>
        <v>796824</v>
      </c>
      <c r="D130" s="56">
        <f>A130+B130+C130</f>
        <v>10378539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7" t="s">
        <v>107</v>
      </c>
      <c r="B132" s="78"/>
      <c r="C132" s="78"/>
      <c r="D132" s="7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78"/>
      <c r="B133" s="78"/>
      <c r="C133" s="78"/>
      <c r="D133" s="7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9" t="s">
        <v>109</v>
      </c>
      <c r="B134" s="79">
        <v>0</v>
      </c>
      <c r="C134" s="79"/>
      <c r="D134" s="18">
        <v>644977</v>
      </c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9" t="s">
        <v>110</v>
      </c>
      <c r="B135" s="79">
        <v>0</v>
      </c>
      <c r="C135" s="79"/>
      <c r="D135" s="18">
        <v>194783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80" t="s">
        <v>50</v>
      </c>
      <c r="B136" s="80">
        <f>B134+B135</f>
        <v>0</v>
      </c>
      <c r="C136" s="80"/>
      <c r="D136" s="22">
        <f>D134+D135</f>
        <v>839760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tabSelected="1" workbookViewId="0" topLeftCell="A39">
      <selection activeCell="G134" sqref="G134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4.375" style="0" customWidth="1"/>
    <col min="8" max="16384" width="9.00390625" style="0" customWidth="1"/>
  </cols>
  <sheetData>
    <row r="2" spans="1:13" ht="59.25" customHeight="1">
      <c r="A2" s="1" t="s">
        <v>201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147</v>
      </c>
      <c r="C17" s="10" t="s">
        <v>12</v>
      </c>
      <c r="D17" s="9" t="s">
        <v>155</v>
      </c>
      <c r="E17" s="9" t="s">
        <v>125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328</v>
      </c>
      <c r="B18" s="10">
        <v>14</v>
      </c>
      <c r="C18" s="12">
        <v>83</v>
      </c>
      <c r="D18" s="12">
        <v>43</v>
      </c>
      <c r="E18" s="63">
        <v>0</v>
      </c>
      <c r="F18" s="63">
        <v>300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3"/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300</v>
      </c>
      <c r="C37" s="18">
        <f>F53</f>
        <v>7227.882666666666</v>
      </c>
      <c r="D37" s="18">
        <f>E53</f>
        <v>2168364.8</v>
      </c>
      <c r="E37" s="19">
        <f>G53</f>
        <v>0.6256983603496977</v>
      </c>
      <c r="F37" s="18">
        <f aca="true" t="shared" si="0" ref="F37:F40">E37*D37</f>
        <v>1356742.3</v>
      </c>
      <c r="G37" s="3"/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1" ref="B38:B41">B37</f>
        <v>300</v>
      </c>
      <c r="C38" s="18">
        <f>F69</f>
        <v>7411.524</v>
      </c>
      <c r="D38" s="18">
        <f>E69</f>
        <v>2223457.2</v>
      </c>
      <c r="E38" s="19">
        <f>G69</f>
        <v>0.6649647674801206</v>
      </c>
      <c r="F38" s="18">
        <f t="shared" si="0"/>
        <v>1478520.7</v>
      </c>
      <c r="G38" s="3"/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1"/>
        <v>300</v>
      </c>
      <c r="C39" s="18">
        <f>C78</f>
        <v>301.8833333333333</v>
      </c>
      <c r="D39" s="18">
        <f>B78</f>
        <v>90565</v>
      </c>
      <c r="E39" s="19">
        <f>D78</f>
        <v>0.7117871142273505</v>
      </c>
      <c r="F39" s="18">
        <f t="shared" si="0"/>
        <v>64463</v>
      </c>
      <c r="G39" s="3"/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1"/>
        <v>300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3"/>
      <c r="H40" s="3"/>
      <c r="I40" s="3"/>
      <c r="J40" s="3"/>
      <c r="K40" s="3"/>
      <c r="L40" s="3"/>
      <c r="M40" s="3"/>
    </row>
    <row r="41" spans="1:13" ht="12.75">
      <c r="A41" s="16" t="s">
        <v>202</v>
      </c>
      <c r="B41" s="17">
        <f t="shared" si="1"/>
        <v>300</v>
      </c>
      <c r="C41" s="18">
        <v>0</v>
      </c>
      <c r="D41" s="18">
        <v>0</v>
      </c>
      <c r="E41" s="19">
        <v>1</v>
      </c>
      <c r="F41" s="18">
        <f>D137</f>
        <v>1351040</v>
      </c>
      <c r="G41" s="3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14941.29</v>
      </c>
      <c r="D42" s="22">
        <f>SUM(D37:D40)</f>
        <v>4482387</v>
      </c>
      <c r="E42" s="23">
        <f>F42/D42</f>
        <v>0.948326416259908</v>
      </c>
      <c r="F42" s="18">
        <f>F37+F38+F39+F40+F41</f>
        <v>4250766</v>
      </c>
      <c r="G42" s="24">
        <f>F42+E95</f>
        <v>6623362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203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390.36/2</f>
        <v>195.18</v>
      </c>
      <c r="D49" s="19">
        <f>E49/C49</f>
        <v>2921.938723229839</v>
      </c>
      <c r="E49" s="19">
        <f>1140608/2</f>
        <v>570304</v>
      </c>
      <c r="F49" s="19">
        <f aca="true" t="shared" si="2" ref="F49:F52">E49/$B$40</f>
        <v>1901.0133333333333</v>
      </c>
      <c r="G49" s="19">
        <f>(545187/2/E49)</f>
        <v>0.47797928823925484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2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83320*90%</f>
        <v>74988</v>
      </c>
      <c r="D51" s="19">
        <f aca="true" t="shared" si="3" ref="D51:D52">E51/C51</f>
        <v>12.17321171387422</v>
      </c>
      <c r="E51" s="19">
        <f>1014272*90%</f>
        <v>912844.8</v>
      </c>
      <c r="F51" s="19">
        <f t="shared" si="2"/>
        <v>3042.8160000000003</v>
      </c>
      <c r="G51" s="19">
        <f>(1014272*90%/E51)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6781+7210</f>
        <v>13991</v>
      </c>
      <c r="D52" s="19">
        <f t="shared" si="3"/>
        <v>48.975484239868486</v>
      </c>
      <c r="E52" s="19">
        <v>685216</v>
      </c>
      <c r="F52" s="19">
        <f t="shared" si="2"/>
        <v>2284.0533333333333</v>
      </c>
      <c r="G52" s="19">
        <f>(171304/E52)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2168364.8</v>
      </c>
      <c r="F53" s="23">
        <f>F49+F50+F51+F52</f>
        <v>7227.882666666666</v>
      </c>
      <c r="G53" s="23">
        <f>(545187/2+1014272*90%+171304)/E53</f>
        <v>0.6256983603496977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7.75" customHeight="1">
      <c r="A55" s="25" t="s">
        <v>204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129500</v>
      </c>
      <c r="F60" s="19">
        <f aca="true" t="shared" si="4" ref="F60:F68">E60/$B$40</f>
        <v>431.6666666666667</v>
      </c>
      <c r="G60" s="19">
        <f>(92176/E60)</f>
        <v>0.7117837837837838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25510</v>
      </c>
      <c r="E61" s="19">
        <v>25510</v>
      </c>
      <c r="F61" s="19">
        <f t="shared" si="4"/>
        <v>85.03333333333333</v>
      </c>
      <c r="G61" s="19">
        <f>(18158/E61)</f>
        <v>0.7117992943943552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4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4"/>
        <v>2698.8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390.36/2</f>
        <v>195.18</v>
      </c>
      <c r="D64" s="19">
        <f>E64/C64</f>
        <v>2921.938723229839</v>
      </c>
      <c r="E64" s="19">
        <f>1140608/2</f>
        <v>570304</v>
      </c>
      <c r="F64" s="19">
        <f t="shared" si="4"/>
        <v>1901.0133333333333</v>
      </c>
      <c r="G64" s="19">
        <f>(666960/2/E64)</f>
        <v>0.5847407698350353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4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83320*10%</f>
        <v>8332</v>
      </c>
      <c r="D66" s="19">
        <f>E66/C66</f>
        <v>12.17321171387422</v>
      </c>
      <c r="E66" s="19">
        <f>1014272*10%</f>
        <v>101427.20000000001</v>
      </c>
      <c r="F66" s="19">
        <f t="shared" si="4"/>
        <v>338.0906666666667</v>
      </c>
      <c r="G66" s="19">
        <f>(1014272*10%/E66)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171552</v>
      </c>
      <c r="F67" s="19">
        <f t="shared" si="4"/>
        <v>571.84</v>
      </c>
      <c r="G67" s="19">
        <f>(122109/E67)</f>
        <v>0.7117900111919419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415524</v>
      </c>
      <c r="F68" s="19">
        <f t="shared" si="4"/>
        <v>1385.08</v>
      </c>
      <c r="G68" s="19">
        <f>(295765/E68)</f>
        <v>0.7117880074315803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2223457.2</v>
      </c>
      <c r="F69" s="23">
        <f>SUM(F60:F68)</f>
        <v>7411.524</v>
      </c>
      <c r="G69" s="23">
        <f>(92176+18158+576292+545187/2+1014272*10%+295765+122109)/E69</f>
        <v>0.6649647674801206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7.5" customHeight="1">
      <c r="A71" s="25" t="s">
        <v>150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3356</v>
      </c>
      <c r="C76" s="19">
        <f aca="true" t="shared" si="5" ref="C76:C77">B76/$B$40</f>
        <v>11.186666666666667</v>
      </c>
      <c r="D76" s="19">
        <f>(2389/B76)</f>
        <v>0.7118593563766389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69754+17455</f>
        <v>87209</v>
      </c>
      <c r="C77" s="19">
        <f t="shared" si="5"/>
        <v>290.69666666666666</v>
      </c>
      <c r="D77" s="19">
        <f>(49650+12424)/B77</f>
        <v>0.7117843341856919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90565</v>
      </c>
      <c r="C78" s="37">
        <f>SUM(C76:C77)</f>
        <v>301.8833333333333</v>
      </c>
      <c r="D78" s="37">
        <f>(49650+12424+2389)/B78</f>
        <v>0.7117871142273505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6" ref="C85:C86">E85/D85/B85</f>
        <v>0</v>
      </c>
      <c r="D85" s="44">
        <v>12</v>
      </c>
      <c r="E85" s="45">
        <v>0</v>
      </c>
      <c r="F85" s="19">
        <f aca="true" t="shared" si="7" ref="F85:F88">E85/$B$40</f>
        <v>0</v>
      </c>
      <c r="G85" s="67" t="e">
        <f aca="true" t="shared" si="8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6"/>
        <v>0</v>
      </c>
      <c r="D86" s="44">
        <v>12</v>
      </c>
      <c r="E86" s="45">
        <v>0</v>
      </c>
      <c r="F86" s="19">
        <f t="shared" si="7"/>
        <v>0</v>
      </c>
      <c r="G86" s="67" t="e">
        <f t="shared" si="8"/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7"/>
        <v>0</v>
      </c>
      <c r="G87" s="67" t="e">
        <f t="shared" si="8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7"/>
        <v>0</v>
      </c>
      <c r="G88" s="30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" customHeight="1" hidden="1">
      <c r="A90" s="25" t="s">
        <v>205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3333292</v>
      </c>
      <c r="C95" s="23">
        <f>B95/$B$40</f>
        <v>11110.973333333333</v>
      </c>
      <c r="D95" s="23">
        <f>2372596/B95</f>
        <v>0.7117876261665644</v>
      </c>
      <c r="E95" s="18">
        <f>B95*D95</f>
        <v>2372596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206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14941.29</v>
      </c>
      <c r="B116" s="37">
        <f>E42</f>
        <v>0.948326416259908</v>
      </c>
      <c r="C116" s="23">
        <f>C95</f>
        <v>11110.973333333333</v>
      </c>
      <c r="D116" s="23">
        <f>D95</f>
        <v>0.7117876261665644</v>
      </c>
      <c r="E116" s="37">
        <f>(A116*B116+C116*D116)*F18</f>
        <v>6623362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6" customHeight="1">
      <c r="A118" s="13" t="s">
        <v>207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18399249+1900+28337+322001+250262+20283</f>
        <v>19022032</v>
      </c>
      <c r="B130" s="54">
        <f>2448000+739296</f>
        <v>3187296</v>
      </c>
      <c r="C130" s="55">
        <f>1476000+445752</f>
        <v>1921752</v>
      </c>
      <c r="D130" s="56">
        <f>A130+B130+C130</f>
        <v>24131080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77" t="s">
        <v>107</v>
      </c>
      <c r="B133" s="78"/>
      <c r="C133" s="78"/>
      <c r="D133" s="7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8"/>
      <c r="B134" s="78"/>
      <c r="C134" s="78"/>
      <c r="D134" s="78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9" t="s">
        <v>109</v>
      </c>
      <c r="B135" s="79">
        <v>0</v>
      </c>
      <c r="C135" s="79"/>
      <c r="D135" s="18">
        <v>1037665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79" t="s">
        <v>110</v>
      </c>
      <c r="B136" s="79">
        <v>0</v>
      </c>
      <c r="C136" s="79"/>
      <c r="D136" s="18">
        <v>313375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80" t="s">
        <v>50</v>
      </c>
      <c r="B137" s="80">
        <f>B135+B136</f>
        <v>0</v>
      </c>
      <c r="C137" s="80"/>
      <c r="D137" s="22">
        <f>D135+D136</f>
        <v>1351040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13.25390625" style="0" customWidth="1"/>
    <col min="9" max="16384" width="9.00390625" style="0" customWidth="1"/>
  </cols>
  <sheetData>
    <row r="2" spans="1:13" ht="46.5" customHeight="1">
      <c r="A2" s="1" t="s">
        <v>111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112</v>
      </c>
      <c r="C17" s="10" t="s">
        <v>12</v>
      </c>
      <c r="D17" s="9" t="s">
        <v>13</v>
      </c>
      <c r="E17" s="9" t="s">
        <v>14</v>
      </c>
      <c r="F17" s="11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206</v>
      </c>
      <c r="B18" s="10">
        <v>4</v>
      </c>
      <c r="C18" s="10">
        <v>51</v>
      </c>
      <c r="D18" s="12">
        <v>20</v>
      </c>
      <c r="E18" s="62">
        <v>0</v>
      </c>
      <c r="F18" s="63">
        <v>182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182</v>
      </c>
      <c r="C37" s="18">
        <f>F53</f>
        <v>10241.169230769232</v>
      </c>
      <c r="D37" s="18">
        <f>E53</f>
        <v>1863892.8</v>
      </c>
      <c r="E37" s="19">
        <f>G53</f>
        <v>0.6391409956624114</v>
      </c>
      <c r="F37" s="18">
        <f aca="true" t="shared" si="0" ref="F37:F40">D37*E37</f>
        <v>1191290.3</v>
      </c>
      <c r="G37" s="65">
        <f aca="true" t="shared" si="1" ref="G37:G41">F37-D37</f>
        <v>-672602.5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182</v>
      </c>
      <c r="C38" s="18">
        <f>F69</f>
        <v>9561.891208791207</v>
      </c>
      <c r="D38" s="18">
        <f>E69</f>
        <v>1740264.2</v>
      </c>
      <c r="E38" s="19">
        <f>G69</f>
        <v>0.6346557608896396</v>
      </c>
      <c r="F38" s="18">
        <f t="shared" si="0"/>
        <v>1104468.7</v>
      </c>
      <c r="G38" s="65">
        <f t="shared" si="1"/>
        <v>-635795.5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182</v>
      </c>
      <c r="C39" s="18">
        <f>C78</f>
        <v>520.6263736263736</v>
      </c>
      <c r="D39" s="18">
        <f>B78</f>
        <v>94754</v>
      </c>
      <c r="E39" s="19">
        <f>D78</f>
        <v>0.8521434451316039</v>
      </c>
      <c r="F39" s="18">
        <f t="shared" si="0"/>
        <v>80744</v>
      </c>
      <c r="G39" s="65">
        <f t="shared" si="1"/>
        <v>-14010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182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182</v>
      </c>
      <c r="C41" s="18">
        <v>0</v>
      </c>
      <c r="D41" s="18"/>
      <c r="E41" s="19">
        <v>1</v>
      </c>
      <c r="F41" s="18">
        <f>D137</f>
        <v>646490</v>
      </c>
      <c r="G41" s="65">
        <f t="shared" si="1"/>
        <v>646490</v>
      </c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20323.686813186814</v>
      </c>
      <c r="D42" s="22">
        <f>SUM(D37:D41)</f>
        <v>3698911</v>
      </c>
      <c r="E42" s="23">
        <f>F42/D42</f>
        <v>0.8172656763031065</v>
      </c>
      <c r="F42" s="18">
        <f>F37+F38+F39+F40+F41</f>
        <v>3022993</v>
      </c>
      <c r="G42" s="66">
        <f>F42+E95</f>
        <v>4474935</v>
      </c>
      <c r="H42" s="24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60"/>
      <c r="H43" s="3"/>
      <c r="I43" s="3"/>
      <c r="J43" s="3"/>
      <c r="K43" s="3"/>
      <c r="L43" s="3"/>
      <c r="M43" s="3"/>
    </row>
    <row r="44" spans="1:13" ht="30.75" customHeight="1">
      <c r="A44" s="25" t="s">
        <v>113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67">
        <f>347.24/2</f>
        <v>173.62</v>
      </c>
      <c r="D49" s="67">
        <f>E49/C49</f>
        <v>3621.518258265177</v>
      </c>
      <c r="E49" s="19">
        <f>1257536/2</f>
        <v>628768</v>
      </c>
      <c r="F49" s="19">
        <f aca="true" t="shared" si="3" ref="F49:F52">E49/$B$40</f>
        <v>3454.769230769231</v>
      </c>
      <c r="G49" s="19">
        <f>(603651/2/E49)</f>
        <v>0.4800268143416968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67">
        <v>0</v>
      </c>
      <c r="D50" s="67">
        <v>0</v>
      </c>
      <c r="E50" s="19">
        <v>0</v>
      </c>
      <c r="F50" s="19">
        <f t="shared" si="3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67">
        <f>71340*90%</f>
        <v>64206</v>
      </c>
      <c r="D51" s="67">
        <f aca="true" t="shared" si="4" ref="D51:D52">E51/C51</f>
        <v>12.058760863470704</v>
      </c>
      <c r="E51" s="19">
        <f>860272*90%</f>
        <v>774244.8</v>
      </c>
      <c r="F51" s="19">
        <f t="shared" si="3"/>
        <v>4254.092307692308</v>
      </c>
      <c r="G51" s="19">
        <f>(860272*90%/E51)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67">
        <f>5040+4130</f>
        <v>9170</v>
      </c>
      <c r="D52" s="67">
        <f t="shared" si="4"/>
        <v>50.25954198473283</v>
      </c>
      <c r="E52" s="19">
        <v>460880</v>
      </c>
      <c r="F52" s="19">
        <f t="shared" si="3"/>
        <v>2532.3076923076924</v>
      </c>
      <c r="G52" s="19">
        <f>(115220/E52)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30"/>
      <c r="D53" s="30"/>
      <c r="E53" s="23">
        <f>E49+E50+E51+E52</f>
        <v>1863892.8</v>
      </c>
      <c r="F53" s="23">
        <f>F49+F50+F51+F52</f>
        <v>10241.169230769232</v>
      </c>
      <c r="G53" s="23">
        <f>(603651/2+860272*90%+115220)/E53</f>
        <v>0.6391409956624114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5.5" customHeight="1">
      <c r="A55" s="25" t="s">
        <v>114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57633</v>
      </c>
      <c r="F60" s="19">
        <f aca="true" t="shared" si="5" ref="F60:F68">E60/$B$40</f>
        <v>316.66483516483515</v>
      </c>
      <c r="G60" s="19">
        <f>(41022/E60)</f>
        <v>0.7117797095414086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18684</v>
      </c>
      <c r="E61" s="19">
        <v>18684</v>
      </c>
      <c r="F61" s="19">
        <f t="shared" si="5"/>
        <v>102.65934065934066</v>
      </c>
      <c r="G61" s="19">
        <f aca="true" t="shared" si="6" ref="G61:G62">(0/E61)</f>
        <v>0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 t="shared" si="6"/>
        <v>#DIV/0!</v>
      </c>
      <c r="H62" s="3"/>
      <c r="I62" s="3"/>
      <c r="J62" s="3"/>
      <c r="K62" s="3"/>
      <c r="L62" s="3"/>
      <c r="M62" s="3"/>
    </row>
    <row r="63" spans="1:13" ht="25.5" customHeight="1">
      <c r="A63" s="26" t="s">
        <v>115</v>
      </c>
      <c r="B63" s="31"/>
      <c r="C63" s="19"/>
      <c r="D63" s="19"/>
      <c r="E63" s="19">
        <v>809640</v>
      </c>
      <c r="F63" s="19">
        <f t="shared" si="5"/>
        <v>4448.571428571428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161.18/2</f>
        <v>80.59</v>
      </c>
      <c r="D64" s="19">
        <f>E64/C64</f>
        <v>7802.059808909294</v>
      </c>
      <c r="E64" s="19">
        <f>1257536/2</f>
        <v>628768</v>
      </c>
      <c r="F64" s="19">
        <f t="shared" si="5"/>
        <v>3454.769230769231</v>
      </c>
      <c r="G64" s="19">
        <f>(603651/2/E64)</f>
        <v>0.4800268143416968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5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33600*10%</f>
        <v>3360</v>
      </c>
      <c r="D66" s="19">
        <f>E66/C66</f>
        <v>25.603333333333335</v>
      </c>
      <c r="E66" s="19">
        <f>860272*10%</f>
        <v>86027.20000000001</v>
      </c>
      <c r="F66" s="19">
        <f t="shared" si="5"/>
        <v>472.6769230769231</v>
      </c>
      <c r="G66" s="19">
        <f>(860272*10%/E66)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71824</v>
      </c>
      <c r="F67" s="19">
        <f t="shared" si="5"/>
        <v>394.6373626373626</v>
      </c>
      <c r="G67" s="19">
        <f>(51123/E67)</f>
        <v>0.7117815771886834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67688</v>
      </c>
      <c r="F68" s="19">
        <f t="shared" si="5"/>
        <v>371.9120879120879</v>
      </c>
      <c r="G68" s="19">
        <f>(48179/E68)</f>
        <v>0.7117805223968798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1740264.2</v>
      </c>
      <c r="F69" s="23">
        <f>SUM(F60:F68)</f>
        <v>9561.891208791207</v>
      </c>
      <c r="G69" s="23">
        <f>(41022+576292+603651/2+860272*10%+48179+51123)/E69</f>
        <v>0.6346557608896396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1.5" customHeight="1">
      <c r="A71" s="25" t="s">
        <v>116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2339</v>
      </c>
      <c r="C76" s="19">
        <f aca="true" t="shared" si="7" ref="C76:C77">B76/$B$40</f>
        <v>12.851648351648352</v>
      </c>
      <c r="D76" s="19">
        <f>(1665/B76)</f>
        <v>0.711842667806755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74960+17455</f>
        <v>92415</v>
      </c>
      <c r="C77" s="19">
        <f t="shared" si="7"/>
        <v>507.77472527472526</v>
      </c>
      <c r="D77" s="19">
        <f>(53356+13299+165)/B77</f>
        <v>0.723042796082887</v>
      </c>
      <c r="E77" s="68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94754</v>
      </c>
      <c r="C78" s="37">
        <f>SUM(C76:C77)</f>
        <v>520.6263736263736</v>
      </c>
      <c r="D78" s="37">
        <f>(53356+13299+12424+1665)/B78</f>
        <v>0.8521434451316039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117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8" ref="C85:C86">E85/D85/B85</f>
        <v>0</v>
      </c>
      <c r="D85" s="44">
        <v>12</v>
      </c>
      <c r="E85" s="69">
        <v>0</v>
      </c>
      <c r="F85" s="19">
        <f aca="true" t="shared" si="9" ref="F85:F88">E85/$B$40</f>
        <v>0</v>
      </c>
      <c r="G85" s="67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8"/>
        <v>0</v>
      </c>
      <c r="D86" s="44">
        <v>12</v>
      </c>
      <c r="E86" s="69">
        <v>0</v>
      </c>
      <c r="F86" s="19">
        <f t="shared" si="9"/>
        <v>0</v>
      </c>
      <c r="G86" s="67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69">
        <v>0</v>
      </c>
      <c r="F87" s="19">
        <f t="shared" si="9"/>
        <v>0</v>
      </c>
      <c r="G87" s="67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9"/>
        <v>0</v>
      </c>
      <c r="G88" s="30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.75" customHeight="1" hidden="1">
      <c r="A90" s="25" t="s">
        <v>118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2039853</v>
      </c>
      <c r="C95" s="23">
        <f>B95/$B$40</f>
        <v>11207.983516483517</v>
      </c>
      <c r="D95" s="23">
        <f>1451942/B95</f>
        <v>0.7117875650843468</v>
      </c>
      <c r="E95" s="18">
        <f>B95*D95</f>
        <v>1451942</v>
      </c>
      <c r="F95" s="18">
        <f>E95-B95</f>
        <v>-587911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119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20323.686813186814</v>
      </c>
      <c r="B116" s="37">
        <f>E42</f>
        <v>0.8172656763031065</v>
      </c>
      <c r="C116" s="23">
        <f>C95</f>
        <v>11207.983516483517</v>
      </c>
      <c r="D116" s="23">
        <f>D95</f>
        <v>0.7117875650843468</v>
      </c>
      <c r="E116" s="37">
        <f>(A116*B116+C116*D116)*F18</f>
        <v>4474935.000000001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6.5" customHeight="1">
      <c r="A118" s="13" t="s">
        <v>120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121</v>
      </c>
      <c r="B129" s="9" t="s">
        <v>101</v>
      </c>
      <c r="C129" s="70" t="s">
        <v>102</v>
      </c>
      <c r="D129" s="70" t="s">
        <v>103</v>
      </c>
      <c r="E129" s="71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1100+50135+112562+78300+15000+8504183</f>
        <v>8761280</v>
      </c>
      <c r="B130" s="54">
        <f>828000+250056</f>
        <v>1078056</v>
      </c>
      <c r="C130" s="55">
        <f>540000+163080</f>
        <v>703080</v>
      </c>
      <c r="D130" s="56">
        <f>A130+B130+C130</f>
        <v>10542416</v>
      </c>
      <c r="E130" s="60"/>
      <c r="F130" s="3"/>
      <c r="G130" s="3"/>
      <c r="H130" s="3"/>
      <c r="I130" s="3"/>
      <c r="J130" s="3"/>
      <c r="K130" s="3"/>
      <c r="L130" s="3"/>
      <c r="M130" s="3"/>
    </row>
    <row r="131" spans="1:13" ht="25.5">
      <c r="A131" s="58" t="s">
        <v>104</v>
      </c>
      <c r="B131" s="59" t="s">
        <v>105</v>
      </c>
      <c r="C131" s="59" t="s">
        <v>106</v>
      </c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7" ht="12.75">
      <c r="A133" s="61" t="s">
        <v>107</v>
      </c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16" t="s">
        <v>109</v>
      </c>
      <c r="B135" s="16">
        <v>0</v>
      </c>
      <c r="C135" s="16"/>
      <c r="D135" s="18">
        <v>496536</v>
      </c>
      <c r="E135" s="3"/>
      <c r="F135" s="3"/>
      <c r="G135" s="3"/>
    </row>
    <row r="136" spans="1:7" ht="12.75">
      <c r="A136" s="16" t="s">
        <v>110</v>
      </c>
      <c r="B136" s="16">
        <v>0</v>
      </c>
      <c r="C136" s="16"/>
      <c r="D136" s="18">
        <v>149954</v>
      </c>
      <c r="E136" s="3"/>
      <c r="F136" s="3"/>
      <c r="G136" s="3"/>
    </row>
    <row r="137" spans="1:7" ht="12.75">
      <c r="A137" s="21" t="s">
        <v>50</v>
      </c>
      <c r="B137" s="21">
        <f>B135+B136</f>
        <v>0</v>
      </c>
      <c r="C137" s="21"/>
      <c r="D137" s="22">
        <f>D135+D136</f>
        <v>646490</v>
      </c>
      <c r="E137" s="3"/>
      <c r="F137" s="3"/>
      <c r="G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21">
      <selection activeCell="J34" sqref="J34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10.00390625" style="0" customWidth="1"/>
    <col min="9" max="16384" width="9.00390625" style="0" customWidth="1"/>
  </cols>
  <sheetData>
    <row r="2" spans="1:13" ht="46.5" customHeight="1">
      <c r="A2" s="1" t="s">
        <v>122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123</v>
      </c>
      <c r="B17" s="9" t="s">
        <v>124</v>
      </c>
      <c r="C17" s="10" t="s">
        <v>12</v>
      </c>
      <c r="D17" s="9" t="s">
        <v>13</v>
      </c>
      <c r="E17" s="9" t="s">
        <v>125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187</v>
      </c>
      <c r="B18" s="10">
        <v>3</v>
      </c>
      <c r="C18" s="12">
        <v>35</v>
      </c>
      <c r="D18" s="12">
        <v>67</v>
      </c>
      <c r="E18" s="63">
        <v>12</v>
      </c>
      <c r="F18" s="63">
        <v>191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191</v>
      </c>
      <c r="C37" s="18">
        <f>F53</f>
        <v>7112.109424083769</v>
      </c>
      <c r="D37" s="18">
        <f>E53</f>
        <v>1358412.9</v>
      </c>
      <c r="E37" s="19">
        <f>G53</f>
        <v>0.5863779709394692</v>
      </c>
      <c r="F37" s="18">
        <f aca="true" t="shared" si="0" ref="F37:F40">D37*E37</f>
        <v>796543.4</v>
      </c>
      <c r="G37" s="65">
        <f aca="true" t="shared" si="1" ref="G37:G42">F37-D37</f>
        <v>-561869.4999999999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191</v>
      </c>
      <c r="C38" s="18">
        <f>F69</f>
        <v>8798.801570680629</v>
      </c>
      <c r="D38" s="18">
        <f>E69</f>
        <v>1680571.1</v>
      </c>
      <c r="E38" s="19">
        <f>G69</f>
        <v>0.6457213265181104</v>
      </c>
      <c r="F38" s="18">
        <f t="shared" si="0"/>
        <v>1085180.6</v>
      </c>
      <c r="G38" s="65">
        <f t="shared" si="1"/>
        <v>-595390.5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191</v>
      </c>
      <c r="C39" s="18">
        <f>C78</f>
        <v>515.3769633507853</v>
      </c>
      <c r="D39" s="18">
        <f>B78</f>
        <v>98437</v>
      </c>
      <c r="E39" s="19">
        <f>D78</f>
        <v>0.71178520271849</v>
      </c>
      <c r="F39" s="18">
        <f t="shared" si="0"/>
        <v>70066</v>
      </c>
      <c r="G39" s="65">
        <f t="shared" si="1"/>
        <v>-28371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191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191</v>
      </c>
      <c r="C41" s="18">
        <v>0</v>
      </c>
      <c r="D41" s="18">
        <v>0</v>
      </c>
      <c r="E41" s="19">
        <v>1</v>
      </c>
      <c r="F41" s="18">
        <f>D137</f>
        <v>967381</v>
      </c>
      <c r="G41" s="65">
        <f t="shared" si="1"/>
        <v>967381</v>
      </c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16426.287958115183</v>
      </c>
      <c r="D42" s="22">
        <f>SUM(D37:D40)</f>
        <v>3137421</v>
      </c>
      <c r="E42" s="23">
        <f>F42/D42</f>
        <v>0.9304364954527938</v>
      </c>
      <c r="F42" s="18">
        <f>F37+F38+F39+F40+F41</f>
        <v>2919171</v>
      </c>
      <c r="G42" s="65">
        <f t="shared" si="1"/>
        <v>-218250</v>
      </c>
      <c r="H42" s="73">
        <f>F42+E95</f>
        <v>4411185</v>
      </c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126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574/2</f>
        <v>287</v>
      </c>
      <c r="D49" s="19">
        <f>E49/C49</f>
        <v>1868.0975609756097</v>
      </c>
      <c r="E49" s="19">
        <f>1072288/2</f>
        <v>536144</v>
      </c>
      <c r="F49" s="19">
        <f aca="true" t="shared" si="3" ref="F49:F52">E49/$B$40</f>
        <v>2807.0366492146595</v>
      </c>
      <c r="G49" s="19">
        <f>(511013/2/E49)</f>
        <v>0.4765631994389567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810/2</f>
        <v>405</v>
      </c>
      <c r="D50" s="19">
        <f>E50/C50*1000</f>
        <v>7324.691358024691</v>
      </c>
      <c r="E50" s="19">
        <f>5933/2</f>
        <v>2966.5</v>
      </c>
      <c r="F50" s="19">
        <f t="shared" si="3"/>
        <v>15.531413612565444</v>
      </c>
      <c r="G50" s="19">
        <f>(5933/2/E50)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42670*90%</f>
        <v>38403</v>
      </c>
      <c r="D51" s="19">
        <f aca="true" t="shared" si="4" ref="D51:D52">E51/C51</f>
        <v>11.570096086243263</v>
      </c>
      <c r="E51" s="19">
        <f>493696*90%</f>
        <v>444326.4</v>
      </c>
      <c r="F51" s="19">
        <f t="shared" si="3"/>
        <v>2326.316230366492</v>
      </c>
      <c r="G51" s="19">
        <f>(493696*90%/E51)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4840+2220</f>
        <v>7060</v>
      </c>
      <c r="D52" s="19">
        <f t="shared" si="4"/>
        <v>53.11274787535411</v>
      </c>
      <c r="E52" s="19">
        <v>374976</v>
      </c>
      <c r="F52" s="19">
        <f t="shared" si="3"/>
        <v>1963.2251308900525</v>
      </c>
      <c r="G52" s="19">
        <f>(93744/E52)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1358412.9</v>
      </c>
      <c r="F53" s="23">
        <f>F49+F50+F51+F52</f>
        <v>7112.109424083769</v>
      </c>
      <c r="G53" s="23">
        <f>(511013/2+5933/2+493696*90%+93744)/E53</f>
        <v>0.5863779709394692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2.5" customHeight="1">
      <c r="A55" s="25" t="s">
        <v>127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70866</v>
      </c>
      <c r="F60" s="19">
        <f aca="true" t="shared" si="5" ref="F60:F68">E60/$B$40</f>
        <v>371.0261780104712</v>
      </c>
      <c r="G60" s="19">
        <f>(50442/E60)</f>
        <v>0.7117940902548472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6293</v>
      </c>
      <c r="E61" s="19">
        <v>6293</v>
      </c>
      <c r="F61" s="19">
        <f t="shared" si="5"/>
        <v>32.94764397905759</v>
      </c>
      <c r="G61" s="19">
        <f>(4479/E61)</f>
        <v>0.711743206737645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4238.952879581152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(112.2+80.01)/2</f>
        <v>96.105</v>
      </c>
      <c r="D64" s="19">
        <f aca="true" t="shared" si="6" ref="D64:D66">E64/C64</f>
        <v>5578.73159565059</v>
      </c>
      <c r="E64" s="19">
        <f>1072288/2</f>
        <v>536144</v>
      </c>
      <c r="F64" s="19">
        <f t="shared" si="5"/>
        <v>2807.0366492146595</v>
      </c>
      <c r="G64" s="19">
        <f>(511013/2/E64)</f>
        <v>0.4765631994389567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725/2</f>
        <v>362.5</v>
      </c>
      <c r="D65" s="19">
        <f t="shared" si="6"/>
        <v>8.18344827586207</v>
      </c>
      <c r="E65" s="19">
        <f>5933/2</f>
        <v>2966.5</v>
      </c>
      <c r="F65" s="19">
        <f t="shared" si="5"/>
        <v>15.531413612565444</v>
      </c>
      <c r="G65" s="19">
        <f>(5933/2/E65)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23700*10%</f>
        <v>2370</v>
      </c>
      <c r="D66" s="19">
        <f t="shared" si="6"/>
        <v>20.831054852320676</v>
      </c>
      <c r="E66" s="19">
        <f>493696*10%</f>
        <v>49369.600000000006</v>
      </c>
      <c r="F66" s="19">
        <f t="shared" si="5"/>
        <v>258.4795811518325</v>
      </c>
      <c r="G66" s="19">
        <f>(493696*10%/E66)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105600</v>
      </c>
      <c r="F67" s="19">
        <f t="shared" si="5"/>
        <v>552.8795811518324</v>
      </c>
      <c r="G67" s="19">
        <f>(75165/E67)</f>
        <v>0.7117897727272727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99692</v>
      </c>
      <c r="F68" s="19">
        <f t="shared" si="5"/>
        <v>521.9476439790576</v>
      </c>
      <c r="G68" s="19">
        <f>(70960/E68)</f>
        <v>0.7117923203466677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1680571.1</v>
      </c>
      <c r="F69" s="23">
        <f>SUM(F60:F68)</f>
        <v>8798.801570680629</v>
      </c>
      <c r="G69" s="23">
        <f>(50442+4479+576292+511013/2+5933/2+493696*10%+70960+75165)/E69</f>
        <v>0.6457213265181104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7.75" customHeight="1">
      <c r="A71" s="25" t="s">
        <v>128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0</v>
      </c>
      <c r="C76" s="19">
        <f aca="true" t="shared" si="7" ref="C76:C77">B76/$B$40</f>
        <v>0</v>
      </c>
      <c r="D76" s="19" t="e">
        <f>(0/B76)</f>
        <v>#DIV/0!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63526+34911</f>
        <v>98437</v>
      </c>
      <c r="C77" s="19">
        <f t="shared" si="7"/>
        <v>515.3769633507853</v>
      </c>
      <c r="D77" s="19">
        <f aca="true" t="shared" si="8" ref="D77:D78">(45217+24849)/B77</f>
        <v>0.71178520271849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98437</v>
      </c>
      <c r="C78" s="37">
        <f>SUM(C76:C77)</f>
        <v>515.3769633507853</v>
      </c>
      <c r="D78" s="37">
        <f t="shared" si="8"/>
        <v>0.71178520271849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2</v>
      </c>
      <c r="C85" s="43">
        <f aca="true" t="shared" si="9" ref="C85:C86">E85/D85/B85</f>
        <v>0</v>
      </c>
      <c r="D85" s="44">
        <v>12</v>
      </c>
      <c r="E85" s="45">
        <v>0</v>
      </c>
      <c r="F85" s="19">
        <f aca="true" t="shared" si="10" ref="F85:F88">E85/$B$40</f>
        <v>0</v>
      </c>
      <c r="G85" s="19" t="e">
        <f>(0*2/E85)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9"/>
        <v>0</v>
      </c>
      <c r="D86" s="44">
        <v>12</v>
      </c>
      <c r="E86" s="45">
        <v>0</v>
      </c>
      <c r="F86" s="19">
        <f t="shared" si="10"/>
        <v>0</v>
      </c>
      <c r="G86" s="19" t="e">
        <f aca="true" t="shared" si="11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10"/>
        <v>0</v>
      </c>
      <c r="G87" s="19" t="e">
        <f t="shared" si="11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10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6.25" customHeight="1" hidden="1">
      <c r="A90" s="25" t="s">
        <v>130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2096151</v>
      </c>
      <c r="C95" s="23">
        <f>B95/$B$40</f>
        <v>10974.612565445026</v>
      </c>
      <c r="D95" s="23">
        <f>1492014/B95</f>
        <v>0.7117874618765537</v>
      </c>
      <c r="E95" s="18">
        <f>B95*D95</f>
        <v>1492014</v>
      </c>
      <c r="F95" s="18">
        <f>E95-B95</f>
        <v>-604137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131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16426.287958115183</v>
      </c>
      <c r="B116" s="37">
        <f>E42</f>
        <v>0.9304364954527938</v>
      </c>
      <c r="C116" s="23">
        <f>C95</f>
        <v>10974.612565445026</v>
      </c>
      <c r="D116" s="23">
        <f>D95</f>
        <v>0.7117874618765537</v>
      </c>
      <c r="E116" s="37">
        <f>(A116*B116+C116*D116)*F18</f>
        <v>4411185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9" customHeight="1">
      <c r="A118" s="13" t="s">
        <v>132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9562699+400+51277+133662+82340+30000</f>
        <v>9860378</v>
      </c>
      <c r="B130" s="54">
        <f>1044000+315288</f>
        <v>1359288</v>
      </c>
      <c r="C130" s="55">
        <f>720000+217440</f>
        <v>937440</v>
      </c>
      <c r="D130" s="56">
        <f>A130+B130+C130</f>
        <v>12157106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1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109</v>
      </c>
      <c r="B135" s="16">
        <v>0</v>
      </c>
      <c r="C135" s="16"/>
      <c r="D135" s="18">
        <f>742535+600</f>
        <v>743135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110</v>
      </c>
      <c r="B136" s="16">
        <v>0</v>
      </c>
      <c r="C136" s="16"/>
      <c r="D136" s="18">
        <v>224246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967381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10.00390625" style="0" customWidth="1"/>
    <col min="9" max="16384" width="9.00390625" style="0" customWidth="1"/>
  </cols>
  <sheetData>
    <row r="2" spans="1:13" ht="46.5" customHeight="1">
      <c r="A2" s="1" t="s">
        <v>133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112</v>
      </c>
      <c r="C17" s="10" t="s">
        <v>12</v>
      </c>
      <c r="D17" s="9" t="s">
        <v>13</v>
      </c>
      <c r="E17" s="9" t="s">
        <v>125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134</v>
      </c>
      <c r="B18" s="10">
        <v>0</v>
      </c>
      <c r="C18" s="12">
        <v>20</v>
      </c>
      <c r="D18" s="12">
        <v>0</v>
      </c>
      <c r="E18" s="63">
        <v>0</v>
      </c>
      <c r="F18" s="63">
        <v>121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121</v>
      </c>
      <c r="C37" s="18">
        <f>F53</f>
        <v>8858.089256198347</v>
      </c>
      <c r="D37" s="18">
        <f>E53</f>
        <v>1071828.8</v>
      </c>
      <c r="E37" s="19">
        <f>G53</f>
        <v>0.635640971767133</v>
      </c>
      <c r="F37" s="18">
        <f aca="true" t="shared" si="0" ref="F37:F40">D37*E37</f>
        <v>681298.3</v>
      </c>
      <c r="G37" s="65">
        <f aca="true" t="shared" si="1" ref="G37:G42">F37-D37</f>
        <v>-390530.5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121</v>
      </c>
      <c r="C38" s="18">
        <f>F69</f>
        <v>19754.786776859502</v>
      </c>
      <c r="D38" s="18">
        <f>E69</f>
        <v>2390329.2</v>
      </c>
      <c r="E38" s="19">
        <f>G69</f>
        <v>0.676215100413784</v>
      </c>
      <c r="F38" s="18">
        <f t="shared" si="0"/>
        <v>1616376.7</v>
      </c>
      <c r="G38" s="65">
        <f t="shared" si="1"/>
        <v>-773952.5000000002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121</v>
      </c>
      <c r="C39" s="18">
        <f>C78</f>
        <v>742.8429752066116</v>
      </c>
      <c r="D39" s="18">
        <f>B78</f>
        <v>89884</v>
      </c>
      <c r="E39" s="19">
        <f>D78</f>
        <v>0.7117840772551288</v>
      </c>
      <c r="F39" s="18">
        <f t="shared" si="0"/>
        <v>63978</v>
      </c>
      <c r="G39" s="65">
        <f t="shared" si="1"/>
        <v>-25906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121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121</v>
      </c>
      <c r="C41" s="18">
        <v>0</v>
      </c>
      <c r="D41" s="18">
        <v>0</v>
      </c>
      <c r="E41" s="19">
        <v>1</v>
      </c>
      <c r="F41" s="18">
        <f>D136</f>
        <v>713625</v>
      </c>
      <c r="G41" s="65">
        <f t="shared" si="1"/>
        <v>713625</v>
      </c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29355.719008264463</v>
      </c>
      <c r="D42" s="22">
        <f>SUM(D37:D40)</f>
        <v>3552042</v>
      </c>
      <c r="E42" s="23">
        <f>F42/D42</f>
        <v>0.8657774879914145</v>
      </c>
      <c r="F42" s="18">
        <f>F37+F38+F39+F40+F41</f>
        <v>3075278</v>
      </c>
      <c r="G42" s="65">
        <f t="shared" si="1"/>
        <v>-476764</v>
      </c>
      <c r="H42" s="24">
        <f>F42+E95</f>
        <v>4061764</v>
      </c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134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182.04/2</f>
        <v>91.02</v>
      </c>
      <c r="D49" s="19">
        <f>E49/C49</f>
        <v>4477.169852779609</v>
      </c>
      <c r="E49" s="19">
        <f>815024/2</f>
        <v>407512</v>
      </c>
      <c r="F49" s="19">
        <f>E49/$B$40</f>
        <v>3367.8677685950415</v>
      </c>
      <c r="G49" s="19">
        <f>(382395/2/E49)</f>
        <v>0.4691825026011504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48630*90%</f>
        <v>43767</v>
      </c>
      <c r="D51" s="19">
        <f aca="true" t="shared" si="3" ref="D51:D52">E51/C51</f>
        <v>9.87110836931935</v>
      </c>
      <c r="E51" s="19">
        <f>480032*90%</f>
        <v>432028.8</v>
      </c>
      <c r="F51" s="19">
        <f aca="true" t="shared" si="4" ref="F51:F52">E51/$B$40</f>
        <v>3570.4859504132232</v>
      </c>
      <c r="G51" s="19">
        <f>(480032*90%/E51)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2996+1380</f>
        <v>4376</v>
      </c>
      <c r="D52" s="19">
        <f t="shared" si="3"/>
        <v>53.08226691042047</v>
      </c>
      <c r="E52" s="19">
        <v>232288</v>
      </c>
      <c r="F52" s="19">
        <f t="shared" si="4"/>
        <v>1919.7355371900826</v>
      </c>
      <c r="G52" s="19">
        <f>58072/E52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1071828.8</v>
      </c>
      <c r="F53" s="23">
        <f>F49+F50+F51+F52</f>
        <v>8858.089256198347</v>
      </c>
      <c r="G53" s="23">
        <f>(382395/2+480032*90%+58072)/E53</f>
        <v>0.635640971767133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7.75" customHeight="1">
      <c r="A55" s="25" t="s">
        <v>114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54751</v>
      </c>
      <c r="F60" s="19">
        <f aca="true" t="shared" si="5" ref="F60:F64">E60/$B$40</f>
        <v>452.4876033057851</v>
      </c>
      <c r="G60" s="19">
        <f>(38971/E60)</f>
        <v>0.711786086098884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2</v>
      </c>
      <c r="D61" s="19">
        <f>E61/C61</f>
        <v>12659.5</v>
      </c>
      <c r="E61" s="19">
        <v>25319</v>
      </c>
      <c r="F61" s="19">
        <f t="shared" si="5"/>
        <v>209.2479338842975</v>
      </c>
      <c r="G61" s="19">
        <f>(18052/E61)</f>
        <v>0.7129823452742999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1619280</v>
      </c>
      <c r="F63" s="19">
        <f t="shared" si="5"/>
        <v>13382.479338842975</v>
      </c>
      <c r="G63" s="19">
        <f>(1152583/E63)</f>
        <v>0.7117873375821353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(112.2+45.7)/2</f>
        <v>78.95</v>
      </c>
      <c r="D64" s="19">
        <f>E64/C64</f>
        <v>5161.646611779607</v>
      </c>
      <c r="E64" s="19">
        <f>815024/2</f>
        <v>407512</v>
      </c>
      <c r="F64" s="19">
        <f t="shared" si="5"/>
        <v>3367.8677685950415</v>
      </c>
      <c r="G64" s="19">
        <f>(382395/2/E64)</f>
        <v>0.4691825026011504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15100*10%</f>
        <v>1510</v>
      </c>
      <c r="D66" s="19">
        <f>E66/C66</f>
        <v>31.79019867549669</v>
      </c>
      <c r="E66" s="19">
        <f>480032*10%</f>
        <v>48003.200000000004</v>
      </c>
      <c r="F66" s="19">
        <f aca="true" t="shared" si="6" ref="F66:F68">E66/$B$40</f>
        <v>396.72066115702484</v>
      </c>
      <c r="G66" s="19">
        <f>(480032*10%/E66)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129176</v>
      </c>
      <c r="F67" s="19">
        <f t="shared" si="6"/>
        <v>1067.5702479338843</v>
      </c>
      <c r="G67" s="19">
        <f>(91946/E67)</f>
        <v>0.7117885675357651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106288</v>
      </c>
      <c r="F68" s="19">
        <f t="shared" si="6"/>
        <v>878.4132231404959</v>
      </c>
      <c r="G68" s="19">
        <f>(75654/E68)</f>
        <v>0.7117830799337649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2390329.2</v>
      </c>
      <c r="F69" s="23">
        <f>SUM(F60:F68)</f>
        <v>19754.786776859502</v>
      </c>
      <c r="G69" s="23">
        <f>(38971+18022+1152583+382395/2+480032*10%+75654+91946)/E69</f>
        <v>0.676215100413784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" customHeight="1">
      <c r="A71" s="25" t="s">
        <v>135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1430</v>
      </c>
      <c r="C76" s="19">
        <f aca="true" t="shared" si="7" ref="C76:C77">B76/$B$40</f>
        <v>11.818181818181818</v>
      </c>
      <c r="D76" s="19">
        <f>(1018/B76)</f>
        <v>0.7118881118881119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70999+17455</f>
        <v>88454</v>
      </c>
      <c r="C77" s="19">
        <f t="shared" si="7"/>
        <v>731.0247933884298</v>
      </c>
      <c r="D77" s="19">
        <f>(50536+12424)/B77</f>
        <v>0.7117823953693445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89884</v>
      </c>
      <c r="C78" s="37">
        <f>SUM(C76:C77)</f>
        <v>742.8429752066116</v>
      </c>
      <c r="D78" s="37">
        <f>(1018+50536+12424)/B78</f>
        <v>0.7117840772551288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8" ref="C85:C86">E85/D85/B85</f>
        <v>0</v>
      </c>
      <c r="D85" s="44">
        <v>12</v>
      </c>
      <c r="E85" s="45">
        <v>0</v>
      </c>
      <c r="F85" s="19">
        <f aca="true" t="shared" si="9" ref="F85:F88">E85/$B$40</f>
        <v>0</v>
      </c>
      <c r="G85" s="19" t="e">
        <f>(0*1/E85)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8"/>
        <v>0</v>
      </c>
      <c r="D86" s="44">
        <v>12</v>
      </c>
      <c r="E86" s="45">
        <v>0</v>
      </c>
      <c r="F86" s="19">
        <f t="shared" si="9"/>
        <v>0</v>
      </c>
      <c r="G86" s="19" t="e">
        <f aca="true" t="shared" si="10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" customHeight="1" hidden="1">
      <c r="A90" s="25" t="s">
        <v>118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16" t="s">
        <v>79</v>
      </c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1385928</v>
      </c>
      <c r="C95" s="23">
        <f>B95/$B$40</f>
        <v>11453.950413223141</v>
      </c>
      <c r="D95" s="23">
        <f>986486/B95</f>
        <v>0.7117873367159044</v>
      </c>
      <c r="E95" s="18">
        <f>B95*D95</f>
        <v>986486</v>
      </c>
      <c r="F95" s="18">
        <f>E95-B95</f>
        <v>-399442</v>
      </c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136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29355.719008264463</v>
      </c>
      <c r="B116" s="37">
        <f>E42</f>
        <v>0.8657774879914145</v>
      </c>
      <c r="C116" s="23">
        <f>C95</f>
        <v>11453.950413223141</v>
      </c>
      <c r="D116" s="23">
        <f>D95</f>
        <v>0.7117873367159044</v>
      </c>
      <c r="E116" s="37">
        <f>(A116*B116+C116*D116)*F18</f>
        <v>4061764.0000000005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10.25" customHeight="1">
      <c r="A118" s="13" t="s">
        <v>137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9546902+1200+29168+112618+216687+10540</f>
        <v>9917115</v>
      </c>
      <c r="B130" s="54">
        <f>1152000+347904</f>
        <v>1499904</v>
      </c>
      <c r="C130" s="55">
        <f>756000+228312</f>
        <v>984312</v>
      </c>
      <c r="D130" s="56">
        <f>A130+B130+C130</f>
        <v>12401331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1" t="s">
        <v>107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16" t="s">
        <v>109</v>
      </c>
      <c r="B134" s="16">
        <v>0</v>
      </c>
      <c r="C134" s="16"/>
      <c r="D134" s="18">
        <v>548099</v>
      </c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110</v>
      </c>
      <c r="B135" s="16">
        <v>0</v>
      </c>
      <c r="C135" s="16"/>
      <c r="D135" s="18">
        <v>165526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21" t="s">
        <v>50</v>
      </c>
      <c r="B136" s="21">
        <f>B134+B135</f>
        <v>0</v>
      </c>
      <c r="C136" s="21"/>
      <c r="D136" s="22">
        <f>D134+D135</f>
        <v>713625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9.00390625" style="0" customWidth="1"/>
    <col min="9" max="9" width="10.00390625" style="0" customWidth="1"/>
    <col min="10" max="16384" width="9.00390625" style="0" customWidth="1"/>
  </cols>
  <sheetData>
    <row r="2" spans="1:13" ht="46.5" customHeight="1">
      <c r="A2" s="1" t="s">
        <v>138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124</v>
      </c>
      <c r="C17" s="10" t="s">
        <v>12</v>
      </c>
      <c r="D17" s="9" t="s">
        <v>13</v>
      </c>
      <c r="E17" s="9" t="s">
        <v>139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214</v>
      </c>
      <c r="B18" s="10">
        <v>0</v>
      </c>
      <c r="C18" s="12">
        <v>63</v>
      </c>
      <c r="D18" s="12">
        <v>40</v>
      </c>
      <c r="E18" s="63">
        <v>0</v>
      </c>
      <c r="F18" s="63">
        <v>185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185</v>
      </c>
      <c r="C37" s="18">
        <f>F53</f>
        <v>6923.992432432433</v>
      </c>
      <c r="D37" s="18">
        <f>E53</f>
        <v>1280938.6</v>
      </c>
      <c r="E37" s="19">
        <f>G53</f>
        <v>0.6130193125572139</v>
      </c>
      <c r="F37" s="18">
        <f aca="true" t="shared" si="0" ref="F37:F40">D37*E37</f>
        <v>785240.1</v>
      </c>
      <c r="G37" s="65">
        <f aca="true" t="shared" si="1" ref="G37:G41">F37-D37</f>
        <v>-495698.5000000001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185</v>
      </c>
      <c r="C38" s="18">
        <f>F69</f>
        <v>7161.072432432432</v>
      </c>
      <c r="D38" s="18">
        <f>E69</f>
        <v>1324798.4</v>
      </c>
      <c r="E38" s="19">
        <f>G69</f>
        <v>0.6861450768660349</v>
      </c>
      <c r="F38" s="18">
        <f t="shared" si="0"/>
        <v>909003.8999999999</v>
      </c>
      <c r="G38" s="65">
        <f t="shared" si="1"/>
        <v>-415794.5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185</v>
      </c>
      <c r="C39" s="18">
        <f>C78</f>
        <v>432.2108108108108</v>
      </c>
      <c r="D39" s="18">
        <f>B78</f>
        <v>79959</v>
      </c>
      <c r="E39" s="19">
        <f>D78</f>
        <v>0.7836141022273916</v>
      </c>
      <c r="F39" s="18">
        <f t="shared" si="0"/>
        <v>62657.00000000001</v>
      </c>
      <c r="G39" s="65">
        <f t="shared" si="1"/>
        <v>-17301.999999999993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185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185</v>
      </c>
      <c r="C41" s="18">
        <v>0</v>
      </c>
      <c r="D41" s="18">
        <v>0</v>
      </c>
      <c r="E41" s="19">
        <v>1</v>
      </c>
      <c r="F41" s="18">
        <f>D137</f>
        <v>806380</v>
      </c>
      <c r="G41" s="65">
        <f t="shared" si="1"/>
        <v>806380</v>
      </c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14517.275675675675</v>
      </c>
      <c r="D42" s="22">
        <f>SUM(D37:D40)</f>
        <v>2685696</v>
      </c>
      <c r="E42" s="23">
        <f>F42/D42</f>
        <v>0.9544196364741206</v>
      </c>
      <c r="F42" s="22">
        <f>F37+F38+F39+F40+F41</f>
        <v>2563281</v>
      </c>
      <c r="G42" s="74">
        <f>G37+G38+G39+G40+G41</f>
        <v>-122415.00000000012</v>
      </c>
      <c r="H42" s="3"/>
      <c r="I42" s="24">
        <f>F42+E95</f>
        <v>4104056</v>
      </c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140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110.27/2</f>
        <v>55.135</v>
      </c>
      <c r="D49" s="19">
        <f aca="true" t="shared" si="3" ref="D49:D52">E49/C49</f>
        <v>3280.674707536048</v>
      </c>
      <c r="E49" s="19">
        <f>361760/2</f>
        <v>180880</v>
      </c>
      <c r="F49" s="19">
        <f aca="true" t="shared" si="4" ref="F49:F52">E49/$B$40</f>
        <v>977.7297297297297</v>
      </c>
      <c r="G49" s="19">
        <f>(155763/2/E49)</f>
        <v>0.43056999115435646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3962/2</f>
        <v>1981</v>
      </c>
      <c r="D50" s="19">
        <f t="shared" si="3"/>
        <v>8.234729934376578</v>
      </c>
      <c r="E50" s="19">
        <f>32626/2</f>
        <v>16313</v>
      </c>
      <c r="F50" s="19">
        <f t="shared" si="4"/>
        <v>88.17837837837838</v>
      </c>
      <c r="G50" s="19">
        <f>(32626/2/E50)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52010*90%</f>
        <v>46809</v>
      </c>
      <c r="D51" s="19">
        <f t="shared" si="3"/>
        <v>11.966621803499326</v>
      </c>
      <c r="E51" s="19">
        <f>622384*90%</f>
        <v>560145.6</v>
      </c>
      <c r="F51" s="19">
        <f t="shared" si="4"/>
        <v>3027.814054054054</v>
      </c>
      <c r="G51" s="19">
        <f>(622384*90%/E51)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7421+2080</f>
        <v>9501</v>
      </c>
      <c r="D52" s="19">
        <f t="shared" si="3"/>
        <v>55.10998842227134</v>
      </c>
      <c r="E52" s="19">
        <v>523600</v>
      </c>
      <c r="F52" s="19">
        <f t="shared" si="4"/>
        <v>2830.2702702702704</v>
      </c>
      <c r="G52" s="19">
        <f>(130900/E52)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1280938.6</v>
      </c>
      <c r="F53" s="23">
        <f>F49+F50+F51+F52</f>
        <v>6923.992432432433</v>
      </c>
      <c r="G53" s="23">
        <f>(155763/2+32626/2+622384*90%+130900)/E53</f>
        <v>0.6130193125572139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8.5" customHeight="1">
      <c r="A55" s="25" t="s">
        <v>141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106467</v>
      </c>
      <c r="F60" s="19">
        <f aca="true" t="shared" si="5" ref="F60:F68">E60/$B$40</f>
        <v>575.4972972972973</v>
      </c>
      <c r="G60" s="19">
        <f>(75782/E60)</f>
        <v>0.7117886293405469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2</v>
      </c>
      <c r="D61" s="19">
        <f>E61/C61</f>
        <v>12762</v>
      </c>
      <c r="E61" s="19">
        <v>25524</v>
      </c>
      <c r="F61" s="19">
        <f t="shared" si="5"/>
        <v>137.96756756756756</v>
      </c>
      <c r="G61" s="19">
        <f>(12424/E61)</f>
        <v>0.486757561510735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4376.4324324324325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93.4/2</f>
        <v>46.7</v>
      </c>
      <c r="D64" s="19">
        <f aca="true" t="shared" si="6" ref="D64:D66">E64/C64</f>
        <v>3873.2334047109207</v>
      </c>
      <c r="E64" s="19">
        <f>361760/2</f>
        <v>180880</v>
      </c>
      <c r="F64" s="19">
        <f t="shared" si="5"/>
        <v>977.7297297297297</v>
      </c>
      <c r="G64" s="19">
        <f>(155763/2/E64)</f>
        <v>0.43056999115435646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3120/2</f>
        <v>1560</v>
      </c>
      <c r="D65" s="19">
        <f t="shared" si="6"/>
        <v>10.457051282051282</v>
      </c>
      <c r="E65" s="19">
        <f>32626/2</f>
        <v>16313</v>
      </c>
      <c r="F65" s="19">
        <f t="shared" si="5"/>
        <v>88.17837837837838</v>
      </c>
      <c r="G65" s="19">
        <f>(32626/2/E65)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14700*10%</f>
        <v>1470</v>
      </c>
      <c r="D66" s="19">
        <f t="shared" si="6"/>
        <v>42.33904761904762</v>
      </c>
      <c r="E66" s="19">
        <f>622384*10%</f>
        <v>62238.4</v>
      </c>
      <c r="F66" s="19">
        <f t="shared" si="5"/>
        <v>336.4237837837838</v>
      </c>
      <c r="G66" s="19">
        <f>(622384*10%/E66)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89152</v>
      </c>
      <c r="F67" s="19">
        <f t="shared" si="5"/>
        <v>481.9027027027027</v>
      </c>
      <c r="G67" s="19">
        <f>(63457/E67)</f>
        <v>0.7117843682699211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34584</v>
      </c>
      <c r="F68" s="19">
        <f t="shared" si="5"/>
        <v>186.94054054054055</v>
      </c>
      <c r="G68" s="19">
        <f>(24616/E68)</f>
        <v>0.7117742308582004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1324798.4</v>
      </c>
      <c r="F69" s="23">
        <f>SUM(F60:F68)</f>
        <v>7161.072432432432</v>
      </c>
      <c r="G69" s="23">
        <f>(75782+12424+576292+155763/2+32626/2+622384*10%+24616+63457)/E69</f>
        <v>0.6861450768660349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" customHeight="1">
      <c r="A71" s="25" t="s">
        <v>142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3961</v>
      </c>
      <c r="C76" s="19">
        <f aca="true" t="shared" si="7" ref="C76:C77">B76/$B$40</f>
        <v>21.410810810810812</v>
      </c>
      <c r="D76" s="19">
        <f>(2819/B76)</f>
        <v>0.7116889674324666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58543+17455</f>
        <v>75998</v>
      </c>
      <c r="C77" s="19">
        <f t="shared" si="7"/>
        <v>410.8</v>
      </c>
      <c r="D77" s="19">
        <f>(41670+18168)/B77</f>
        <v>0.7873628253375089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79959</v>
      </c>
      <c r="C78" s="37">
        <f>SUM(C76:C77)</f>
        <v>432.2108108108108</v>
      </c>
      <c r="D78" s="37">
        <f>(2819+41670+18168)/B78</f>
        <v>0.7836141022273916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143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8" ref="C85:C86">E85/D85/B85</f>
        <v>0</v>
      </c>
      <c r="D85" s="44">
        <v>12</v>
      </c>
      <c r="E85" s="45">
        <v>0</v>
      </c>
      <c r="F85" s="19">
        <f aca="true" t="shared" si="9" ref="F85:F88">E85/$B$40</f>
        <v>0</v>
      </c>
      <c r="G85" s="19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8"/>
        <v>0</v>
      </c>
      <c r="D86" s="44">
        <v>12</v>
      </c>
      <c r="E86" s="45">
        <v>0</v>
      </c>
      <c r="F86" s="19">
        <f t="shared" si="9"/>
        <v>0</v>
      </c>
      <c r="G86" s="19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" customHeight="1" hidden="1">
      <c r="A90" s="25" t="s">
        <v>118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2164656</v>
      </c>
      <c r="C95" s="23">
        <f>B95/$B$40</f>
        <v>11700.843243243244</v>
      </c>
      <c r="D95" s="23">
        <f>1540775/B95</f>
        <v>0.711787461841512</v>
      </c>
      <c r="E95" s="18">
        <f>B95*D95</f>
        <v>1540775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144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14517.275675675675</v>
      </c>
      <c r="B116" s="37">
        <f>E42</f>
        <v>0.9544196364741206</v>
      </c>
      <c r="C116" s="23">
        <f>C95</f>
        <v>11700.843243243244</v>
      </c>
      <c r="D116" s="23">
        <f>D95</f>
        <v>0.711787461841512</v>
      </c>
      <c r="E116" s="37">
        <f>(A116*B116+C116*D116)*F18</f>
        <v>4104056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6.5" customHeight="1">
      <c r="A118" s="13" t="s">
        <v>145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9709947+31348+500+119488+162057+10000</f>
        <v>10033340</v>
      </c>
      <c r="B130" s="54">
        <f>1152000+347904</f>
        <v>1499904</v>
      </c>
      <c r="C130" s="55">
        <f>756000+228312</f>
        <v>984312</v>
      </c>
      <c r="D130" s="56">
        <f>A130+B130+C130</f>
        <v>12517556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1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109</v>
      </c>
      <c r="B135" s="16">
        <v>0</v>
      </c>
      <c r="C135" s="16"/>
      <c r="D135" s="18">
        <f>618879+600</f>
        <v>619479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110</v>
      </c>
      <c r="B136" s="16">
        <v>0</v>
      </c>
      <c r="C136" s="16"/>
      <c r="D136" s="18">
        <v>186901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806380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1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9.00390625" style="0" customWidth="1"/>
    <col min="9" max="9" width="10.00390625" style="0" customWidth="1"/>
    <col min="10" max="16384" width="9.00390625" style="0" customWidth="1"/>
  </cols>
  <sheetData>
    <row r="2" spans="1:13" ht="46.5" customHeight="1">
      <c r="A2" s="1" t="s">
        <v>146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147</v>
      </c>
      <c r="C17" s="10" t="s">
        <v>12</v>
      </c>
      <c r="D17" s="9" t="s">
        <v>13</v>
      </c>
      <c r="E17" s="9" t="s">
        <v>125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156</v>
      </c>
      <c r="B18" s="10">
        <v>3</v>
      </c>
      <c r="C18" s="12">
        <v>42</v>
      </c>
      <c r="D18" s="12">
        <v>15</v>
      </c>
      <c r="E18" s="63">
        <v>0</v>
      </c>
      <c r="F18" s="63">
        <v>133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133</v>
      </c>
      <c r="C37" s="18">
        <f>F53</f>
        <v>9067.902255639097</v>
      </c>
      <c r="D37" s="18">
        <f>E53</f>
        <v>1206031</v>
      </c>
      <c r="E37" s="19">
        <f>G53</f>
        <v>0.5281559926734885</v>
      </c>
      <c r="F37" s="18">
        <f aca="true" t="shared" si="0" ref="F37:F40">D37*E37</f>
        <v>636972.5</v>
      </c>
      <c r="G37" s="65">
        <f aca="true" t="shared" si="1" ref="G37:G42">F37-D37</f>
        <v>-569058.5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133</v>
      </c>
      <c r="C38" s="18">
        <f>F69</f>
        <v>11863.849624060149</v>
      </c>
      <c r="D38" s="18">
        <f>E69</f>
        <v>1577892</v>
      </c>
      <c r="E38" s="19">
        <f>G69</f>
        <v>0.6588318465395604</v>
      </c>
      <c r="F38" s="18">
        <f t="shared" si="0"/>
        <v>1039565.5</v>
      </c>
      <c r="G38" s="65">
        <f t="shared" si="1"/>
        <v>-538326.5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133</v>
      </c>
      <c r="C39" s="18">
        <f>C78</f>
        <v>501.406015037594</v>
      </c>
      <c r="D39" s="18">
        <f>B78</f>
        <v>66687</v>
      </c>
      <c r="E39" s="19">
        <f>D78</f>
        <v>0.7117729092626749</v>
      </c>
      <c r="F39" s="18">
        <f t="shared" si="0"/>
        <v>47466</v>
      </c>
      <c r="G39" s="65">
        <f t="shared" si="1"/>
        <v>-19221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133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133</v>
      </c>
      <c r="C41" s="18">
        <v>0</v>
      </c>
      <c r="D41" s="18">
        <v>0</v>
      </c>
      <c r="E41" s="19">
        <v>1</v>
      </c>
      <c r="F41" s="18">
        <f>D137</f>
        <v>814111</v>
      </c>
      <c r="G41" s="65">
        <f t="shared" si="1"/>
        <v>814111</v>
      </c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21433.157894736843</v>
      </c>
      <c r="D42" s="22">
        <f>SUM(D37:D40)</f>
        <v>2850610</v>
      </c>
      <c r="E42" s="23">
        <f>F42/D42</f>
        <v>0.8903760949410828</v>
      </c>
      <c r="F42" s="18">
        <f>F37+F38+F39+F40+F41</f>
        <v>2538115</v>
      </c>
      <c r="G42" s="65">
        <f t="shared" si="1"/>
        <v>-312495</v>
      </c>
      <c r="H42" s="3"/>
      <c r="I42" s="24">
        <f>F42+E95</f>
        <v>3785383</v>
      </c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148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286.3/2</f>
        <v>143.15</v>
      </c>
      <c r="D49" s="19">
        <f aca="true" t="shared" si="3" ref="D49:D52">E49/C49</f>
        <v>3287.237163814181</v>
      </c>
      <c r="E49" s="19">
        <f>941136/2</f>
        <v>470568</v>
      </c>
      <c r="F49" s="19">
        <f aca="true" t="shared" si="4" ref="F49:F52">E49/$B$40</f>
        <v>3538.1052631578946</v>
      </c>
      <c r="G49" s="19">
        <f>(445451/2/E49)</f>
        <v>0.4733120399177165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f>1727/2</f>
        <v>863.5</v>
      </c>
      <c r="D50" s="19">
        <f t="shared" si="3"/>
        <v>16.619571511291255</v>
      </c>
      <c r="E50" s="19">
        <f>28702/2</f>
        <v>14351</v>
      </c>
      <c r="F50" s="19">
        <f t="shared" si="4"/>
        <v>107.90225563909775</v>
      </c>
      <c r="G50" s="19">
        <f>(28702/2/E50)</f>
        <v>1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27840*90%</f>
        <v>25056</v>
      </c>
      <c r="D51" s="19">
        <f t="shared" si="3"/>
        <v>11.686781609195402</v>
      </c>
      <c r="E51" s="19">
        <f>325360*90%</f>
        <v>292824</v>
      </c>
      <c r="F51" s="19">
        <f t="shared" si="4"/>
        <v>2201.684210526316</v>
      </c>
      <c r="G51" s="19">
        <f>(325360*90%/E51)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3430+4940</f>
        <v>8370</v>
      </c>
      <c r="D52" s="19">
        <f t="shared" si="3"/>
        <v>51.16941457586619</v>
      </c>
      <c r="E52" s="19">
        <f>428288</f>
        <v>428288</v>
      </c>
      <c r="F52" s="19">
        <f t="shared" si="4"/>
        <v>3220.2105263157896</v>
      </c>
      <c r="G52" s="19">
        <f>(107072/E52)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1206031</v>
      </c>
      <c r="F53" s="23">
        <f>F49+F50+F51+F52</f>
        <v>9067.902255639097</v>
      </c>
      <c r="G53" s="23">
        <f>(445451/2+28702/2+325360*90%+107072)/E53</f>
        <v>0.5281559926734885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4" customHeight="1">
      <c r="A55" s="25" t="s">
        <v>149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96212</v>
      </c>
      <c r="F60" s="19">
        <f aca="true" t="shared" si="5" ref="F60:F68">E60/$B$40</f>
        <v>723.3984962406015</v>
      </c>
      <c r="G60" s="19">
        <f>(68483/E60)</f>
        <v>0.7117927077703405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41885</v>
      </c>
      <c r="E61" s="19">
        <v>41885</v>
      </c>
      <c r="F61" s="19">
        <f t="shared" si="5"/>
        <v>314.9248120300752</v>
      </c>
      <c r="G61" s="19">
        <f>(29813/E61)</f>
        <v>0.7117822609526083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6087.518796992481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286.3/2</f>
        <v>143.15</v>
      </c>
      <c r="D64" s="19">
        <f aca="true" t="shared" si="6" ref="D64:D66">E64/C64</f>
        <v>3138.5819070904645</v>
      </c>
      <c r="E64" s="19">
        <f>898576/2</f>
        <v>449288</v>
      </c>
      <c r="F64" s="19">
        <f t="shared" si="5"/>
        <v>3378.1052631578946</v>
      </c>
      <c r="G64" s="19">
        <f>(445451/2/E64)</f>
        <v>0.49572991043606773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f>1727/2</f>
        <v>863.5</v>
      </c>
      <c r="D65" s="19">
        <f t="shared" si="6"/>
        <v>16.619571511291255</v>
      </c>
      <c r="E65" s="19">
        <f>28702/2</f>
        <v>14351</v>
      </c>
      <c r="F65" s="19">
        <f t="shared" si="5"/>
        <v>107.90225563909775</v>
      </c>
      <c r="G65" s="19">
        <f>(28702/2/E65)</f>
        <v>1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27840*10%</f>
        <v>2784</v>
      </c>
      <c r="D66" s="19">
        <f t="shared" si="6"/>
        <v>11.686781609195402</v>
      </c>
      <c r="E66" s="19">
        <f>325360*10%</f>
        <v>32536</v>
      </c>
      <c r="F66" s="19">
        <f t="shared" si="5"/>
        <v>244.6315789473684</v>
      </c>
      <c r="G66" s="19">
        <f>(3253600*10%/E66)</f>
        <v>10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133980</v>
      </c>
      <c r="F67" s="19">
        <f t="shared" si="5"/>
        <v>1007.3684210526316</v>
      </c>
      <c r="G67" s="19">
        <f>(95365/E67)</f>
        <v>0.7117853410956859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0</v>
      </c>
      <c r="F68" s="19">
        <f t="shared" si="5"/>
        <v>0</v>
      </c>
      <c r="G68" s="19" t="e">
        <f>(0/E68)</f>
        <v>#DIV/0!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1577892</v>
      </c>
      <c r="F69" s="23">
        <f>SUM(F60:F68)</f>
        <v>11863.849624060149</v>
      </c>
      <c r="G69" s="23">
        <f>(68483+29813+576292+445451/2+28702/2+325360*10%+95365)/E69</f>
        <v>0.6588318465395604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0" customHeight="1">
      <c r="A71" s="25" t="s">
        <v>150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2833</v>
      </c>
      <c r="C76" s="19">
        <f aca="true" t="shared" si="7" ref="C76:C77">B76/$B$40</f>
        <v>21.30075187969925</v>
      </c>
      <c r="D76" s="19">
        <f>(2016/B76)</f>
        <v>0.7116131309565831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46399+17455</f>
        <v>63854</v>
      </c>
      <c r="C77" s="19">
        <f t="shared" si="7"/>
        <v>480.10526315789474</v>
      </c>
      <c r="D77" s="19">
        <f>(33026+12424)/B77</f>
        <v>0.7117799981207129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66687</v>
      </c>
      <c r="C78" s="37">
        <f>SUM(C76:C77)</f>
        <v>501.406015037594</v>
      </c>
      <c r="D78" s="37">
        <f>(2016+33026+12424)/B78</f>
        <v>0.7117729092626749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151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8" ref="C85:C86">E85/D85/B85</f>
        <v>0</v>
      </c>
      <c r="D85" s="44">
        <v>12</v>
      </c>
      <c r="E85" s="45">
        <v>0</v>
      </c>
      <c r="F85" s="19">
        <f aca="true" t="shared" si="9" ref="F85:F88">E85/$B$40</f>
        <v>0</v>
      </c>
      <c r="G85" s="19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8"/>
        <v>0</v>
      </c>
      <c r="D86" s="44">
        <v>12</v>
      </c>
      <c r="E86" s="45">
        <v>0</v>
      </c>
      <c r="F86" s="19">
        <f t="shared" si="9"/>
        <v>0</v>
      </c>
      <c r="G86" s="19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" customHeight="1" hidden="1">
      <c r="A90" s="25" t="s">
        <v>152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1752304</v>
      </c>
      <c r="C95" s="23">
        <f>B95/$B$40</f>
        <v>13175.218045112782</v>
      </c>
      <c r="D95" s="23">
        <f>1247268/B95</f>
        <v>0.7117874524055187</v>
      </c>
      <c r="E95" s="18">
        <f>B95*D95</f>
        <v>1247268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153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21433.157894736843</v>
      </c>
      <c r="B116" s="37">
        <f>E42</f>
        <v>0.8903760949410828</v>
      </c>
      <c r="C116" s="23">
        <f>C95</f>
        <v>13175.218045112782</v>
      </c>
      <c r="D116" s="23">
        <f>D95</f>
        <v>0.7117874524055187</v>
      </c>
      <c r="E116" s="37">
        <f>(A116*B116+C116*D116)*F18</f>
        <v>3785383.0000000005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6" customHeight="1">
      <c r="A118" s="13" t="s">
        <v>120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5" t="s">
        <v>100</v>
      </c>
      <c r="B129" s="12" t="s">
        <v>101</v>
      </c>
      <c r="C129" s="75" t="s">
        <v>102</v>
      </c>
      <c r="D129" s="75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10294065+47748+130118+121887+30000</f>
        <v>10623818</v>
      </c>
      <c r="B130" s="54">
        <f>1224000+369648</f>
        <v>1593648</v>
      </c>
      <c r="C130" s="55">
        <f>900000+271800</f>
        <v>1171800</v>
      </c>
      <c r="D130" s="56">
        <f>A130+B130+C130</f>
        <v>13389266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1" t="s">
        <v>107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16" t="s">
        <v>109</v>
      </c>
      <c r="B135" s="16">
        <v>0</v>
      </c>
      <c r="C135" s="16"/>
      <c r="D135" s="18">
        <v>625277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16" t="s">
        <v>110</v>
      </c>
      <c r="B136" s="16">
        <v>0</v>
      </c>
      <c r="C136" s="16"/>
      <c r="D136" s="18">
        <v>188834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21" t="s">
        <v>50</v>
      </c>
      <c r="B137" s="21">
        <f>B135+B136</f>
        <v>0</v>
      </c>
      <c r="C137" s="21"/>
      <c r="D137" s="22">
        <f>D135+D136</f>
        <v>814111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11.875" style="0" customWidth="1"/>
    <col min="9" max="16384" width="9.00390625" style="0" customWidth="1"/>
  </cols>
  <sheetData>
    <row r="2" spans="1:13" ht="59.25" customHeight="1">
      <c r="A2" s="1" t="s">
        <v>154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124</v>
      </c>
      <c r="C17" s="10" t="s">
        <v>12</v>
      </c>
      <c r="D17" s="9" t="s">
        <v>155</v>
      </c>
      <c r="E17" s="9" t="s">
        <v>156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63</v>
      </c>
      <c r="B18" s="10">
        <v>2</v>
      </c>
      <c r="C18" s="12">
        <v>9</v>
      </c>
      <c r="D18" s="12">
        <v>15</v>
      </c>
      <c r="E18" s="63">
        <v>0</v>
      </c>
      <c r="F18" s="63">
        <v>64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64</v>
      </c>
      <c r="C37" s="18">
        <f>F53</f>
        <v>10169.6</v>
      </c>
      <c r="D37" s="18">
        <f>E53</f>
        <v>650854.4</v>
      </c>
      <c r="E37" s="19">
        <f>G53</f>
        <v>0.7364779280896004</v>
      </c>
      <c r="F37" s="18">
        <f aca="true" t="shared" si="0" ref="F37:F40">D37*E37</f>
        <v>479339.9000000001</v>
      </c>
      <c r="G37" s="65">
        <f aca="true" t="shared" si="1" ref="G37:G40">F37-D37</f>
        <v>-171514.49999999994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64</v>
      </c>
      <c r="C38" s="18">
        <f>F69</f>
        <v>16209.9625</v>
      </c>
      <c r="D38" s="18">
        <f>E69</f>
        <v>1037437.6</v>
      </c>
      <c r="E38" s="19">
        <f>G69</f>
        <v>0.6978329106251788</v>
      </c>
      <c r="F38" s="18">
        <f t="shared" si="0"/>
        <v>723958.1</v>
      </c>
      <c r="G38" s="65">
        <f t="shared" si="1"/>
        <v>-313479.5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64</v>
      </c>
      <c r="C39" s="18">
        <f>C78</f>
        <v>1001.234375</v>
      </c>
      <c r="D39" s="18">
        <f>B78</f>
        <v>64079</v>
      </c>
      <c r="E39" s="19">
        <f>D78</f>
        <v>0.711777649463943</v>
      </c>
      <c r="F39" s="18">
        <f t="shared" si="0"/>
        <v>45610</v>
      </c>
      <c r="G39" s="65">
        <f t="shared" si="1"/>
        <v>-18469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64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64</v>
      </c>
      <c r="C41" s="18">
        <v>0</v>
      </c>
      <c r="D41" s="18">
        <v>0</v>
      </c>
      <c r="E41" s="19">
        <v>1</v>
      </c>
      <c r="F41" s="18">
        <f>D137</f>
        <v>521201</v>
      </c>
      <c r="G41" s="65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27380.796875</v>
      </c>
      <c r="D42" s="22">
        <f>SUM(D37:D40)</f>
        <v>1752371</v>
      </c>
      <c r="E42" s="23">
        <f>F42/D42</f>
        <v>1.0101222857488512</v>
      </c>
      <c r="F42" s="18">
        <f>F37+F38+F39+F40+F41</f>
        <v>1770109</v>
      </c>
      <c r="G42" s="65">
        <f>G37+G38+G39+G40+G41</f>
        <v>-503462.99999999994</v>
      </c>
      <c r="H42" s="76">
        <f>F42+E95</f>
        <v>2194045</v>
      </c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157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39.9/2</f>
        <v>19.95</v>
      </c>
      <c r="D49" s="19">
        <f>E49/C49</f>
        <v>3278.59649122807</v>
      </c>
      <c r="E49" s="19">
        <f>130816/2</f>
        <v>65408</v>
      </c>
      <c r="F49" s="19">
        <f aca="true" t="shared" si="3" ref="F49:F52">E49/$B$40</f>
        <v>1022</v>
      </c>
      <c r="G49" s="19">
        <f>(40291/2/E49)</f>
        <v>0.30799749266144816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3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41340*90%</f>
        <v>37206</v>
      </c>
      <c r="D51" s="19">
        <f aca="true" t="shared" si="4" ref="D51:D52">E51/C51</f>
        <v>11.210836961780359</v>
      </c>
      <c r="E51" s="19">
        <f>463456*90%</f>
        <v>417110.4</v>
      </c>
      <c r="F51" s="19">
        <f t="shared" si="3"/>
        <v>6517.35</v>
      </c>
      <c r="G51" s="19">
        <f>(463456*90%/E51)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2200+960</f>
        <v>3160</v>
      </c>
      <c r="D52" s="19">
        <f t="shared" si="4"/>
        <v>53.27088607594937</v>
      </c>
      <c r="E52" s="19">
        <v>168336</v>
      </c>
      <c r="F52" s="19">
        <f t="shared" si="3"/>
        <v>2630.25</v>
      </c>
      <c r="G52" s="19">
        <f>(42084/E52)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650854.4</v>
      </c>
      <c r="F53" s="23">
        <f>F49+F50+F51+F52</f>
        <v>10169.6</v>
      </c>
      <c r="G53" s="23">
        <f>(40291/2+463456*90%+42084)/E53</f>
        <v>0.7364779280896004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5.5" customHeight="1">
      <c r="A55" s="25" t="s">
        <v>158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25589</v>
      </c>
      <c r="F60" s="19">
        <f aca="true" t="shared" si="5" ref="F60:F68">E60/$B$40</f>
        <v>399.828125</v>
      </c>
      <c r="G60" s="19">
        <f>(16790/E60)</f>
        <v>0.6561413107194498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25915</v>
      </c>
      <c r="E61" s="19">
        <v>25915</v>
      </c>
      <c r="F61" s="19">
        <f t="shared" si="5"/>
        <v>404.921875</v>
      </c>
      <c r="G61" s="19">
        <f>(18446/E61)</f>
        <v>0.7117885394559136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>
        <v>0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12650.625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39.9/2</f>
        <v>19.95</v>
      </c>
      <c r="D64" s="19">
        <f>E64/C64</f>
        <v>3278.59649122807</v>
      </c>
      <c r="E64" s="19">
        <f>130816/2</f>
        <v>65408</v>
      </c>
      <c r="F64" s="19">
        <f t="shared" si="5"/>
        <v>1022</v>
      </c>
      <c r="G64" s="19">
        <f>(40291/2/E64)</f>
        <v>0.30799749266144816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5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41340*10%</f>
        <v>4134</v>
      </c>
      <c r="D66" s="19">
        <f>E66/C66</f>
        <v>11.210836961780359</v>
      </c>
      <c r="E66" s="19">
        <f>463456*10%</f>
        <v>46345.600000000006</v>
      </c>
      <c r="F66" s="19">
        <f t="shared" si="5"/>
        <v>724.1500000000001</v>
      </c>
      <c r="G66" s="19">
        <f>(463456*10%/E66)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53956</v>
      </c>
      <c r="F67" s="19">
        <f t="shared" si="5"/>
        <v>843.0625</v>
      </c>
      <c r="G67" s="19">
        <f>(38405/E67)</f>
        <v>0.7117836755875158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10584</v>
      </c>
      <c r="F68" s="19">
        <f t="shared" si="5"/>
        <v>165.375</v>
      </c>
      <c r="G68" s="19">
        <f>(7534/E68)</f>
        <v>0.7118291761148904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1037437.6</v>
      </c>
      <c r="F69" s="23">
        <f>SUM(F60:F68)</f>
        <v>16209.9625</v>
      </c>
      <c r="G69" s="23">
        <f>(16790+18446+576292+40291/2+463456*10%+7534+38405)/E69</f>
        <v>0.6978329106251788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9.25" customHeight="1">
      <c r="A71" s="25" t="s">
        <v>159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537</v>
      </c>
      <c r="C76" s="19">
        <f aca="true" t="shared" si="6" ref="C76:C77">B76/$B$40</f>
        <v>8.390625</v>
      </c>
      <c r="D76" s="19">
        <f>(382/B76)</f>
        <v>0.7113594040968343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46087+17455</f>
        <v>63542</v>
      </c>
      <c r="C77" s="19">
        <f t="shared" si="6"/>
        <v>992.84375</v>
      </c>
      <c r="D77" s="19">
        <f>(32804+12424)/B77</f>
        <v>0.7117811840987064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64079</v>
      </c>
      <c r="C78" s="37">
        <f>SUM(C76:C77)</f>
        <v>1001.234375</v>
      </c>
      <c r="D78" s="37">
        <f>(32804+12424+382)/B78</f>
        <v>0.711777649463943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7" ref="C85:C86">E85/D85/B85</f>
        <v>0</v>
      </c>
      <c r="D85" s="44">
        <v>12</v>
      </c>
      <c r="E85" s="45">
        <v>0</v>
      </c>
      <c r="F85" s="19">
        <f aca="true" t="shared" si="8" ref="F85:F88">E85/$B$40</f>
        <v>0</v>
      </c>
      <c r="G85" s="19" t="e">
        <f aca="true" t="shared" si="9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7"/>
        <v>0</v>
      </c>
      <c r="D86" s="44">
        <v>12</v>
      </c>
      <c r="E86" s="45">
        <v>0</v>
      </c>
      <c r="F86" s="19">
        <f t="shared" si="8"/>
        <v>0</v>
      </c>
      <c r="G86" s="19" t="e">
        <f t="shared" si="9"/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8"/>
        <v>0</v>
      </c>
      <c r="G87" s="19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8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7.75" customHeight="1" hidden="1">
      <c r="A90" s="25" t="s">
        <v>152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595593</v>
      </c>
      <c r="C95" s="23">
        <f>B95/$B$40</f>
        <v>9306.140625</v>
      </c>
      <c r="D95" s="23">
        <f>423936/B95</f>
        <v>0.71178808347311</v>
      </c>
      <c r="E95" s="18">
        <f>B95*D95</f>
        <v>423936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160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27380.796875</v>
      </c>
      <c r="B116" s="37">
        <f>E42</f>
        <v>1.0101222857488512</v>
      </c>
      <c r="C116" s="23">
        <f>C95</f>
        <v>9306.140625</v>
      </c>
      <c r="D116" s="23">
        <f>D95</f>
        <v>0.71178808347311</v>
      </c>
      <c r="E116" s="37">
        <f>(A116*B116+C116*D116)*F18</f>
        <v>2194045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5" customHeight="1">
      <c r="A118" s="13" t="s">
        <v>161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3618180+28234+51630+13913+4000</f>
        <v>3715957</v>
      </c>
      <c r="B130" s="54">
        <f>360000+108720</f>
        <v>468720</v>
      </c>
      <c r="C130" s="55">
        <f>252000+76104</f>
        <v>328104</v>
      </c>
      <c r="D130" s="56">
        <f>A130+B130+C130</f>
        <v>4512781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77" t="s">
        <v>107</v>
      </c>
      <c r="B133" s="78"/>
      <c r="C133" s="78"/>
      <c r="D133" s="7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8"/>
      <c r="B134" s="78"/>
      <c r="C134" s="78"/>
      <c r="D134" s="78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9" t="s">
        <v>109</v>
      </c>
      <c r="B135" s="79">
        <v>0</v>
      </c>
      <c r="C135" s="79"/>
      <c r="D135" s="18">
        <v>400308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79" t="s">
        <v>110</v>
      </c>
      <c r="B136" s="79">
        <v>0</v>
      </c>
      <c r="C136" s="79"/>
      <c r="D136" s="18">
        <v>120893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80" t="s">
        <v>50</v>
      </c>
      <c r="B137" s="80">
        <f>B135+B136</f>
        <v>0</v>
      </c>
      <c r="C137" s="80"/>
      <c r="D137" s="22">
        <f>D135+D136</f>
        <v>521201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36">
      <selection activeCell="H42" sqref="H42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3.625" style="0" customWidth="1"/>
    <col min="8" max="8" width="11.00390625" style="0" customWidth="1"/>
    <col min="9" max="16384" width="9.00390625" style="0" customWidth="1"/>
  </cols>
  <sheetData>
    <row r="2" spans="1:13" ht="59.25" customHeight="1">
      <c r="A2" s="1" t="s">
        <v>162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124</v>
      </c>
      <c r="C17" s="10" t="s">
        <v>12</v>
      </c>
      <c r="D17" s="9" t="s">
        <v>13</v>
      </c>
      <c r="E17" s="9" t="s">
        <v>139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140</v>
      </c>
      <c r="B18" s="10">
        <v>0</v>
      </c>
      <c r="C18" s="12">
        <v>25</v>
      </c>
      <c r="D18" s="12">
        <v>3</v>
      </c>
      <c r="E18" s="63">
        <v>6</v>
      </c>
      <c r="F18" s="63">
        <v>125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125</v>
      </c>
      <c r="C37" s="18">
        <f>F53</f>
        <v>8183.7952000000005</v>
      </c>
      <c r="D37" s="18">
        <f>E53</f>
        <v>1022974.4</v>
      </c>
      <c r="E37" s="19">
        <f>G53</f>
        <v>0.7462551360034034</v>
      </c>
      <c r="F37" s="18">
        <f aca="true" t="shared" si="0" ref="F37:F40">E37*D37</f>
        <v>763399.9</v>
      </c>
      <c r="G37" s="65">
        <f aca="true" t="shared" si="1" ref="G37:G40">F37-D37</f>
        <v>-259574.5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125</v>
      </c>
      <c r="C38" s="18">
        <f>F69</f>
        <v>11232.172799999998</v>
      </c>
      <c r="D38" s="18">
        <f>E69</f>
        <v>1404021.6</v>
      </c>
      <c r="E38" s="19">
        <f>G69</f>
        <v>0.6813791896079091</v>
      </c>
      <c r="F38" s="18">
        <f t="shared" si="0"/>
        <v>956671.1</v>
      </c>
      <c r="G38" s="65">
        <f t="shared" si="1"/>
        <v>-447350.5000000001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125</v>
      </c>
      <c r="C39" s="18">
        <f>C78</f>
        <v>649.216</v>
      </c>
      <c r="D39" s="18">
        <f>B78</f>
        <v>81152</v>
      </c>
      <c r="E39" s="19">
        <f>D78</f>
        <v>0.7117877563091483</v>
      </c>
      <c r="F39" s="18">
        <f t="shared" si="0"/>
        <v>57763</v>
      </c>
      <c r="G39" s="65">
        <f t="shared" si="1"/>
        <v>-23389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125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125</v>
      </c>
      <c r="C41" s="18">
        <v>0</v>
      </c>
      <c r="D41" s="18">
        <v>0</v>
      </c>
      <c r="E41" s="19">
        <v>1</v>
      </c>
      <c r="F41" s="18">
        <f>D137</f>
        <v>639502</v>
      </c>
      <c r="G41" s="65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20065.184</v>
      </c>
      <c r="D42" s="22">
        <f>SUM(D37:D40)</f>
        <v>2508148</v>
      </c>
      <c r="E42" s="23">
        <f>F42/D42</f>
        <v>0.9637932051856589</v>
      </c>
      <c r="F42" s="18">
        <f>F37+F38+F39+F40+F41</f>
        <v>2417336</v>
      </c>
      <c r="G42" s="65">
        <f>G37+G38+G39+G40+G41</f>
        <v>-730314.0000000001</v>
      </c>
      <c r="H42" s="24">
        <f>F42+E95</f>
        <v>3429755</v>
      </c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163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143.45/2</f>
        <v>71.725</v>
      </c>
      <c r="D49" s="19">
        <f>E49/C49</f>
        <v>3280.7528755664</v>
      </c>
      <c r="E49" s="19">
        <f>470624/2</f>
        <v>235312</v>
      </c>
      <c r="F49" s="19">
        <f aca="true" t="shared" si="3" ref="F49:F52">E49/$B$40</f>
        <v>1882.496</v>
      </c>
      <c r="G49" s="19">
        <f>(210195/2/E49)</f>
        <v>0.4466304310872374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3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59090*90%</f>
        <v>53181</v>
      </c>
      <c r="D51" s="19">
        <f aca="true" t="shared" si="4" ref="D51:D52">E51/C51</f>
        <v>11.56771027246573</v>
      </c>
      <c r="E51" s="19">
        <f>683536*90%</f>
        <v>615182.4</v>
      </c>
      <c r="F51" s="19">
        <f t="shared" si="3"/>
        <v>4921.4592</v>
      </c>
      <c r="G51" s="19">
        <f>(683536*90%/E51)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1850+1600</f>
        <v>3450</v>
      </c>
      <c r="D52" s="19">
        <f t="shared" si="4"/>
        <v>49.994202898550725</v>
      </c>
      <c r="E52" s="19">
        <v>172480</v>
      </c>
      <c r="F52" s="19">
        <f t="shared" si="3"/>
        <v>1379.84</v>
      </c>
      <c r="G52" s="19">
        <f>(43120/E52)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1022974.4</v>
      </c>
      <c r="F53" s="23">
        <f>F49+F50+F51+F52</f>
        <v>8183.7952000000005</v>
      </c>
      <c r="G53" s="23">
        <f>(210195/2+683536*90%+43120)/E53</f>
        <v>0.7462551360034034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6.25" customHeight="1">
      <c r="A55" s="25" t="s">
        <v>164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72720</v>
      </c>
      <c r="F60" s="19">
        <f aca="true" t="shared" si="5" ref="F60:F68">E60/$B$40</f>
        <v>581.76</v>
      </c>
      <c r="G60" s="19">
        <f>(51761/E60)</f>
        <v>0.7117849284928492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0</v>
      </c>
      <c r="E61" s="19">
        <v>0</v>
      </c>
      <c r="F61" s="19">
        <f t="shared" si="5"/>
        <v>0</v>
      </c>
      <c r="G61" s="19" t="e">
        <f aca="true" t="shared" si="6" ref="G61:G62">(0/E61)</f>
        <v>#DIV/0!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 t="shared" si="6"/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6477.12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143.45/2</f>
        <v>71.725</v>
      </c>
      <c r="D64" s="19">
        <f>E64/C64</f>
        <v>3280.7528755664</v>
      </c>
      <c r="E64" s="19">
        <f>470624/2</f>
        <v>235312</v>
      </c>
      <c r="F64" s="19">
        <f t="shared" si="5"/>
        <v>1882.496</v>
      </c>
      <c r="G64" s="19">
        <f>(210195/2/E64)</f>
        <v>0.4466304310872374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5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59090*10%</f>
        <v>5909</v>
      </c>
      <c r="D66" s="19">
        <f>E66/C66</f>
        <v>11.567710272465732</v>
      </c>
      <c r="E66" s="19">
        <f>683536*10%</f>
        <v>68353.6</v>
      </c>
      <c r="F66" s="19">
        <f t="shared" si="5"/>
        <v>546.8288</v>
      </c>
      <c r="G66" s="19">
        <f>(683536*10%/E66)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70272</v>
      </c>
      <c r="F67" s="19">
        <f t="shared" si="5"/>
        <v>562.176</v>
      </c>
      <c r="G67" s="19">
        <f>(50019/E67)</f>
        <v>0.711791325136612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147724</v>
      </c>
      <c r="F68" s="19">
        <f t="shared" si="5"/>
        <v>1181.792</v>
      </c>
      <c r="G68" s="19">
        <f>(105148/E68)</f>
        <v>0.7117868457393518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1404021.6</v>
      </c>
      <c r="F69" s="23">
        <f>SUM(F60:F68)</f>
        <v>11232.172799999998</v>
      </c>
      <c r="G69" s="23">
        <f>(51761+576292+210195/2+683536*10%+105148+50019)/E69</f>
        <v>0.6813791896079091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9.25" customHeight="1">
      <c r="A71" s="25" t="s">
        <v>135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1417</v>
      </c>
      <c r="C76" s="19">
        <f aca="true" t="shared" si="7" ref="C76:C77">B76/$B$40</f>
        <v>11.336</v>
      </c>
      <c r="D76" s="19">
        <f>(1009/B76)</f>
        <v>0.7120677487649965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62280+17455</f>
        <v>79735</v>
      </c>
      <c r="C77" s="19">
        <f t="shared" si="7"/>
        <v>637.88</v>
      </c>
      <c r="D77" s="19">
        <f>(44330+12424)/B77</f>
        <v>0.7117827804602747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81152</v>
      </c>
      <c r="C78" s="37">
        <f>SUM(C76:C77)</f>
        <v>649.216</v>
      </c>
      <c r="D78" s="37">
        <f>(44330+12424+1009)/B78</f>
        <v>0.7117877563091483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165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1</v>
      </c>
      <c r="C85" s="43">
        <f aca="true" t="shared" si="8" ref="C85:C86">E85/D85/B85</f>
        <v>0</v>
      </c>
      <c r="D85" s="44">
        <v>12</v>
      </c>
      <c r="E85" s="45">
        <v>0</v>
      </c>
      <c r="F85" s="19">
        <f aca="true" t="shared" si="9" ref="F85:F88">E85/$B$40</f>
        <v>0</v>
      </c>
      <c r="G85" s="19" t="e">
        <f aca="true" t="shared" si="10" ref="G85:G87">(0/E85)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1</v>
      </c>
      <c r="C86" s="43">
        <f t="shared" si="8"/>
        <v>0</v>
      </c>
      <c r="D86" s="44">
        <v>12</v>
      </c>
      <c r="E86" s="45">
        <v>0</v>
      </c>
      <c r="F86" s="19">
        <f t="shared" si="9"/>
        <v>0</v>
      </c>
      <c r="G86" s="19" t="e">
        <f t="shared" si="10"/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9"/>
        <v>0</v>
      </c>
      <c r="G87" s="19" t="e">
        <f t="shared" si="10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9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31.5" customHeight="1" hidden="1">
      <c r="A90" s="25" t="s">
        <v>166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1422361</v>
      </c>
      <c r="C95" s="23">
        <f>B95/$B$40</f>
        <v>11378.888</v>
      </c>
      <c r="D95" s="23">
        <f>1012419/B95</f>
        <v>0.7117876544702787</v>
      </c>
      <c r="E95" s="18">
        <f>B95*D95</f>
        <v>1012419.0000000001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167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20065.184</v>
      </c>
      <c r="B116" s="37">
        <f>E42</f>
        <v>0.9637932051856589</v>
      </c>
      <c r="C116" s="23">
        <f>C95</f>
        <v>11378.888</v>
      </c>
      <c r="D116" s="23">
        <f>D95</f>
        <v>0.7117876544702787</v>
      </c>
      <c r="E116" s="37">
        <f>(A116*B116+C116*D116)*F18</f>
        <v>3429755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8.25" customHeight="1">
      <c r="A118" s="13" t="s">
        <v>168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8356095.76+1200+88061+77659+29791.24</f>
        <v>8552807</v>
      </c>
      <c r="B130" s="54">
        <f>972000+293544</f>
        <v>1265544</v>
      </c>
      <c r="C130" s="55">
        <f>648000+195696</f>
        <v>843696</v>
      </c>
      <c r="D130" s="56">
        <f>A130+B130+C130</f>
        <v>10662047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2"/>
      <c r="B132" s="72"/>
      <c r="C132" s="72"/>
      <c r="D132" s="72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77" t="s">
        <v>107</v>
      </c>
      <c r="B133" s="78"/>
      <c r="C133" s="78"/>
      <c r="D133" s="7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8"/>
      <c r="B134" s="78"/>
      <c r="C134" s="78"/>
      <c r="D134" s="78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9" t="s">
        <v>109</v>
      </c>
      <c r="B135" s="79">
        <v>0</v>
      </c>
      <c r="C135" s="79"/>
      <c r="D135" s="18">
        <f>490708+600</f>
        <v>491308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79" t="s">
        <v>110</v>
      </c>
      <c r="B136" s="79">
        <v>0</v>
      </c>
      <c r="C136" s="79"/>
      <c r="D136" s="18">
        <v>148194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80" t="s">
        <v>50</v>
      </c>
      <c r="B137" s="80">
        <f>B135+B136</f>
        <v>0</v>
      </c>
      <c r="C137" s="80"/>
      <c r="D137" s="22">
        <f>D135+D136</f>
        <v>639502</v>
      </c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366"/>
  <sheetViews>
    <sheetView workbookViewId="0" topLeftCell="A124">
      <selection activeCell="A131" sqref="A131"/>
    </sheetView>
  </sheetViews>
  <sheetFormatPr defaultColWidth="8.00390625" defaultRowHeight="12.75"/>
  <cols>
    <col min="1" max="1" width="18.00390625" style="0" customWidth="1"/>
    <col min="2" max="2" width="13.625" style="0" customWidth="1"/>
    <col min="3" max="3" width="13.00390625" style="0" customWidth="1"/>
    <col min="4" max="4" width="12.375" style="0" customWidth="1"/>
    <col min="5" max="5" width="15.625" style="0" customWidth="1"/>
    <col min="6" max="6" width="12.75390625" style="0" customWidth="1"/>
    <col min="7" max="7" width="14.375" style="0" customWidth="1"/>
    <col min="8" max="16384" width="9.00390625" style="0" customWidth="1"/>
  </cols>
  <sheetData>
    <row r="2" spans="1:13" ht="59.25" customHeight="1">
      <c r="A2" s="1" t="s">
        <v>169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40.5" customHeight="1">
      <c r="A4" s="4" t="s">
        <v>1</v>
      </c>
      <c r="B4" s="4"/>
      <c r="C4" s="4"/>
      <c r="D4" s="4"/>
      <c r="E4" s="4"/>
      <c r="F4" s="4"/>
      <c r="G4" s="4"/>
      <c r="H4" s="3"/>
      <c r="I4" s="3"/>
      <c r="J4" s="3"/>
      <c r="K4" s="3"/>
      <c r="L4" s="3"/>
      <c r="M4" s="3"/>
    </row>
    <row r="5" spans="1:13" ht="12.75" customHeight="1">
      <c r="A5" s="5" t="s">
        <v>2</v>
      </c>
      <c r="B5" s="6" t="s">
        <v>3</v>
      </c>
      <c r="C5" s="6"/>
      <c r="D5" s="7" t="s">
        <v>4</v>
      </c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/>
      <c r="B6" s="8">
        <v>12</v>
      </c>
      <c r="C6" s="8"/>
      <c r="D6" s="7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2" customHeight="1">
      <c r="A11" s="4" t="s">
        <v>7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99" customHeight="1">
      <c r="A17" s="9" t="s">
        <v>10</v>
      </c>
      <c r="B17" s="9" t="s">
        <v>147</v>
      </c>
      <c r="C17" s="10" t="s">
        <v>12</v>
      </c>
      <c r="D17" s="9" t="s">
        <v>155</v>
      </c>
      <c r="E17" s="9" t="s">
        <v>170</v>
      </c>
      <c r="F17" s="9" t="s">
        <v>15</v>
      </c>
      <c r="G17" s="3"/>
      <c r="H17" s="3"/>
      <c r="I17" s="3"/>
      <c r="J17" s="3"/>
      <c r="K17" s="3"/>
      <c r="L17" s="3"/>
      <c r="M17" s="3"/>
    </row>
    <row r="18" spans="1:13" ht="29.25" customHeight="1">
      <c r="A18" s="12">
        <v>282</v>
      </c>
      <c r="B18" s="10">
        <v>3</v>
      </c>
      <c r="C18" s="12">
        <v>76</v>
      </c>
      <c r="D18" s="12">
        <v>51</v>
      </c>
      <c r="E18" s="63">
        <v>6</v>
      </c>
      <c r="F18" s="63">
        <v>252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7" customHeight="1">
      <c r="A20" s="13" t="s">
        <v>16</v>
      </c>
      <c r="B20" s="13"/>
      <c r="C20" s="13"/>
      <c r="D20" s="13"/>
      <c r="E20" s="13"/>
      <c r="F20" s="13"/>
      <c r="G20" s="13"/>
      <c r="H20" s="14"/>
      <c r="I20" s="14"/>
      <c r="J20" s="14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 t="s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 t="s">
        <v>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63.75" customHeight="1">
      <c r="A36" s="15" t="s">
        <v>24</v>
      </c>
      <c r="B36" s="11" t="s">
        <v>25</v>
      </c>
      <c r="C36" s="15" t="s">
        <v>26</v>
      </c>
      <c r="D36" s="15" t="s">
        <v>27</v>
      </c>
      <c r="E36" s="15" t="s">
        <v>28</v>
      </c>
      <c r="F36" s="15" t="s">
        <v>29</v>
      </c>
      <c r="G36" s="64" t="s">
        <v>79</v>
      </c>
      <c r="H36" s="3"/>
      <c r="I36" s="3"/>
      <c r="J36" s="3"/>
      <c r="K36" s="3"/>
      <c r="L36" s="3"/>
      <c r="M36" s="3"/>
    </row>
    <row r="37" spans="1:13" ht="12.75">
      <c r="A37" s="16" t="s">
        <v>30</v>
      </c>
      <c r="B37" s="17">
        <f>F18</f>
        <v>252</v>
      </c>
      <c r="C37" s="18">
        <f>F53</f>
        <v>8419.466666666665</v>
      </c>
      <c r="D37" s="18">
        <f>E53</f>
        <v>2121705.6</v>
      </c>
      <c r="E37" s="19">
        <f>G53</f>
        <v>0.6154346295734904</v>
      </c>
      <c r="F37" s="18">
        <f aca="true" t="shared" si="0" ref="F37:F40">E37*D37</f>
        <v>1305771.1</v>
      </c>
      <c r="G37" s="65">
        <f aca="true" t="shared" si="1" ref="G37:G40">F37-D37</f>
        <v>-815934.5</v>
      </c>
      <c r="H37" s="3"/>
      <c r="I37" s="3"/>
      <c r="J37" s="3"/>
      <c r="K37" s="3"/>
      <c r="L37" s="3"/>
      <c r="M37" s="3"/>
    </row>
    <row r="38" spans="1:13" ht="12.75">
      <c r="A38" s="16" t="s">
        <v>31</v>
      </c>
      <c r="B38" s="17">
        <f aca="true" t="shared" si="2" ref="B38:B41">B37</f>
        <v>252</v>
      </c>
      <c r="C38" s="18">
        <f>F69</f>
        <v>10146.330952380951</v>
      </c>
      <c r="D38" s="18">
        <f>E69</f>
        <v>2556875.4</v>
      </c>
      <c r="E38" s="19">
        <f>G69</f>
        <v>0.6326835089422034</v>
      </c>
      <c r="F38" s="18">
        <f t="shared" si="0"/>
        <v>1617692.8999999997</v>
      </c>
      <c r="G38" s="65">
        <f t="shared" si="1"/>
        <v>-939182.5000000002</v>
      </c>
      <c r="H38" s="3"/>
      <c r="I38" s="3"/>
      <c r="J38" s="3"/>
      <c r="K38" s="3"/>
      <c r="L38" s="3"/>
      <c r="M38" s="3"/>
    </row>
    <row r="39" spans="1:13" ht="12.75">
      <c r="A39" s="16" t="s">
        <v>32</v>
      </c>
      <c r="B39" s="17">
        <f t="shared" si="2"/>
        <v>252</v>
      </c>
      <c r="C39" s="18">
        <f>C78</f>
        <v>330.0992063492064</v>
      </c>
      <c r="D39" s="18">
        <f>B78</f>
        <v>83185</v>
      </c>
      <c r="E39" s="19">
        <f>D78</f>
        <v>0.71178698082587</v>
      </c>
      <c r="F39" s="18">
        <f t="shared" si="0"/>
        <v>59209.99999999999</v>
      </c>
      <c r="G39" s="65">
        <f t="shared" si="1"/>
        <v>-23975.000000000007</v>
      </c>
      <c r="H39" s="3"/>
      <c r="I39" s="3"/>
      <c r="J39" s="3"/>
      <c r="K39" s="3"/>
      <c r="L39" s="3"/>
      <c r="M39" s="3"/>
    </row>
    <row r="40" spans="1:13" ht="12.75">
      <c r="A40" s="16" t="s">
        <v>33</v>
      </c>
      <c r="B40" s="17">
        <f t="shared" si="2"/>
        <v>252</v>
      </c>
      <c r="C40" s="18">
        <f>F88</f>
        <v>0</v>
      </c>
      <c r="D40" s="18">
        <f>E88</f>
        <v>0</v>
      </c>
      <c r="E40" s="19">
        <v>0</v>
      </c>
      <c r="F40" s="18">
        <f t="shared" si="0"/>
        <v>0</v>
      </c>
      <c r="G40" s="65">
        <f t="shared" si="1"/>
        <v>0</v>
      </c>
      <c r="H40" s="3"/>
      <c r="I40" s="3"/>
      <c r="J40" s="3"/>
      <c r="K40" s="3"/>
      <c r="L40" s="3"/>
      <c r="M40" s="3"/>
    </row>
    <row r="41" spans="1:13" ht="12.75">
      <c r="A41" s="16" t="s">
        <v>34</v>
      </c>
      <c r="B41" s="17">
        <f t="shared" si="2"/>
        <v>252</v>
      </c>
      <c r="C41" s="18">
        <v>0</v>
      </c>
      <c r="D41" s="18">
        <v>0</v>
      </c>
      <c r="E41" s="19">
        <v>1</v>
      </c>
      <c r="F41" s="18">
        <f>D136</f>
        <v>1123928</v>
      </c>
      <c r="G41" s="65"/>
      <c r="H41" s="3"/>
      <c r="I41" s="3"/>
      <c r="J41" s="3"/>
      <c r="K41" s="3"/>
      <c r="L41" s="3"/>
      <c r="M41" s="3"/>
    </row>
    <row r="42" spans="1:13" ht="12.75">
      <c r="A42" s="20" t="s">
        <v>35</v>
      </c>
      <c r="B42" s="21"/>
      <c r="C42" s="22">
        <f>D42/B40</f>
        <v>18895.896825396827</v>
      </c>
      <c r="D42" s="22">
        <f>SUM(D37:D40)</f>
        <v>4761766</v>
      </c>
      <c r="E42" s="23">
        <f>F42/D42</f>
        <v>0.8624115506725866</v>
      </c>
      <c r="F42" s="18">
        <f>F37+F38+F39+F40+F41</f>
        <v>4106602</v>
      </c>
      <c r="G42" s="81">
        <f>F42+E95</f>
        <v>6087656</v>
      </c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>
      <c r="A44" s="25" t="s">
        <v>171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 t="s">
        <v>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63.75">
      <c r="A48" s="15" t="s">
        <v>38</v>
      </c>
      <c r="B48" s="15" t="s">
        <v>39</v>
      </c>
      <c r="C48" s="15" t="s">
        <v>40</v>
      </c>
      <c r="D48" s="15" t="s">
        <v>41</v>
      </c>
      <c r="E48" s="15" t="s">
        <v>42</v>
      </c>
      <c r="F48" s="15" t="s">
        <v>26</v>
      </c>
      <c r="G48" s="15" t="s">
        <v>28</v>
      </c>
      <c r="H48" s="3"/>
      <c r="I48" s="3"/>
      <c r="J48" s="3"/>
      <c r="K48" s="3"/>
      <c r="L48" s="3"/>
      <c r="M48" s="3"/>
    </row>
    <row r="49" spans="1:13" ht="25.5">
      <c r="A49" s="26" t="s">
        <v>43</v>
      </c>
      <c r="B49" s="27" t="s">
        <v>44</v>
      </c>
      <c r="C49" s="19">
        <f>487.17/2</f>
        <v>243.585</v>
      </c>
      <c r="D49" s="19">
        <f>E49/C49</f>
        <v>4121.633105486791</v>
      </c>
      <c r="E49" s="19">
        <f>2007936/2</f>
        <v>1003968</v>
      </c>
      <c r="F49" s="19">
        <f aca="true" t="shared" si="3" ref="F49:F52">E49/$B$40</f>
        <v>3984</v>
      </c>
      <c r="G49" s="19">
        <f>(978851/2/E49)</f>
        <v>0.48749113517562315</v>
      </c>
      <c r="H49" s="3"/>
      <c r="I49" s="3"/>
      <c r="J49" s="3"/>
      <c r="K49" s="3"/>
      <c r="L49" s="3"/>
      <c r="M49" s="3"/>
    </row>
    <row r="50" spans="1:13" ht="25.5">
      <c r="A50" s="26" t="s">
        <v>45</v>
      </c>
      <c r="B50" s="27" t="s">
        <v>46</v>
      </c>
      <c r="C50" s="19">
        <v>0</v>
      </c>
      <c r="D50" s="19">
        <v>0</v>
      </c>
      <c r="E50" s="19">
        <v>0</v>
      </c>
      <c r="F50" s="19">
        <f t="shared" si="3"/>
        <v>0</v>
      </c>
      <c r="G50" s="19">
        <v>0</v>
      </c>
      <c r="H50" s="3"/>
      <c r="I50" s="3"/>
      <c r="J50" s="3"/>
      <c r="K50" s="3"/>
      <c r="L50" s="3"/>
      <c r="M50" s="3"/>
    </row>
    <row r="51" spans="1:13" ht="25.5">
      <c r="A51" s="26" t="s">
        <v>47</v>
      </c>
      <c r="B51" s="27" t="s">
        <v>48</v>
      </c>
      <c r="C51" s="19">
        <f>71380*90%</f>
        <v>64242</v>
      </c>
      <c r="D51" s="19">
        <f aca="true" t="shared" si="4" ref="D51:D52">E51/C51</f>
        <v>11.143513589240683</v>
      </c>
      <c r="E51" s="19">
        <f>795424*90%</f>
        <v>715881.6</v>
      </c>
      <c r="F51" s="19">
        <f t="shared" si="3"/>
        <v>2840.7999999999997</v>
      </c>
      <c r="G51" s="19">
        <f>(795424*90%/E51)</f>
        <v>1</v>
      </c>
      <c r="H51" s="3"/>
      <c r="I51" s="3"/>
      <c r="J51" s="3"/>
      <c r="K51" s="3"/>
      <c r="L51" s="3"/>
      <c r="M51" s="3"/>
    </row>
    <row r="52" spans="1:13" ht="25.5">
      <c r="A52" s="26" t="s">
        <v>49</v>
      </c>
      <c r="B52" s="27" t="s">
        <v>46</v>
      </c>
      <c r="C52" s="19">
        <f>4360+3680</f>
        <v>8040</v>
      </c>
      <c r="D52" s="19">
        <f t="shared" si="4"/>
        <v>49.982089552238804</v>
      </c>
      <c r="E52" s="19">
        <v>401856</v>
      </c>
      <c r="F52" s="19">
        <f t="shared" si="3"/>
        <v>1594.6666666666667</v>
      </c>
      <c r="G52" s="19">
        <f>(100464/E52)</f>
        <v>0.25</v>
      </c>
      <c r="H52" s="3"/>
      <c r="I52" s="3"/>
      <c r="J52" s="3"/>
      <c r="K52" s="3"/>
      <c r="L52" s="3"/>
      <c r="M52" s="3"/>
    </row>
    <row r="53" spans="1:13" ht="20.25" customHeight="1">
      <c r="A53" s="28" t="s">
        <v>50</v>
      </c>
      <c r="B53" s="29"/>
      <c r="C53" s="23"/>
      <c r="D53" s="23"/>
      <c r="E53" s="23">
        <f>E49+E50+E51+E52</f>
        <v>2121705.6</v>
      </c>
      <c r="F53" s="23">
        <f>F49+F50+F51+F52</f>
        <v>8419.466666666665</v>
      </c>
      <c r="G53" s="23">
        <f>(978851/2+795424*90%+100464)/E53</f>
        <v>0.6154346295734904</v>
      </c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5.5" customHeight="1">
      <c r="A55" s="25" t="s">
        <v>172</v>
      </c>
      <c r="B55" s="25"/>
      <c r="C55" s="25"/>
      <c r="D55" s="25"/>
      <c r="E55" s="25"/>
      <c r="F55" s="25"/>
      <c r="G55" s="25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63.75">
      <c r="A59" s="15" t="s">
        <v>38</v>
      </c>
      <c r="B59" s="15" t="s">
        <v>39</v>
      </c>
      <c r="C59" s="15" t="s">
        <v>53</v>
      </c>
      <c r="D59" s="15" t="s">
        <v>54</v>
      </c>
      <c r="E59" s="15" t="s">
        <v>42</v>
      </c>
      <c r="F59" s="15" t="s">
        <v>26</v>
      </c>
      <c r="G59" s="15" t="s">
        <v>28</v>
      </c>
      <c r="H59" s="3"/>
      <c r="I59" s="3"/>
      <c r="J59" s="3"/>
      <c r="K59" s="3"/>
      <c r="L59" s="3"/>
      <c r="M59" s="3"/>
    </row>
    <row r="60" spans="1:13" ht="45.75" customHeight="1">
      <c r="A60" s="26" t="s">
        <v>55</v>
      </c>
      <c r="B60" s="31"/>
      <c r="C60" s="19"/>
      <c r="D60" s="19"/>
      <c r="E60" s="19">
        <v>183342</v>
      </c>
      <c r="F60" s="19">
        <f aca="true" t="shared" si="5" ref="F60:F68">E60/$B$40</f>
        <v>727.547619047619</v>
      </c>
      <c r="G60" s="19">
        <f>(130501/E60)</f>
        <v>0.711789988109653</v>
      </c>
      <c r="H60" s="3"/>
      <c r="I60" s="3"/>
      <c r="J60" s="3"/>
      <c r="K60" s="3"/>
      <c r="L60" s="3"/>
      <c r="M60" s="3"/>
    </row>
    <row r="61" spans="1:13" ht="25.5">
      <c r="A61" s="26" t="s">
        <v>56</v>
      </c>
      <c r="B61" s="31" t="s">
        <v>57</v>
      </c>
      <c r="C61" s="19">
        <v>1</v>
      </c>
      <c r="D61" s="19">
        <f>E61/C61</f>
        <v>26003</v>
      </c>
      <c r="E61" s="19">
        <v>26003</v>
      </c>
      <c r="F61" s="19">
        <f t="shared" si="5"/>
        <v>103.18650793650794</v>
      </c>
      <c r="G61" s="19">
        <f>(18509/E61)</f>
        <v>0.7118024843287313</v>
      </c>
      <c r="H61" s="3"/>
      <c r="I61" s="3"/>
      <c r="J61" s="3"/>
      <c r="K61" s="3"/>
      <c r="L61" s="3"/>
      <c r="M61" s="3"/>
    </row>
    <row r="62" spans="1:13" ht="18" customHeight="1">
      <c r="A62" s="26" t="s">
        <v>58</v>
      </c>
      <c r="B62" s="31"/>
      <c r="C62" s="19"/>
      <c r="D62" s="19"/>
      <c r="E62" s="19">
        <v>0</v>
      </c>
      <c r="F62" s="19">
        <f t="shared" si="5"/>
        <v>0</v>
      </c>
      <c r="G62" s="19" t="e">
        <f>(0/E62)</f>
        <v>#DIV/0!</v>
      </c>
      <c r="H62" s="3"/>
      <c r="I62" s="3"/>
      <c r="J62" s="3"/>
      <c r="K62" s="3"/>
      <c r="L62" s="3"/>
      <c r="M62" s="3"/>
    </row>
    <row r="63" spans="1:13" ht="18" customHeight="1">
      <c r="A63" s="26" t="s">
        <v>59</v>
      </c>
      <c r="B63" s="31"/>
      <c r="C63" s="19"/>
      <c r="D63" s="19"/>
      <c r="E63" s="19">
        <v>809640</v>
      </c>
      <c r="F63" s="19">
        <f t="shared" si="5"/>
        <v>3212.8571428571427</v>
      </c>
      <c r="G63" s="19">
        <f>(576292/E63)</f>
        <v>0.7117879551405563</v>
      </c>
      <c r="H63" s="3"/>
      <c r="I63" s="3"/>
      <c r="J63" s="3"/>
      <c r="K63" s="3"/>
      <c r="L63" s="3"/>
      <c r="M63" s="3"/>
    </row>
    <row r="64" spans="1:13" ht="25.5">
      <c r="A64" s="26" t="s">
        <v>43</v>
      </c>
      <c r="B64" s="27" t="s">
        <v>44</v>
      </c>
      <c r="C64" s="19">
        <f>487.17/2</f>
        <v>243.585</v>
      </c>
      <c r="D64" s="19">
        <f>E64/C64</f>
        <v>4121.633105486791</v>
      </c>
      <c r="E64" s="19">
        <f>2007936/2</f>
        <v>1003968</v>
      </c>
      <c r="F64" s="19">
        <f t="shared" si="5"/>
        <v>3984</v>
      </c>
      <c r="G64" s="19">
        <f>(978851/2/E64)</f>
        <v>0.48749113517562315</v>
      </c>
      <c r="H64" s="3"/>
      <c r="I64" s="3"/>
      <c r="J64" s="3"/>
      <c r="K64" s="3"/>
      <c r="L64" s="3"/>
      <c r="M64" s="3"/>
    </row>
    <row r="65" spans="1:13" ht="25.5">
      <c r="A65" s="26" t="s">
        <v>45</v>
      </c>
      <c r="B65" s="27" t="s">
        <v>46</v>
      </c>
      <c r="C65" s="19">
        <v>0</v>
      </c>
      <c r="D65" s="19">
        <v>0</v>
      </c>
      <c r="E65" s="19">
        <v>0</v>
      </c>
      <c r="F65" s="19">
        <f t="shared" si="5"/>
        <v>0</v>
      </c>
      <c r="G65" s="19">
        <v>0</v>
      </c>
      <c r="H65" s="3"/>
      <c r="I65" s="3"/>
      <c r="J65" s="3"/>
      <c r="K65" s="3"/>
      <c r="L65" s="3"/>
      <c r="M65" s="3"/>
    </row>
    <row r="66" spans="1:13" ht="25.5">
      <c r="A66" s="26" t="s">
        <v>47</v>
      </c>
      <c r="B66" s="27" t="s">
        <v>48</v>
      </c>
      <c r="C66" s="19">
        <f>71380*10%</f>
        <v>7138</v>
      </c>
      <c r="D66" s="19">
        <f>E66/C66</f>
        <v>11.143513589240685</v>
      </c>
      <c r="E66" s="19">
        <f>795424*10%</f>
        <v>79542.40000000001</v>
      </c>
      <c r="F66" s="19">
        <f t="shared" si="5"/>
        <v>315.6444444444445</v>
      </c>
      <c r="G66" s="19">
        <f>(795424*10%/E66)</f>
        <v>1</v>
      </c>
      <c r="H66" s="3"/>
      <c r="I66" s="3"/>
      <c r="J66" s="3"/>
      <c r="K66" s="3"/>
      <c r="L66" s="3"/>
      <c r="M66" s="3"/>
    </row>
    <row r="67" spans="1:13" ht="25.5" customHeight="1">
      <c r="A67" s="26" t="s">
        <v>60</v>
      </c>
      <c r="B67" s="31"/>
      <c r="C67" s="19"/>
      <c r="D67" s="19"/>
      <c r="E67" s="19">
        <v>152424</v>
      </c>
      <c r="F67" s="19">
        <f t="shared" si="5"/>
        <v>604.8571428571429</v>
      </c>
      <c r="G67" s="19">
        <f>(108494/E67)</f>
        <v>0.7117907941006666</v>
      </c>
      <c r="H67" s="3"/>
      <c r="I67" s="3"/>
      <c r="J67" s="3"/>
      <c r="K67" s="3"/>
      <c r="L67" s="3"/>
      <c r="M67" s="3"/>
    </row>
    <row r="68" spans="1:13" ht="12.75">
      <c r="A68" s="26" t="s">
        <v>61</v>
      </c>
      <c r="B68" s="31"/>
      <c r="C68" s="19"/>
      <c r="D68" s="19"/>
      <c r="E68" s="19">
        <v>301956</v>
      </c>
      <c r="F68" s="19">
        <f t="shared" si="5"/>
        <v>1198.2380952380952</v>
      </c>
      <c r="G68" s="19">
        <f>(214929/E68)</f>
        <v>0.7117891348408377</v>
      </c>
      <c r="H68" s="3"/>
      <c r="I68" s="3"/>
      <c r="J68" s="3"/>
      <c r="K68" s="3"/>
      <c r="L68" s="3"/>
      <c r="M68" s="3"/>
    </row>
    <row r="69" spans="1:13" ht="24.75" customHeight="1">
      <c r="A69" s="28" t="s">
        <v>50</v>
      </c>
      <c r="B69" s="32"/>
      <c r="C69" s="23"/>
      <c r="D69" s="23"/>
      <c r="E69" s="23">
        <f>SUM(E60:E68)</f>
        <v>2556875.4</v>
      </c>
      <c r="F69" s="23">
        <f>SUM(F60:F68)</f>
        <v>10146.330952380951</v>
      </c>
      <c r="G69" s="23">
        <f>(130501+18509+576292+978851/2+795424*10%+214929+108494)/E69</f>
        <v>0.6326835089422034</v>
      </c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34.5" customHeight="1">
      <c r="A71" s="25" t="s">
        <v>116</v>
      </c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 t="s">
        <v>63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63.75">
      <c r="A75" s="15" t="s">
        <v>38</v>
      </c>
      <c r="B75" s="15" t="s">
        <v>42</v>
      </c>
      <c r="C75" s="15" t="s">
        <v>26</v>
      </c>
      <c r="D75" s="15" t="s">
        <v>28</v>
      </c>
      <c r="E75" s="33"/>
      <c r="F75" s="33"/>
      <c r="G75" s="33"/>
      <c r="H75" s="3"/>
      <c r="I75" s="3"/>
      <c r="J75" s="3"/>
      <c r="K75" s="3"/>
      <c r="L75" s="3"/>
      <c r="M75" s="3"/>
    </row>
    <row r="76" spans="1:13" ht="51">
      <c r="A76" s="26" t="s">
        <v>64</v>
      </c>
      <c r="B76" s="34">
        <v>4210</v>
      </c>
      <c r="C76" s="19">
        <f aca="true" t="shared" si="6" ref="C76:C77">B76/$B$40</f>
        <v>16.706349206349206</v>
      </c>
      <c r="D76" s="19">
        <f>(2997/B76)</f>
        <v>0.7118764845605701</v>
      </c>
      <c r="E76" s="35"/>
      <c r="F76" s="36"/>
      <c r="G76" s="36"/>
      <c r="H76" s="3"/>
      <c r="I76" s="3"/>
      <c r="J76" s="3"/>
      <c r="K76" s="3"/>
      <c r="L76" s="3"/>
      <c r="M76" s="3"/>
    </row>
    <row r="77" spans="1:13" ht="19.5" customHeight="1">
      <c r="A77" s="26" t="s">
        <v>65</v>
      </c>
      <c r="B77" s="34">
        <f>61520+17455</f>
        <v>78975</v>
      </c>
      <c r="C77" s="19">
        <f t="shared" si="6"/>
        <v>313.39285714285717</v>
      </c>
      <c r="D77" s="19">
        <f>(43789+12424)/B77</f>
        <v>0.7117822095599874</v>
      </c>
      <c r="E77" s="35"/>
      <c r="F77" s="36"/>
      <c r="G77" s="36"/>
      <c r="H77" s="3"/>
      <c r="I77" s="3"/>
      <c r="J77" s="3"/>
      <c r="K77" s="3"/>
      <c r="L77" s="3"/>
      <c r="M77" s="3"/>
    </row>
    <row r="78" spans="1:13" ht="27" customHeight="1">
      <c r="A78" s="28" t="s">
        <v>50</v>
      </c>
      <c r="B78" s="37">
        <f>SUM(B76:B77)</f>
        <v>83185</v>
      </c>
      <c r="C78" s="37">
        <f>SUM(C76:C77)</f>
        <v>330.0992063492064</v>
      </c>
      <c r="D78" s="37">
        <f>(43789+12424+2997)/B78</f>
        <v>0.71178698082587</v>
      </c>
      <c r="E78" s="38"/>
      <c r="F78" s="38"/>
      <c r="G78" s="38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9.25" customHeight="1">
      <c r="A80" s="25" t="s">
        <v>129</v>
      </c>
      <c r="B80" s="25"/>
      <c r="C80" s="25"/>
      <c r="D80" s="25"/>
      <c r="E80" s="25"/>
      <c r="F80" s="25"/>
      <c r="G80" s="25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hidden="1">
      <c r="A82" s="3" t="s">
        <v>67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63.75" hidden="1">
      <c r="A84" s="39" t="s">
        <v>68</v>
      </c>
      <c r="B84" s="10" t="s">
        <v>69</v>
      </c>
      <c r="C84" s="15" t="s">
        <v>54</v>
      </c>
      <c r="D84" s="10" t="s">
        <v>70</v>
      </c>
      <c r="E84" s="40" t="s">
        <v>71</v>
      </c>
      <c r="F84" s="15" t="s">
        <v>26</v>
      </c>
      <c r="G84" s="15" t="s">
        <v>28</v>
      </c>
      <c r="H84" s="3"/>
      <c r="I84" s="3"/>
      <c r="J84" s="3"/>
      <c r="K84" s="3"/>
      <c r="L84" s="3"/>
      <c r="M84" s="3"/>
    </row>
    <row r="85" spans="1:13" ht="12.75" hidden="1">
      <c r="A85" s="41" t="s">
        <v>72</v>
      </c>
      <c r="B85" s="42">
        <v>2</v>
      </c>
      <c r="C85" s="43">
        <f aca="true" t="shared" si="7" ref="C85:C86">E85/D85/B85</f>
        <v>0</v>
      </c>
      <c r="D85" s="44">
        <v>12</v>
      </c>
      <c r="E85" s="45">
        <v>0</v>
      </c>
      <c r="F85" s="19">
        <f aca="true" t="shared" si="8" ref="F85:F88">E85/$B$40</f>
        <v>0</v>
      </c>
      <c r="G85" s="19" t="e">
        <f>(0/E85)*2</f>
        <v>#DIV/0!</v>
      </c>
      <c r="H85" s="3"/>
      <c r="I85" s="3"/>
      <c r="J85" s="3"/>
      <c r="K85" s="3"/>
      <c r="L85" s="3"/>
      <c r="M85" s="3"/>
    </row>
    <row r="86" spans="1:13" ht="12.75" hidden="1">
      <c r="A86" s="41" t="s">
        <v>73</v>
      </c>
      <c r="B86" s="40">
        <v>2</v>
      </c>
      <c r="C86" s="43">
        <f t="shared" si="7"/>
        <v>0</v>
      </c>
      <c r="D86" s="44">
        <v>12</v>
      </c>
      <c r="E86" s="45">
        <v>0</v>
      </c>
      <c r="F86" s="19">
        <f t="shared" si="8"/>
        <v>0</v>
      </c>
      <c r="G86" s="19" t="e">
        <f aca="true" t="shared" si="9" ref="G86:G87">(0/E86)</f>
        <v>#DIV/0!</v>
      </c>
      <c r="H86" s="3"/>
      <c r="I86" s="3"/>
      <c r="J86" s="3"/>
      <c r="K86" s="3"/>
      <c r="L86" s="3"/>
      <c r="M86" s="3"/>
    </row>
    <row r="87" spans="1:13" ht="12.75" hidden="1">
      <c r="A87" s="41" t="s">
        <v>74</v>
      </c>
      <c r="B87" s="42"/>
      <c r="C87" s="42"/>
      <c r="D87" s="44"/>
      <c r="E87" s="45">
        <v>0</v>
      </c>
      <c r="F87" s="19">
        <f t="shared" si="8"/>
        <v>0</v>
      </c>
      <c r="G87" s="19" t="e">
        <f t="shared" si="9"/>
        <v>#DIV/0!</v>
      </c>
      <c r="H87" s="3"/>
      <c r="I87" s="3"/>
      <c r="J87" s="3"/>
      <c r="K87" s="3"/>
      <c r="L87" s="3"/>
      <c r="M87" s="3"/>
    </row>
    <row r="88" spans="1:13" ht="12.75" hidden="1">
      <c r="A88" s="47" t="s">
        <v>75</v>
      </c>
      <c r="B88" s="48"/>
      <c r="C88" s="48"/>
      <c r="D88" s="48"/>
      <c r="E88" s="49">
        <f>E85+E86+E87</f>
        <v>0</v>
      </c>
      <c r="F88" s="23">
        <f t="shared" si="8"/>
        <v>0</v>
      </c>
      <c r="G88" s="23" t="e">
        <f>0/E88</f>
        <v>#DIV/0!</v>
      </c>
      <c r="H88" s="3"/>
      <c r="I88" s="3"/>
      <c r="J88" s="3"/>
      <c r="K88" s="3"/>
      <c r="L88" s="3"/>
      <c r="M88" s="3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4.75" customHeight="1" hidden="1">
      <c r="A90" s="25" t="s">
        <v>173</v>
      </c>
      <c r="B90" s="25"/>
      <c r="C90" s="25"/>
      <c r="D90" s="25"/>
      <c r="E90" s="25"/>
      <c r="F90" s="25"/>
      <c r="G90" s="25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45" customHeight="1">
      <c r="A92" s="13" t="s">
        <v>77</v>
      </c>
      <c r="B92" s="13"/>
      <c r="C92" s="13"/>
      <c r="D92" s="13"/>
      <c r="E92" s="13"/>
      <c r="F92" s="13"/>
      <c r="G92" s="13"/>
      <c r="H92" s="14"/>
      <c r="I92" s="14"/>
      <c r="J92" s="14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63.75">
      <c r="A94" s="15" t="s">
        <v>38</v>
      </c>
      <c r="B94" s="40" t="s">
        <v>71</v>
      </c>
      <c r="C94" s="15" t="s">
        <v>26</v>
      </c>
      <c r="D94" s="15" t="s">
        <v>28</v>
      </c>
      <c r="E94" s="50" t="s">
        <v>78</v>
      </c>
      <c r="F94" s="3"/>
      <c r="G94" s="3"/>
      <c r="H94" s="3"/>
      <c r="I94" s="3"/>
      <c r="J94" s="3"/>
      <c r="K94" s="3"/>
      <c r="L94" s="3"/>
      <c r="M94" s="3"/>
    </row>
    <row r="95" spans="1:13" ht="12.75">
      <c r="A95" s="51" t="s">
        <v>80</v>
      </c>
      <c r="B95" s="37">
        <v>2783209</v>
      </c>
      <c r="C95" s="23">
        <f>B95/$B$40</f>
        <v>11044.480158730159</v>
      </c>
      <c r="D95" s="23">
        <f>1981054/B95</f>
        <v>0.7117877241701934</v>
      </c>
      <c r="E95" s="18">
        <f>B95*D95</f>
        <v>1981053.9999999998</v>
      </c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34.5" customHeight="1">
      <c r="A97" s="25" t="s">
        <v>81</v>
      </c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48.75" customHeight="1">
      <c r="A99" s="52" t="s">
        <v>174</v>
      </c>
      <c r="B99" s="52"/>
      <c r="C99" s="52"/>
      <c r="D99" s="52"/>
      <c r="E99" s="52"/>
      <c r="F99" s="52"/>
      <c r="G99" s="52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 t="s">
        <v>83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 t="s">
        <v>84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 t="s">
        <v>85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7.25" customHeight="1">
      <c r="A107" s="4" t="s">
        <v>86</v>
      </c>
      <c r="B107" s="4"/>
      <c r="C107" s="4"/>
      <c r="D107" s="4"/>
      <c r="E107" s="4"/>
      <c r="F107" s="4"/>
      <c r="G107" s="4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 customHeight="1">
      <c r="A111" s="4" t="s">
        <v>88</v>
      </c>
      <c r="B111" s="4"/>
      <c r="C111" s="4"/>
      <c r="D111" s="4"/>
      <c r="E111" s="4"/>
      <c r="F111" s="4"/>
      <c r="G111" s="4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 t="s">
        <v>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14.75">
      <c r="A115" s="15" t="s">
        <v>89</v>
      </c>
      <c r="B115" s="15" t="s">
        <v>90</v>
      </c>
      <c r="C115" s="40" t="s">
        <v>91</v>
      </c>
      <c r="D115" s="15" t="s">
        <v>92</v>
      </c>
      <c r="E115" s="15" t="s">
        <v>93</v>
      </c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7">
        <f>C42</f>
        <v>18895.896825396827</v>
      </c>
      <c r="B116" s="37">
        <f>E42</f>
        <v>0.8624115506725866</v>
      </c>
      <c r="C116" s="23">
        <f>C95</f>
        <v>11044.480158730159</v>
      </c>
      <c r="D116" s="23">
        <f>D95</f>
        <v>0.7117877241701934</v>
      </c>
      <c r="E116" s="37">
        <f>(A116*B116+C116*D116)*F18</f>
        <v>6087656.000000001</v>
      </c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05" customHeight="1">
      <c r="A118" s="13" t="s">
        <v>175</v>
      </c>
      <c r="B118" s="13"/>
      <c r="C118" s="13"/>
      <c r="D118" s="13"/>
      <c r="E118" s="13"/>
      <c r="F118" s="13"/>
      <c r="G118" s="1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 t="s">
        <v>95</v>
      </c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 t="s">
        <v>96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 t="s">
        <v>97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 t="s">
        <v>98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 t="s">
        <v>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0.25">
      <c r="A129" s="70" t="s">
        <v>100</v>
      </c>
      <c r="B129" s="9" t="s">
        <v>101</v>
      </c>
      <c r="C129" s="70" t="s">
        <v>102</v>
      </c>
      <c r="D129" s="70" t="s">
        <v>103</v>
      </c>
      <c r="E129" s="53"/>
      <c r="F129" s="53"/>
      <c r="G129" s="53"/>
      <c r="H129" s="3"/>
      <c r="I129" s="3"/>
      <c r="J129" s="3"/>
      <c r="K129" s="3"/>
      <c r="L129" s="3"/>
      <c r="M129" s="3"/>
    </row>
    <row r="130" spans="1:13" ht="12.75">
      <c r="A130" s="54">
        <f>14944010+45568+210702+203021+40090+1</f>
        <v>15443392</v>
      </c>
      <c r="B130" s="54">
        <f>1836000+554472</f>
        <v>2390472</v>
      </c>
      <c r="C130" s="55">
        <f>1188000+358776</f>
        <v>1546776</v>
      </c>
      <c r="D130" s="56">
        <f>A130+B130+C130</f>
        <v>19380640</v>
      </c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72"/>
      <c r="B131" s="72"/>
      <c r="C131" s="72"/>
      <c r="D131" s="72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77" t="s">
        <v>107</v>
      </c>
      <c r="B132" s="78"/>
      <c r="C132" s="78"/>
      <c r="D132" s="78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78"/>
      <c r="B133" s="78"/>
      <c r="C133" s="78"/>
      <c r="D133" s="78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9" t="s">
        <v>109</v>
      </c>
      <c r="B134" s="79">
        <v>0</v>
      </c>
      <c r="C134" s="79"/>
      <c r="D134" s="18">
        <v>863232</v>
      </c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9" t="s">
        <v>110</v>
      </c>
      <c r="B135" s="79">
        <v>0</v>
      </c>
      <c r="C135" s="79"/>
      <c r="D135" s="18">
        <v>260696</v>
      </c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80" t="s">
        <v>50</v>
      </c>
      <c r="B136" s="80">
        <f>B134+B135</f>
        <v>0</v>
      </c>
      <c r="C136" s="80"/>
      <c r="D136" s="22">
        <f>D134+D135</f>
        <v>1123928</v>
      </c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</sheetData>
  <sheetProtection selectLockedCells="1" selectUnlockedCells="1"/>
  <mergeCells count="19">
    <mergeCell ref="A2:G2"/>
    <mergeCell ref="A4:G4"/>
    <mergeCell ref="A5:A6"/>
    <mergeCell ref="B5:C5"/>
    <mergeCell ref="D5:D6"/>
    <mergeCell ref="B6:C6"/>
    <mergeCell ref="A11:G11"/>
    <mergeCell ref="A20:G20"/>
    <mergeCell ref="A44:G44"/>
    <mergeCell ref="A55:G55"/>
    <mergeCell ref="A71:G71"/>
    <mergeCell ref="A80:G80"/>
    <mergeCell ref="A90:G90"/>
    <mergeCell ref="A92:G92"/>
    <mergeCell ref="A97:G97"/>
    <mergeCell ref="A99:G99"/>
    <mergeCell ref="A107:G107"/>
    <mergeCell ref="A111:G111"/>
    <mergeCell ref="A118:G118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/>
  <cp:lastPrinted>2019-12-27T06:03:40Z</cp:lastPrinted>
  <dcterms:created xsi:type="dcterms:W3CDTF">2015-12-01T11:24:22Z</dcterms:created>
  <dcterms:modified xsi:type="dcterms:W3CDTF">2021-09-30T07:48:21Z</dcterms:modified>
  <cp:category/>
  <cp:version/>
  <cp:contentType/>
  <cp:contentStatus/>
  <cp:revision>1</cp:revision>
</cp:coreProperties>
</file>