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5" sheetId="1" r:id="rId1"/>
    <sheet name="8" sheetId="2" r:id="rId2"/>
    <sheet name="9" sheetId="3" r:id="rId3"/>
    <sheet name="10" sheetId="4" r:id="rId4"/>
    <sheet name="13" sheetId="5" r:id="rId5"/>
    <sheet name="15" sheetId="6" r:id="rId6"/>
    <sheet name="16" sheetId="7" r:id="rId7"/>
    <sheet name="20" sheetId="8" r:id="rId8"/>
    <sheet name="22" sheetId="9" r:id="rId9"/>
    <sheet name="23" sheetId="10" r:id="rId10"/>
    <sheet name="24" sheetId="11" r:id="rId11"/>
    <sheet name="25" sheetId="12" r:id="rId12"/>
    <sheet name="26" sheetId="13" r:id="rId13"/>
    <sheet name="27" sheetId="14" r:id="rId14"/>
    <sheet name="28" sheetId="15" r:id="rId15"/>
    <sheet name="29" sheetId="16" r:id="rId16"/>
    <sheet name="31" sheetId="17" r:id="rId17"/>
    <sheet name="32" sheetId="18" r:id="rId18"/>
    <sheet name="33" sheetId="19" r:id="rId19"/>
    <sheet name="34" sheetId="20" r:id="rId20"/>
    <sheet name="36" sheetId="21" r:id="rId21"/>
    <sheet name="37" sheetId="22" r:id="rId22"/>
    <sheet name="39" sheetId="23" r:id="rId23"/>
    <sheet name="40" sheetId="24" r:id="rId24"/>
    <sheet name="41" sheetId="25" r:id="rId25"/>
    <sheet name="42" sheetId="26" r:id="rId26"/>
    <sheet name="43" sheetId="27" r:id="rId27"/>
    <sheet name="44" sheetId="28" r:id="rId28"/>
  </sheets>
  <externalReferences>
    <externalReference r:id="rId31"/>
  </externalReferences>
  <definedNames>
    <definedName name="asd1">'[1]Оборотная ведомость ТМЦ'!#REF!</definedName>
    <definedName name="none">'[1]Оборотная ведомость ТМЦ'!#REF!</definedName>
    <definedName name="Валюта">'[1]Оборотная ведомость ТМЦ'!#REF!</definedName>
    <definedName name="Всего">'[1]Оборотная ведомость ТМЦ'!#REF!</definedName>
    <definedName name="ДатаЭкспл">'[1]Оборотная ведомость ТМЦ'!#REF!</definedName>
    <definedName name="Износ">'[1]Оборотная ведомость ТМЦ'!#REF!</definedName>
    <definedName name="ИтогКолНачало">'[1]Оборотная ведомость ТМЦ'!#REF!</definedName>
    <definedName name="ИтогОборотДебет">'[1]Оборотная ведомость ТМЦ'!#REF!</definedName>
    <definedName name="ИтогОборотКредит">'[1]Оборотная ведомость ТМЦ'!#REF!</definedName>
    <definedName name="ИтогоИзнос">'[1]Оборотная ведомость ТМЦ'!#REF!</definedName>
    <definedName name="ИтогоПо">'[1]Оборотная ведомость ТМЦ'!#REF!</definedName>
    <definedName name="ИтогОстатокКонец">'[1]Оборотная ведомость ТМЦ'!#REF!</definedName>
    <definedName name="ИтогОстатокНачало">'[1]Оборотная ведомость ТМЦ'!#REF!</definedName>
    <definedName name="ИтогОстСт">'[1]Оборотная ведомость ТМЦ'!#REF!</definedName>
    <definedName name="КолДебет">'[1]Оборотная ведомость ТМЦ'!#REF!</definedName>
    <definedName name="КолКонец">'[1]Оборотная ведомость ТМЦ'!#REF!</definedName>
    <definedName name="КолКредит">'[1]Оборотная ведомость ТМЦ'!#REF!</definedName>
    <definedName name="КолНачало">'[1]Оборотная ведомость ТМЦ'!#REF!</definedName>
    <definedName name="Номенклатура">'[1]Оборотная ведомость ТМЦ'!#REF!</definedName>
    <definedName name="Номер1">'[1]Оборотная ведомость ТМЦ'!#REF!</definedName>
    <definedName name="ОборотДебет">'[1]Оборотная ведомость ТМЦ'!#REF!</definedName>
    <definedName name="ОборотКредит">'[1]Оборотная ведомость ТМЦ'!#REF!</definedName>
    <definedName name="ОстатокКонец">'[1]Оборотная ведомость ТМЦ'!#REF!</definedName>
    <definedName name="ОстатокНачало">'[1]Оборотная ведомость ТМЦ'!#REF!</definedName>
    <definedName name="ОстатСтоим">'[1]Оборотная ведомость ТМЦ'!#REF!</definedName>
    <definedName name="ПартияДата">'[1]Оборотная ведомость ТМЦ'!#REF!</definedName>
    <definedName name="СчетМол">'[1]Оборотная ведомость ТМЦ'!#REF!</definedName>
    <definedName name="asd1" localSheetId="0">'[1]Оборотная ведомость ТМЦ'!#REF!</definedName>
    <definedName name="none" localSheetId="0">'[1]Оборотная ведомость ТМЦ'!#REF!</definedName>
    <definedName name="Валюта" localSheetId="0">'[1]Оборотная ведомость ТМЦ'!#REF!</definedName>
    <definedName name="Всего" localSheetId="0">'[1]Оборотная ведомость ТМЦ'!#REF!</definedName>
    <definedName name="ДатаЭкспл" localSheetId="0">'[1]Оборотная ведомость ТМЦ'!#REF!</definedName>
    <definedName name="Износ" localSheetId="0">'[1]Оборотная ведомость ТМЦ'!#REF!</definedName>
    <definedName name="ИтогКолНачало" localSheetId="0">'[1]Оборотная ведомость ТМЦ'!#REF!</definedName>
    <definedName name="ИтогОборотДебет" localSheetId="0">'[1]Оборотная ведомость ТМЦ'!#REF!</definedName>
    <definedName name="ИтогОборотКредит" localSheetId="0">'[1]Оборотная ведомость ТМЦ'!#REF!</definedName>
    <definedName name="ИтогоИзнос" localSheetId="0">'[1]Оборотная ведомость ТМЦ'!#REF!</definedName>
    <definedName name="ИтогоПо" localSheetId="0">'[1]Оборотная ведомость ТМЦ'!#REF!</definedName>
    <definedName name="ИтогОстатокКонец" localSheetId="0">'[1]Оборотная ведомость ТМЦ'!#REF!</definedName>
    <definedName name="ИтогОстатокНачало" localSheetId="0">'[1]Оборотная ведомость ТМЦ'!#REF!</definedName>
    <definedName name="ИтогОстСт" localSheetId="0">'[1]Оборотная ведомость ТМЦ'!#REF!</definedName>
    <definedName name="КолДебет" localSheetId="0">'[1]Оборотная ведомость ТМЦ'!#REF!</definedName>
    <definedName name="КолКонец" localSheetId="0">'[1]Оборотная ведомость ТМЦ'!#REF!</definedName>
    <definedName name="КолКредит" localSheetId="0">'[1]Оборотная ведомость ТМЦ'!#REF!</definedName>
    <definedName name="КолНачало" localSheetId="0">'[1]Оборотная ведомость ТМЦ'!#REF!</definedName>
    <definedName name="Номенклатура" localSheetId="0">'[1]Оборотная ведомость ТМЦ'!#REF!</definedName>
    <definedName name="Номер1" localSheetId="0">'[1]Оборотная ведомость ТМЦ'!#REF!</definedName>
    <definedName name="ОборотДебет" localSheetId="0">'[1]Оборотная ведомость ТМЦ'!#REF!</definedName>
    <definedName name="ОборотКредит" localSheetId="0">'[1]Оборотная ведомость ТМЦ'!#REF!</definedName>
    <definedName name="ОстатокКонец" localSheetId="0">'[1]Оборотная ведомость ТМЦ'!#REF!</definedName>
    <definedName name="ОстатокНачало" localSheetId="0">'[1]Оборотная ведомость ТМЦ'!#REF!</definedName>
    <definedName name="ОстатСтоим" localSheetId="0">'[1]Оборотная ведомость ТМЦ'!#REF!</definedName>
    <definedName name="ПартияДата" localSheetId="0">'[1]Оборотная ведомость ТМЦ'!#REF!</definedName>
    <definedName name="СчетМол" localSheetId="0">'[1]Оборотная ведомость ТМЦ'!#REF!</definedName>
    <definedName name="asd1" localSheetId="1">'[1]Оборотная ведомость ТМЦ'!#REF!</definedName>
    <definedName name="none" localSheetId="1">'[1]Оборотная ведомость ТМЦ'!#REF!</definedName>
    <definedName name="Валюта" localSheetId="1">'[1]Оборотная ведомость ТМЦ'!#REF!</definedName>
    <definedName name="Всего" localSheetId="1">'[1]Оборотная ведомость ТМЦ'!#REF!</definedName>
    <definedName name="ДатаЭкспл" localSheetId="1">'[1]Оборотная ведомость ТМЦ'!#REF!</definedName>
    <definedName name="Износ" localSheetId="1">'[1]Оборотная ведомость ТМЦ'!#REF!</definedName>
    <definedName name="ИтогКолНачало" localSheetId="1">'[1]Оборотная ведомость ТМЦ'!#REF!</definedName>
    <definedName name="ИтогОборотДебет" localSheetId="1">'[1]Оборотная ведомость ТМЦ'!#REF!</definedName>
    <definedName name="ИтогОборотКредит" localSheetId="1">'[1]Оборотная ведомость ТМЦ'!#REF!</definedName>
    <definedName name="ИтогоИзнос" localSheetId="1">'[1]Оборотная ведомость ТМЦ'!#REF!</definedName>
    <definedName name="ИтогоПо" localSheetId="1">'[1]Оборотная ведомость ТМЦ'!#REF!</definedName>
    <definedName name="ИтогОстатокКонец" localSheetId="1">'[1]Оборотная ведомость ТМЦ'!#REF!</definedName>
    <definedName name="ИтогОстатокНачало" localSheetId="1">'[1]Оборотная ведомость ТМЦ'!#REF!</definedName>
    <definedName name="ИтогОстСт" localSheetId="1">'[1]Оборотная ведомость ТМЦ'!#REF!</definedName>
    <definedName name="КолДебет" localSheetId="1">'[1]Оборотная ведомость ТМЦ'!#REF!</definedName>
    <definedName name="КолКонец" localSheetId="1">'[1]Оборотная ведомость ТМЦ'!#REF!</definedName>
    <definedName name="КолКредит" localSheetId="1">'[1]Оборотная ведомость ТМЦ'!#REF!</definedName>
    <definedName name="КолНачало" localSheetId="1">'[1]Оборотная ведомость ТМЦ'!#REF!</definedName>
    <definedName name="Номенклатура" localSheetId="1">'[1]Оборотная ведомость ТМЦ'!#REF!</definedName>
    <definedName name="Номер1" localSheetId="1">'[1]Оборотная ведомость ТМЦ'!#REF!</definedName>
    <definedName name="ОборотДебет" localSheetId="1">'[1]Оборотная ведомость ТМЦ'!#REF!</definedName>
    <definedName name="ОборотКредит" localSheetId="1">'[1]Оборотная ведомость ТМЦ'!#REF!</definedName>
    <definedName name="ОстатокКонец" localSheetId="1">'[1]Оборотная ведомость ТМЦ'!#REF!</definedName>
    <definedName name="ОстатокНачало" localSheetId="1">'[1]Оборотная ведомость ТМЦ'!#REF!</definedName>
    <definedName name="ОстатСтоим" localSheetId="1">'[1]Оборотная ведомость ТМЦ'!#REF!</definedName>
    <definedName name="ПартияДата" localSheetId="1">'[1]Оборотная ведомость ТМЦ'!#REF!</definedName>
    <definedName name="СчетМол" localSheetId="1">'[1]Оборотная ведомость ТМЦ'!#REF!</definedName>
    <definedName name="asd1" localSheetId="2">'[1]Оборотная ведомость ТМЦ'!#REF!</definedName>
    <definedName name="none" localSheetId="2">'[1]Оборотная ведомость ТМЦ'!#REF!</definedName>
    <definedName name="Валюта" localSheetId="2">'[1]Оборотная ведомость ТМЦ'!#REF!</definedName>
    <definedName name="Всего" localSheetId="2">'[1]Оборотная ведомость ТМЦ'!#REF!</definedName>
    <definedName name="ДатаЭкспл" localSheetId="2">'[1]Оборотная ведомость ТМЦ'!#REF!</definedName>
    <definedName name="Износ" localSheetId="2">'[1]Оборотная ведомость ТМЦ'!#REF!</definedName>
    <definedName name="ИтогКолНачало" localSheetId="2">'[1]Оборотная ведомость ТМЦ'!#REF!</definedName>
    <definedName name="ИтогОборотДебет" localSheetId="2">'[1]Оборотная ведомость ТМЦ'!#REF!</definedName>
    <definedName name="ИтогОборотКредит" localSheetId="2">'[1]Оборотная ведомость ТМЦ'!#REF!</definedName>
    <definedName name="ИтогоИзнос" localSheetId="2">'[1]Оборотная ведомость ТМЦ'!#REF!</definedName>
    <definedName name="ИтогоПо" localSheetId="2">'[1]Оборотная ведомость ТМЦ'!#REF!</definedName>
    <definedName name="ИтогОстатокКонец" localSheetId="2">'[1]Оборотная ведомость ТМЦ'!#REF!</definedName>
    <definedName name="ИтогОстатокНачало" localSheetId="2">'[1]Оборотная ведомость ТМЦ'!#REF!</definedName>
    <definedName name="ИтогОстСт" localSheetId="2">'[1]Оборотная ведомость ТМЦ'!#REF!</definedName>
    <definedName name="КолДебет" localSheetId="2">'[1]Оборотная ведомость ТМЦ'!#REF!</definedName>
    <definedName name="КолКонец" localSheetId="2">'[1]Оборотная ведомость ТМЦ'!#REF!</definedName>
    <definedName name="КолКредит" localSheetId="2">'[1]Оборотная ведомость ТМЦ'!#REF!</definedName>
    <definedName name="КолНачало" localSheetId="2">'[1]Оборотная ведомость ТМЦ'!#REF!</definedName>
    <definedName name="Номенклатура" localSheetId="2">'[1]Оборотная ведомость ТМЦ'!#REF!</definedName>
    <definedName name="Номер1" localSheetId="2">'[1]Оборотная ведомость ТМЦ'!#REF!</definedName>
    <definedName name="ОборотДебет" localSheetId="2">'[1]Оборотная ведомость ТМЦ'!#REF!</definedName>
    <definedName name="ОборотКредит" localSheetId="2">'[1]Оборотная ведомость ТМЦ'!#REF!</definedName>
    <definedName name="ОстатокКонец" localSheetId="2">'[1]Оборотная ведомость ТМЦ'!#REF!</definedName>
    <definedName name="ОстатокНачало" localSheetId="2">'[1]Оборотная ведомость ТМЦ'!#REF!</definedName>
    <definedName name="ОстатСтоим" localSheetId="2">'[1]Оборотная ведомость ТМЦ'!#REF!</definedName>
    <definedName name="ПартияДата" localSheetId="2">'[1]Оборотная ведомость ТМЦ'!#REF!</definedName>
    <definedName name="СчетМол" localSheetId="2">'[1]Оборотная ведомость ТМЦ'!#REF!</definedName>
    <definedName name="asd1" localSheetId="3">'[1]Оборотная ведомость ТМЦ'!#REF!</definedName>
    <definedName name="none" localSheetId="3">'[1]Оборотная ведомость ТМЦ'!#REF!</definedName>
    <definedName name="Валюта" localSheetId="3">'[1]Оборотная ведомость ТМЦ'!#REF!</definedName>
    <definedName name="Всего" localSheetId="3">'[1]Оборотная ведомость ТМЦ'!#REF!</definedName>
    <definedName name="ДатаЭкспл" localSheetId="3">'[1]Оборотная ведомость ТМЦ'!#REF!</definedName>
    <definedName name="Износ" localSheetId="3">'[1]Оборотная ведомость ТМЦ'!#REF!</definedName>
    <definedName name="ИтогКолНачало" localSheetId="3">'[1]Оборотная ведомость ТМЦ'!#REF!</definedName>
    <definedName name="ИтогОборотДебет" localSheetId="3">'[1]Оборотная ведомость ТМЦ'!#REF!</definedName>
    <definedName name="ИтогОборотКредит" localSheetId="3">'[1]Оборотная ведомость ТМЦ'!#REF!</definedName>
    <definedName name="ИтогоИзнос" localSheetId="3">'[1]Оборотная ведомость ТМЦ'!#REF!</definedName>
    <definedName name="ИтогоПо" localSheetId="3">'[1]Оборотная ведомость ТМЦ'!#REF!</definedName>
    <definedName name="ИтогОстатокКонец" localSheetId="3">'[1]Оборотная ведомость ТМЦ'!#REF!</definedName>
    <definedName name="ИтогОстатокНачало" localSheetId="3">'[1]Оборотная ведомость ТМЦ'!#REF!</definedName>
    <definedName name="ИтогОстСт" localSheetId="3">'[1]Оборотная ведомость ТМЦ'!#REF!</definedName>
    <definedName name="КолДебет" localSheetId="3">'[1]Оборотная ведомость ТМЦ'!#REF!</definedName>
    <definedName name="КолКонец" localSheetId="3">'[1]Оборотная ведомость ТМЦ'!#REF!</definedName>
    <definedName name="КолКредит" localSheetId="3">'[1]Оборотная ведомость ТМЦ'!#REF!</definedName>
    <definedName name="КолНачало" localSheetId="3">'[1]Оборотная ведомость ТМЦ'!#REF!</definedName>
    <definedName name="Номенклатура" localSheetId="3">'[1]Оборотная ведомость ТМЦ'!#REF!</definedName>
    <definedName name="Номер1" localSheetId="3">'[1]Оборотная ведомость ТМЦ'!#REF!</definedName>
    <definedName name="ОборотДебет" localSheetId="3">'[1]Оборотная ведомость ТМЦ'!#REF!</definedName>
    <definedName name="ОборотКредит" localSheetId="3">'[1]Оборотная ведомость ТМЦ'!#REF!</definedName>
    <definedName name="ОстатокКонец" localSheetId="3">'[1]Оборотная ведомость ТМЦ'!#REF!</definedName>
    <definedName name="ОстатокНачало" localSheetId="3">'[1]Оборотная ведомость ТМЦ'!#REF!</definedName>
    <definedName name="ОстатСтоим" localSheetId="3">'[1]Оборотная ведомость ТМЦ'!#REF!</definedName>
    <definedName name="ПартияДата" localSheetId="3">'[1]Оборотная ведомость ТМЦ'!#REF!</definedName>
    <definedName name="СчетМол" localSheetId="3">'[1]Оборотная ведомость ТМЦ'!#REF!</definedName>
    <definedName name="asd1" localSheetId="4">'[1]Оборотная ведомость ТМЦ'!#REF!</definedName>
    <definedName name="none" localSheetId="4">'[1]Оборотная ведомость ТМЦ'!#REF!</definedName>
    <definedName name="Валюта" localSheetId="4">'[1]Оборотная ведомость ТМЦ'!#REF!</definedName>
    <definedName name="Всего" localSheetId="4">'[1]Оборотная ведомость ТМЦ'!#REF!</definedName>
    <definedName name="ДатаЭкспл" localSheetId="4">'[1]Оборотная ведомость ТМЦ'!#REF!</definedName>
    <definedName name="Износ" localSheetId="4">'[1]Оборотная ведомость ТМЦ'!#REF!</definedName>
    <definedName name="ИтогКолНачало" localSheetId="4">'[1]Оборотная ведомость ТМЦ'!#REF!</definedName>
    <definedName name="ИтогОборотДебет" localSheetId="4">'[1]Оборотная ведомость ТМЦ'!#REF!</definedName>
    <definedName name="ИтогОборотКредит" localSheetId="4">'[1]Оборотная ведомость ТМЦ'!#REF!</definedName>
    <definedName name="ИтогоИзнос" localSheetId="4">'[1]Оборотная ведомость ТМЦ'!#REF!</definedName>
    <definedName name="ИтогоПо" localSheetId="4">'[1]Оборотная ведомость ТМЦ'!#REF!</definedName>
    <definedName name="ИтогОстатокКонец" localSheetId="4">'[1]Оборотная ведомость ТМЦ'!#REF!</definedName>
    <definedName name="ИтогОстатокНачало" localSheetId="4">'[1]Оборотная ведомость ТМЦ'!#REF!</definedName>
    <definedName name="ИтогОстСт" localSheetId="4">'[1]Оборотная ведомость ТМЦ'!#REF!</definedName>
    <definedName name="КолДебет" localSheetId="4">'[1]Оборотная ведомость ТМЦ'!#REF!</definedName>
    <definedName name="КолКонец" localSheetId="4">'[1]Оборотная ведомость ТМЦ'!#REF!</definedName>
    <definedName name="КолКредит" localSheetId="4">'[1]Оборотная ведомость ТМЦ'!#REF!</definedName>
    <definedName name="КолНачало" localSheetId="4">'[1]Оборотная ведомость ТМЦ'!#REF!</definedName>
    <definedName name="Номенклатура" localSheetId="4">'[1]Оборотная ведомость ТМЦ'!#REF!</definedName>
    <definedName name="Номер1" localSheetId="4">'[1]Оборотная ведомость ТМЦ'!#REF!</definedName>
    <definedName name="ОборотДебет" localSheetId="4">'[1]Оборотная ведомость ТМЦ'!#REF!</definedName>
    <definedName name="ОборотКредит" localSheetId="4">'[1]Оборотная ведомость ТМЦ'!#REF!</definedName>
    <definedName name="ОстатокКонец" localSheetId="4">'[1]Оборотная ведомость ТМЦ'!#REF!</definedName>
    <definedName name="ОстатокНачало" localSheetId="4">'[1]Оборотная ведомость ТМЦ'!#REF!</definedName>
    <definedName name="ОстатСтоим" localSheetId="4">'[1]Оборотная ведомость ТМЦ'!#REF!</definedName>
    <definedName name="ПартияДата" localSheetId="4">'[1]Оборотная ведомость ТМЦ'!#REF!</definedName>
    <definedName name="СчетМол" localSheetId="4">'[1]Оборотная ведомость ТМЦ'!#REF!</definedName>
    <definedName name="asd1" localSheetId="5">'[1]Оборотная ведомость ТМЦ'!#REF!</definedName>
    <definedName name="none" localSheetId="5">'[1]Оборотная ведомость ТМЦ'!#REF!</definedName>
    <definedName name="Валюта" localSheetId="5">'[1]Оборотная ведомость ТМЦ'!#REF!</definedName>
    <definedName name="Всего" localSheetId="5">'[1]Оборотная ведомость ТМЦ'!#REF!</definedName>
    <definedName name="ДатаЭкспл" localSheetId="5">'[1]Оборотная ведомость ТМЦ'!#REF!</definedName>
    <definedName name="Износ" localSheetId="5">'[1]Оборотная ведомость ТМЦ'!#REF!</definedName>
    <definedName name="ИтогКолНачало" localSheetId="5">'[1]Оборотная ведомость ТМЦ'!#REF!</definedName>
    <definedName name="ИтогОборотДебет" localSheetId="5">'[1]Оборотная ведомость ТМЦ'!#REF!</definedName>
    <definedName name="ИтогОборотКредит" localSheetId="5">'[1]Оборотная ведомость ТМЦ'!#REF!</definedName>
    <definedName name="ИтогоИзнос" localSheetId="5">'[1]Оборотная ведомость ТМЦ'!#REF!</definedName>
    <definedName name="ИтогоПо" localSheetId="5">'[1]Оборотная ведомость ТМЦ'!#REF!</definedName>
    <definedName name="ИтогОстатокКонец" localSheetId="5">'[1]Оборотная ведомость ТМЦ'!#REF!</definedName>
    <definedName name="ИтогОстатокНачало" localSheetId="5">'[1]Оборотная ведомость ТМЦ'!#REF!</definedName>
    <definedName name="ИтогОстСт" localSheetId="5">'[1]Оборотная ведомость ТМЦ'!#REF!</definedName>
    <definedName name="КолДебет" localSheetId="5">'[1]Оборотная ведомость ТМЦ'!#REF!</definedName>
    <definedName name="КолКонец" localSheetId="5">'[1]Оборотная ведомость ТМЦ'!#REF!</definedName>
    <definedName name="КолКредит" localSheetId="5">'[1]Оборотная ведомость ТМЦ'!#REF!</definedName>
    <definedName name="КолНачало" localSheetId="5">'[1]Оборотная ведомость ТМЦ'!#REF!</definedName>
    <definedName name="Номенклатура" localSheetId="5">'[1]Оборотная ведомость ТМЦ'!#REF!</definedName>
    <definedName name="Номер1" localSheetId="5">'[1]Оборотная ведомость ТМЦ'!#REF!</definedName>
    <definedName name="ОборотДебет" localSheetId="5">'[1]Оборотная ведомость ТМЦ'!#REF!</definedName>
    <definedName name="ОборотКредит" localSheetId="5">'[1]Оборотная ведомость ТМЦ'!#REF!</definedName>
    <definedName name="ОстатокКонец" localSheetId="5">'[1]Оборотная ведомость ТМЦ'!#REF!</definedName>
    <definedName name="ОстатокНачало" localSheetId="5">'[1]Оборотная ведомость ТМЦ'!#REF!</definedName>
    <definedName name="ОстатСтоим" localSheetId="5">'[1]Оборотная ведомость ТМЦ'!#REF!</definedName>
    <definedName name="ПартияДата" localSheetId="5">'[1]Оборотная ведомость ТМЦ'!#REF!</definedName>
    <definedName name="СчетМол" localSheetId="5">'[1]Оборотная ведомость ТМЦ'!#REF!</definedName>
    <definedName name="asd1" localSheetId="6">'[1]Оборотная ведомость ТМЦ'!#REF!</definedName>
    <definedName name="none" localSheetId="6">'[1]Оборотная ведомость ТМЦ'!#REF!</definedName>
    <definedName name="Валюта" localSheetId="6">'[1]Оборотная ведомость ТМЦ'!#REF!</definedName>
    <definedName name="Всего" localSheetId="6">'[1]Оборотная ведомость ТМЦ'!#REF!</definedName>
    <definedName name="ДатаЭкспл" localSheetId="6">'[1]Оборотная ведомость ТМЦ'!#REF!</definedName>
    <definedName name="Износ" localSheetId="6">'[1]Оборотная ведомость ТМЦ'!#REF!</definedName>
    <definedName name="ИтогКолНачало" localSheetId="6">'[1]Оборотная ведомость ТМЦ'!#REF!</definedName>
    <definedName name="ИтогОборотДебет" localSheetId="6">'[1]Оборотная ведомость ТМЦ'!#REF!</definedName>
    <definedName name="ИтогОборотКредит" localSheetId="6">'[1]Оборотная ведомость ТМЦ'!#REF!</definedName>
    <definedName name="ИтогоИзнос" localSheetId="6">'[1]Оборотная ведомость ТМЦ'!#REF!</definedName>
    <definedName name="ИтогоПо" localSheetId="6">'[1]Оборотная ведомость ТМЦ'!#REF!</definedName>
    <definedName name="ИтогОстатокКонец" localSheetId="6">'[1]Оборотная ведомость ТМЦ'!#REF!</definedName>
    <definedName name="ИтогОстатокНачало" localSheetId="6">'[1]Оборотная ведомость ТМЦ'!#REF!</definedName>
    <definedName name="ИтогОстСт" localSheetId="6">'[1]Оборотная ведомость ТМЦ'!#REF!</definedName>
    <definedName name="КолДебет" localSheetId="6">'[1]Оборотная ведомость ТМЦ'!#REF!</definedName>
    <definedName name="КолКонец" localSheetId="6">'[1]Оборотная ведомость ТМЦ'!#REF!</definedName>
    <definedName name="КолКредит" localSheetId="6">'[1]Оборотная ведомость ТМЦ'!#REF!</definedName>
    <definedName name="КолНачало" localSheetId="6">'[1]Оборотная ведомость ТМЦ'!#REF!</definedName>
    <definedName name="Номенклатура" localSheetId="6">'[1]Оборотная ведомость ТМЦ'!#REF!</definedName>
    <definedName name="Номер1" localSheetId="6">'[1]Оборотная ведомость ТМЦ'!#REF!</definedName>
    <definedName name="ОборотДебет" localSheetId="6">'[1]Оборотная ведомость ТМЦ'!#REF!</definedName>
    <definedName name="ОборотКредит" localSheetId="6">'[1]Оборотная ведомость ТМЦ'!#REF!</definedName>
    <definedName name="ОстатокКонец" localSheetId="6">'[1]Оборотная ведомость ТМЦ'!#REF!</definedName>
    <definedName name="ОстатокНачало" localSheetId="6">'[1]Оборотная ведомость ТМЦ'!#REF!</definedName>
    <definedName name="ОстатСтоим" localSheetId="6">'[1]Оборотная ведомость ТМЦ'!#REF!</definedName>
    <definedName name="ПартияДата" localSheetId="6">'[1]Оборотная ведомость ТМЦ'!#REF!</definedName>
    <definedName name="СчетМол" localSheetId="6">'[1]Оборотная ведомость ТМЦ'!#REF!</definedName>
    <definedName name="asd1" localSheetId="7">'[1]Оборотная ведомость ТМЦ'!#REF!</definedName>
    <definedName name="none" localSheetId="7">'[1]Оборотная ведомость ТМЦ'!#REF!</definedName>
    <definedName name="Валюта" localSheetId="7">'[1]Оборотная ведомость ТМЦ'!#REF!</definedName>
    <definedName name="Всего" localSheetId="7">'[1]Оборотная ведомость ТМЦ'!#REF!</definedName>
    <definedName name="ДатаЭкспл" localSheetId="7">'[1]Оборотная ведомость ТМЦ'!#REF!</definedName>
    <definedName name="Износ" localSheetId="7">'[1]Оборотная ведомость ТМЦ'!#REF!</definedName>
    <definedName name="ИтогКолНачало" localSheetId="7">'[1]Оборотная ведомость ТМЦ'!#REF!</definedName>
    <definedName name="ИтогОборотДебет" localSheetId="7">'[1]Оборотная ведомость ТМЦ'!#REF!</definedName>
    <definedName name="ИтогОборотКредит" localSheetId="7">'[1]Оборотная ведомость ТМЦ'!#REF!</definedName>
    <definedName name="ИтогоИзнос" localSheetId="7">'[1]Оборотная ведомость ТМЦ'!#REF!</definedName>
    <definedName name="ИтогоПо" localSheetId="7">'[1]Оборотная ведомость ТМЦ'!#REF!</definedName>
    <definedName name="ИтогОстатокКонец" localSheetId="7">'[1]Оборотная ведомость ТМЦ'!#REF!</definedName>
    <definedName name="ИтогОстатокНачало" localSheetId="7">'[1]Оборотная ведомость ТМЦ'!#REF!</definedName>
    <definedName name="ИтогОстСт" localSheetId="7">'[1]Оборотная ведомость ТМЦ'!#REF!</definedName>
    <definedName name="КолДебет" localSheetId="7">'[1]Оборотная ведомость ТМЦ'!#REF!</definedName>
    <definedName name="КолКонец" localSheetId="7">'[1]Оборотная ведомость ТМЦ'!#REF!</definedName>
    <definedName name="КолКредит" localSheetId="7">'[1]Оборотная ведомость ТМЦ'!#REF!</definedName>
    <definedName name="КолНачало" localSheetId="7">'[1]Оборотная ведомость ТМЦ'!#REF!</definedName>
    <definedName name="Номенклатура" localSheetId="7">'[1]Оборотная ведомость ТМЦ'!#REF!</definedName>
    <definedName name="Номер1" localSheetId="7">'[1]Оборотная ведомость ТМЦ'!#REF!</definedName>
    <definedName name="ОборотДебет" localSheetId="7">'[1]Оборотная ведомость ТМЦ'!#REF!</definedName>
    <definedName name="ОборотКредит" localSheetId="7">'[1]Оборотная ведомость ТМЦ'!#REF!</definedName>
    <definedName name="ОстатокКонец" localSheetId="7">'[1]Оборотная ведомость ТМЦ'!#REF!</definedName>
    <definedName name="ОстатокНачало" localSheetId="7">'[1]Оборотная ведомость ТМЦ'!#REF!</definedName>
    <definedName name="ОстатСтоим" localSheetId="7">'[1]Оборотная ведомость ТМЦ'!#REF!</definedName>
    <definedName name="ПартияДата" localSheetId="7">'[1]Оборотная ведомость ТМЦ'!#REF!</definedName>
    <definedName name="СчетМол" localSheetId="7">'[1]Оборотная ведомость ТМЦ'!#REF!</definedName>
    <definedName name="asd1" localSheetId="8">'[1]Оборотная ведомость ТМЦ'!#REF!</definedName>
    <definedName name="none" localSheetId="8">'[1]Оборотная ведомость ТМЦ'!#REF!</definedName>
    <definedName name="Валюта" localSheetId="8">'[1]Оборотная ведомость ТМЦ'!#REF!</definedName>
    <definedName name="Всего" localSheetId="8">'[1]Оборотная ведомость ТМЦ'!#REF!</definedName>
    <definedName name="ДатаЭкспл" localSheetId="8">'[1]Оборотная ведомость ТМЦ'!#REF!</definedName>
    <definedName name="Износ" localSheetId="8">'[1]Оборотная ведомость ТМЦ'!#REF!</definedName>
    <definedName name="ИтогКолНачало" localSheetId="8">'[1]Оборотная ведомость ТМЦ'!#REF!</definedName>
    <definedName name="ИтогОборотДебет" localSheetId="8">'[1]Оборотная ведомость ТМЦ'!#REF!</definedName>
    <definedName name="ИтогОборотКредит" localSheetId="8">'[1]Оборотная ведомость ТМЦ'!#REF!</definedName>
    <definedName name="ИтогоИзнос" localSheetId="8">'[1]Оборотная ведомость ТМЦ'!#REF!</definedName>
    <definedName name="ИтогоПо" localSheetId="8">'[1]Оборотная ведомость ТМЦ'!#REF!</definedName>
    <definedName name="ИтогОстатокКонец" localSheetId="8">'[1]Оборотная ведомость ТМЦ'!#REF!</definedName>
    <definedName name="ИтогОстатокНачало" localSheetId="8">'[1]Оборотная ведомость ТМЦ'!#REF!</definedName>
    <definedName name="ИтогОстСт" localSheetId="8">'[1]Оборотная ведомость ТМЦ'!#REF!</definedName>
    <definedName name="КолДебет" localSheetId="8">'[1]Оборотная ведомость ТМЦ'!#REF!</definedName>
    <definedName name="КолКонец" localSheetId="8">'[1]Оборотная ведомость ТМЦ'!#REF!</definedName>
    <definedName name="КолКредит" localSheetId="8">'[1]Оборотная ведомость ТМЦ'!#REF!</definedName>
    <definedName name="КолНачало" localSheetId="8">'[1]Оборотная ведомость ТМЦ'!#REF!</definedName>
    <definedName name="Номенклатура" localSheetId="8">'[1]Оборотная ведомость ТМЦ'!#REF!</definedName>
    <definedName name="Номер1" localSheetId="8">'[1]Оборотная ведомость ТМЦ'!#REF!</definedName>
    <definedName name="ОборотДебет" localSheetId="8">'[1]Оборотная ведомость ТМЦ'!#REF!</definedName>
    <definedName name="ОборотКредит" localSheetId="8">'[1]Оборотная ведомость ТМЦ'!#REF!</definedName>
    <definedName name="ОстатокКонец" localSheetId="8">'[1]Оборотная ведомость ТМЦ'!#REF!</definedName>
    <definedName name="ОстатокНачало" localSheetId="8">'[1]Оборотная ведомость ТМЦ'!#REF!</definedName>
    <definedName name="ОстатСтоим" localSheetId="8">'[1]Оборотная ведомость ТМЦ'!#REF!</definedName>
    <definedName name="ПартияДата" localSheetId="8">'[1]Оборотная ведомость ТМЦ'!#REF!</definedName>
    <definedName name="СчетМол" localSheetId="8">'[1]Оборотная ведомость ТМЦ'!#REF!</definedName>
    <definedName name="asd1" localSheetId="9">'[1]Оборотная ведомость ТМЦ'!#REF!</definedName>
    <definedName name="none" localSheetId="9">'[1]Оборотная ведомость ТМЦ'!#REF!</definedName>
    <definedName name="Валюта" localSheetId="9">'[1]Оборотная ведомость ТМЦ'!#REF!</definedName>
    <definedName name="Всего" localSheetId="9">'[1]Оборотная ведомость ТМЦ'!#REF!</definedName>
    <definedName name="ДатаЭкспл" localSheetId="9">'[1]Оборотная ведомость ТМЦ'!#REF!</definedName>
    <definedName name="Износ" localSheetId="9">'[1]Оборотная ведомость ТМЦ'!#REF!</definedName>
    <definedName name="ИтогКолНачало" localSheetId="9">'[1]Оборотная ведомость ТМЦ'!#REF!</definedName>
    <definedName name="ИтогОборотДебет" localSheetId="9">'[1]Оборотная ведомость ТМЦ'!#REF!</definedName>
    <definedName name="ИтогОборотКредит" localSheetId="9">'[1]Оборотная ведомость ТМЦ'!#REF!</definedName>
    <definedName name="ИтогоИзнос" localSheetId="9">'[1]Оборотная ведомость ТМЦ'!#REF!</definedName>
    <definedName name="ИтогоПо" localSheetId="9">'[1]Оборотная ведомость ТМЦ'!#REF!</definedName>
    <definedName name="ИтогОстатокКонец" localSheetId="9">'[1]Оборотная ведомость ТМЦ'!#REF!</definedName>
    <definedName name="ИтогОстатокНачало" localSheetId="9">'[1]Оборотная ведомость ТМЦ'!#REF!</definedName>
    <definedName name="ИтогОстСт" localSheetId="9">'[1]Оборотная ведомость ТМЦ'!#REF!</definedName>
    <definedName name="КолДебет" localSheetId="9">'[1]Оборотная ведомость ТМЦ'!#REF!</definedName>
    <definedName name="КолКонец" localSheetId="9">'[1]Оборотная ведомость ТМЦ'!#REF!</definedName>
    <definedName name="КолКредит" localSheetId="9">'[1]Оборотная ведомость ТМЦ'!#REF!</definedName>
    <definedName name="КолНачало" localSheetId="9">'[1]Оборотная ведомость ТМЦ'!#REF!</definedName>
    <definedName name="Номенклатура" localSheetId="9">'[1]Оборотная ведомость ТМЦ'!#REF!</definedName>
    <definedName name="Номер1" localSheetId="9">'[1]Оборотная ведомость ТМЦ'!#REF!</definedName>
    <definedName name="ОборотДебет" localSheetId="9">'[1]Оборотная ведомость ТМЦ'!#REF!</definedName>
    <definedName name="ОборотКредит" localSheetId="9">'[1]Оборотная ведомость ТМЦ'!#REF!</definedName>
    <definedName name="ОстатокКонец" localSheetId="9">'[1]Оборотная ведомость ТМЦ'!#REF!</definedName>
    <definedName name="ОстатокНачало" localSheetId="9">'[1]Оборотная ведомость ТМЦ'!#REF!</definedName>
    <definedName name="ОстатСтоим" localSheetId="9">'[1]Оборотная ведомость ТМЦ'!#REF!</definedName>
    <definedName name="ПартияДата" localSheetId="9">'[1]Оборотная ведомость ТМЦ'!#REF!</definedName>
    <definedName name="СчетМол" localSheetId="9">'[1]Оборотная ведомость ТМЦ'!#REF!</definedName>
    <definedName name="asd1" localSheetId="10">'[1]Оборотная ведомость ТМЦ'!#REF!</definedName>
    <definedName name="none" localSheetId="10">'[1]Оборотная ведомость ТМЦ'!#REF!</definedName>
    <definedName name="Валюта" localSheetId="10">'[1]Оборотная ведомость ТМЦ'!#REF!</definedName>
    <definedName name="Всего" localSheetId="10">'[1]Оборотная ведомость ТМЦ'!#REF!</definedName>
    <definedName name="ДатаЭкспл" localSheetId="10">'[1]Оборотная ведомость ТМЦ'!#REF!</definedName>
    <definedName name="Износ" localSheetId="10">'[1]Оборотная ведомость ТМЦ'!#REF!</definedName>
    <definedName name="ИтогКолНачало" localSheetId="10">'[1]Оборотная ведомость ТМЦ'!#REF!</definedName>
    <definedName name="ИтогОборотДебет" localSheetId="10">'[1]Оборотная ведомость ТМЦ'!#REF!</definedName>
    <definedName name="ИтогОборотКредит" localSheetId="10">'[1]Оборотная ведомость ТМЦ'!#REF!</definedName>
    <definedName name="ИтогоИзнос" localSheetId="10">'[1]Оборотная ведомость ТМЦ'!#REF!</definedName>
    <definedName name="ИтогоПо" localSheetId="10">'[1]Оборотная ведомость ТМЦ'!#REF!</definedName>
    <definedName name="ИтогОстатокКонец" localSheetId="10">'[1]Оборотная ведомость ТМЦ'!#REF!</definedName>
    <definedName name="ИтогОстатокНачало" localSheetId="10">'[1]Оборотная ведомость ТМЦ'!#REF!</definedName>
    <definedName name="ИтогОстСт" localSheetId="10">'[1]Оборотная ведомость ТМЦ'!#REF!</definedName>
    <definedName name="КолДебет" localSheetId="10">'[1]Оборотная ведомость ТМЦ'!#REF!</definedName>
    <definedName name="КолКонец" localSheetId="10">'[1]Оборотная ведомость ТМЦ'!#REF!</definedName>
    <definedName name="КолКредит" localSheetId="10">'[1]Оборотная ведомость ТМЦ'!#REF!</definedName>
    <definedName name="КолНачало" localSheetId="10">'[1]Оборотная ведомость ТМЦ'!#REF!</definedName>
    <definedName name="Номенклатура" localSheetId="10">'[1]Оборотная ведомость ТМЦ'!#REF!</definedName>
    <definedName name="Номер1" localSheetId="10">'[1]Оборотная ведомость ТМЦ'!#REF!</definedName>
    <definedName name="ОборотДебет" localSheetId="10">'[1]Оборотная ведомость ТМЦ'!#REF!</definedName>
    <definedName name="ОборотКредит" localSheetId="10">'[1]Оборотная ведомость ТМЦ'!#REF!</definedName>
    <definedName name="ОстатокКонец" localSheetId="10">'[1]Оборотная ведомость ТМЦ'!#REF!</definedName>
    <definedName name="ОстатокНачало" localSheetId="10">'[1]Оборотная ведомость ТМЦ'!#REF!</definedName>
    <definedName name="ОстатСтоим" localSheetId="10">'[1]Оборотная ведомость ТМЦ'!#REF!</definedName>
    <definedName name="ПартияДата" localSheetId="10">'[1]Оборотная ведомость ТМЦ'!#REF!</definedName>
    <definedName name="СчетМол" localSheetId="10">'[1]Оборотная ведомость ТМЦ'!#REF!</definedName>
    <definedName name="asd1" localSheetId="11">'[1]Оборотная ведомость ТМЦ'!#REF!</definedName>
    <definedName name="none" localSheetId="11">'[1]Оборотная ведомость ТМЦ'!#REF!</definedName>
    <definedName name="Валюта" localSheetId="11">'[1]Оборотная ведомость ТМЦ'!#REF!</definedName>
    <definedName name="Всего" localSheetId="11">'[1]Оборотная ведомость ТМЦ'!#REF!</definedName>
    <definedName name="ДатаЭкспл" localSheetId="11">'[1]Оборотная ведомость ТМЦ'!#REF!</definedName>
    <definedName name="Износ" localSheetId="11">'[1]Оборотная ведомость ТМЦ'!#REF!</definedName>
    <definedName name="ИтогКолНачало" localSheetId="11">'[1]Оборотная ведомость ТМЦ'!#REF!</definedName>
    <definedName name="ИтогОборотДебет" localSheetId="11">'[1]Оборотная ведомость ТМЦ'!#REF!</definedName>
    <definedName name="ИтогОборотКредит" localSheetId="11">'[1]Оборотная ведомость ТМЦ'!#REF!</definedName>
    <definedName name="ИтогоИзнос" localSheetId="11">'[1]Оборотная ведомость ТМЦ'!#REF!</definedName>
    <definedName name="ИтогоПо" localSheetId="11">'[1]Оборотная ведомость ТМЦ'!#REF!</definedName>
    <definedName name="ИтогОстатокКонец" localSheetId="11">'[1]Оборотная ведомость ТМЦ'!#REF!</definedName>
    <definedName name="ИтогОстатокНачало" localSheetId="11">'[1]Оборотная ведомость ТМЦ'!#REF!</definedName>
    <definedName name="ИтогОстСт" localSheetId="11">'[1]Оборотная ведомость ТМЦ'!#REF!</definedName>
    <definedName name="КолДебет" localSheetId="11">'[1]Оборотная ведомость ТМЦ'!#REF!</definedName>
    <definedName name="КолКонец" localSheetId="11">'[1]Оборотная ведомость ТМЦ'!#REF!</definedName>
    <definedName name="КолКредит" localSheetId="11">'[1]Оборотная ведомость ТМЦ'!#REF!</definedName>
    <definedName name="КолНачало" localSheetId="11">'[1]Оборотная ведомость ТМЦ'!#REF!</definedName>
    <definedName name="Номенклатура" localSheetId="11">'[1]Оборотная ведомость ТМЦ'!#REF!</definedName>
    <definedName name="Номер1" localSheetId="11">'[1]Оборотная ведомость ТМЦ'!#REF!</definedName>
    <definedName name="ОборотДебет" localSheetId="11">'[1]Оборотная ведомость ТМЦ'!#REF!</definedName>
    <definedName name="ОборотКредит" localSheetId="11">'[1]Оборотная ведомость ТМЦ'!#REF!</definedName>
    <definedName name="ОстатокКонец" localSheetId="11">'[1]Оборотная ведомость ТМЦ'!#REF!</definedName>
    <definedName name="ОстатокНачало" localSheetId="11">'[1]Оборотная ведомость ТМЦ'!#REF!</definedName>
    <definedName name="ОстатСтоим" localSheetId="11">'[1]Оборотная ведомость ТМЦ'!#REF!</definedName>
    <definedName name="ПартияДата" localSheetId="11">'[1]Оборотная ведомость ТМЦ'!#REF!</definedName>
    <definedName name="СчетМол" localSheetId="11">'[1]Оборотная ведомость ТМЦ'!#REF!</definedName>
    <definedName name="asd1" localSheetId="12">'[1]Оборотная ведомость ТМЦ'!#REF!</definedName>
    <definedName name="none" localSheetId="12">'[1]Оборотная ведомость ТМЦ'!#REF!</definedName>
    <definedName name="Валюта" localSheetId="12">'[1]Оборотная ведомость ТМЦ'!#REF!</definedName>
    <definedName name="Всего" localSheetId="12">'[1]Оборотная ведомость ТМЦ'!#REF!</definedName>
    <definedName name="ДатаЭкспл" localSheetId="12">'[1]Оборотная ведомость ТМЦ'!#REF!</definedName>
    <definedName name="Износ" localSheetId="12">'[1]Оборотная ведомость ТМЦ'!#REF!</definedName>
    <definedName name="ИтогКолНачало" localSheetId="12">'[1]Оборотная ведомость ТМЦ'!#REF!</definedName>
    <definedName name="ИтогОборотДебет" localSheetId="12">'[1]Оборотная ведомость ТМЦ'!#REF!</definedName>
    <definedName name="ИтогОборотКредит" localSheetId="12">'[1]Оборотная ведомость ТМЦ'!#REF!</definedName>
    <definedName name="ИтогоИзнос" localSheetId="12">'[1]Оборотная ведомость ТМЦ'!#REF!</definedName>
    <definedName name="ИтогоПо" localSheetId="12">'[1]Оборотная ведомость ТМЦ'!#REF!</definedName>
    <definedName name="ИтогОстатокКонец" localSheetId="12">'[1]Оборотная ведомость ТМЦ'!#REF!</definedName>
    <definedName name="ИтогОстатокНачало" localSheetId="12">'[1]Оборотная ведомость ТМЦ'!#REF!</definedName>
    <definedName name="ИтогОстСт" localSheetId="12">'[1]Оборотная ведомость ТМЦ'!#REF!</definedName>
    <definedName name="КолДебет" localSheetId="12">'[1]Оборотная ведомость ТМЦ'!#REF!</definedName>
    <definedName name="КолКонец" localSheetId="12">'[1]Оборотная ведомость ТМЦ'!#REF!</definedName>
    <definedName name="КолКредит" localSheetId="12">'[1]Оборотная ведомость ТМЦ'!#REF!</definedName>
    <definedName name="КолНачало" localSheetId="12">'[1]Оборотная ведомость ТМЦ'!#REF!</definedName>
    <definedName name="Номенклатура" localSheetId="12">'[1]Оборотная ведомость ТМЦ'!#REF!</definedName>
    <definedName name="Номер1" localSheetId="12">'[1]Оборотная ведомость ТМЦ'!#REF!</definedName>
    <definedName name="ОборотДебет" localSheetId="12">'[1]Оборотная ведомость ТМЦ'!#REF!</definedName>
    <definedName name="ОборотКредит" localSheetId="12">'[1]Оборотная ведомость ТМЦ'!#REF!</definedName>
    <definedName name="ОстатокКонец" localSheetId="12">'[1]Оборотная ведомость ТМЦ'!#REF!</definedName>
    <definedName name="ОстатокНачало" localSheetId="12">'[1]Оборотная ведомость ТМЦ'!#REF!</definedName>
    <definedName name="ОстатСтоим" localSheetId="12">'[1]Оборотная ведомость ТМЦ'!#REF!</definedName>
    <definedName name="ПартияДата" localSheetId="12">'[1]Оборотная ведомость ТМЦ'!#REF!</definedName>
    <definedName name="СчетМол" localSheetId="12">'[1]Оборотная ведомость ТМЦ'!#REF!</definedName>
    <definedName name="asd1" localSheetId="13">'[1]Оборотная ведомость ТМЦ'!#REF!</definedName>
    <definedName name="none" localSheetId="13">'[1]Оборотная ведомость ТМЦ'!#REF!</definedName>
    <definedName name="Валюта" localSheetId="13">'[1]Оборотная ведомость ТМЦ'!#REF!</definedName>
    <definedName name="Всего" localSheetId="13">'[1]Оборотная ведомость ТМЦ'!#REF!</definedName>
    <definedName name="ДатаЭкспл" localSheetId="13">'[1]Оборотная ведомость ТМЦ'!#REF!</definedName>
    <definedName name="Износ" localSheetId="13">'[1]Оборотная ведомость ТМЦ'!#REF!</definedName>
    <definedName name="ИтогКолНачало" localSheetId="13">'[1]Оборотная ведомость ТМЦ'!#REF!</definedName>
    <definedName name="ИтогОборотДебет" localSheetId="13">'[1]Оборотная ведомость ТМЦ'!#REF!</definedName>
    <definedName name="ИтогОборотКредит" localSheetId="13">'[1]Оборотная ведомость ТМЦ'!#REF!</definedName>
    <definedName name="ИтогоИзнос" localSheetId="13">'[1]Оборотная ведомость ТМЦ'!#REF!</definedName>
    <definedName name="ИтогоПо" localSheetId="13">'[1]Оборотная ведомость ТМЦ'!#REF!</definedName>
    <definedName name="ИтогОстатокКонец" localSheetId="13">'[1]Оборотная ведомость ТМЦ'!#REF!</definedName>
    <definedName name="ИтогОстатокНачало" localSheetId="13">'[1]Оборотная ведомость ТМЦ'!#REF!</definedName>
    <definedName name="ИтогОстСт" localSheetId="13">'[1]Оборотная ведомость ТМЦ'!#REF!</definedName>
    <definedName name="КолДебет" localSheetId="13">'[1]Оборотная ведомость ТМЦ'!#REF!</definedName>
    <definedName name="КолКонец" localSheetId="13">'[1]Оборотная ведомость ТМЦ'!#REF!</definedName>
    <definedName name="КолКредит" localSheetId="13">'[1]Оборотная ведомость ТМЦ'!#REF!</definedName>
    <definedName name="КолНачало" localSheetId="13">'[1]Оборотная ведомость ТМЦ'!#REF!</definedName>
    <definedName name="Номенклатура" localSheetId="13">'[1]Оборотная ведомость ТМЦ'!#REF!</definedName>
    <definedName name="Номер1" localSheetId="13">'[1]Оборотная ведомость ТМЦ'!#REF!</definedName>
    <definedName name="ОборотДебет" localSheetId="13">'[1]Оборотная ведомость ТМЦ'!#REF!</definedName>
    <definedName name="ОборотКредит" localSheetId="13">'[1]Оборотная ведомость ТМЦ'!#REF!</definedName>
    <definedName name="ОстатокКонец" localSheetId="13">'[1]Оборотная ведомость ТМЦ'!#REF!</definedName>
    <definedName name="ОстатокНачало" localSheetId="13">'[1]Оборотная ведомость ТМЦ'!#REF!</definedName>
    <definedName name="ОстатСтоим" localSheetId="13">'[1]Оборотная ведомость ТМЦ'!#REF!</definedName>
    <definedName name="ПартияДата" localSheetId="13">'[1]Оборотная ведомость ТМЦ'!#REF!</definedName>
    <definedName name="СчетМол" localSheetId="13">'[1]Оборотная ведомость ТМЦ'!#REF!</definedName>
    <definedName name="asd1" localSheetId="14">'[1]Оборотная ведомость ТМЦ'!#REF!</definedName>
    <definedName name="none" localSheetId="14">'[1]Оборотная ведомость ТМЦ'!#REF!</definedName>
    <definedName name="Валюта" localSheetId="14">'[1]Оборотная ведомость ТМЦ'!#REF!</definedName>
    <definedName name="Всего" localSheetId="14">'[1]Оборотная ведомость ТМЦ'!#REF!</definedName>
    <definedName name="ДатаЭкспл" localSheetId="14">'[1]Оборотная ведомость ТМЦ'!#REF!</definedName>
    <definedName name="Износ" localSheetId="14">'[1]Оборотная ведомость ТМЦ'!#REF!</definedName>
    <definedName name="ИтогКолНачало" localSheetId="14">'[1]Оборотная ведомость ТМЦ'!#REF!</definedName>
    <definedName name="ИтогОборотДебет" localSheetId="14">'[1]Оборотная ведомость ТМЦ'!#REF!</definedName>
    <definedName name="ИтогОборотКредит" localSheetId="14">'[1]Оборотная ведомость ТМЦ'!#REF!</definedName>
    <definedName name="ИтогоИзнос" localSheetId="14">'[1]Оборотная ведомость ТМЦ'!#REF!</definedName>
    <definedName name="ИтогоПо" localSheetId="14">'[1]Оборотная ведомость ТМЦ'!#REF!</definedName>
    <definedName name="ИтогОстатокКонец" localSheetId="14">'[1]Оборотная ведомость ТМЦ'!#REF!</definedName>
    <definedName name="ИтогОстатокНачало" localSheetId="14">'[1]Оборотная ведомость ТМЦ'!#REF!</definedName>
    <definedName name="ИтогОстСт" localSheetId="14">'[1]Оборотная ведомость ТМЦ'!#REF!</definedName>
    <definedName name="КолДебет" localSheetId="14">'[1]Оборотная ведомость ТМЦ'!#REF!</definedName>
    <definedName name="КолКонец" localSheetId="14">'[1]Оборотная ведомость ТМЦ'!#REF!</definedName>
    <definedName name="КолКредит" localSheetId="14">'[1]Оборотная ведомость ТМЦ'!#REF!</definedName>
    <definedName name="КолНачало" localSheetId="14">'[1]Оборотная ведомость ТМЦ'!#REF!</definedName>
    <definedName name="Номенклатура" localSheetId="14">'[1]Оборотная ведомость ТМЦ'!#REF!</definedName>
    <definedName name="Номер1" localSheetId="14">'[1]Оборотная ведомость ТМЦ'!#REF!</definedName>
    <definedName name="ОборотДебет" localSheetId="14">'[1]Оборотная ведомость ТМЦ'!#REF!</definedName>
    <definedName name="ОборотКредит" localSheetId="14">'[1]Оборотная ведомость ТМЦ'!#REF!</definedName>
    <definedName name="ОстатокКонец" localSheetId="14">'[1]Оборотная ведомость ТМЦ'!#REF!</definedName>
    <definedName name="ОстатокНачало" localSheetId="14">'[1]Оборотная ведомость ТМЦ'!#REF!</definedName>
    <definedName name="ОстатСтоим" localSheetId="14">'[1]Оборотная ведомость ТМЦ'!#REF!</definedName>
    <definedName name="ПартияДата" localSheetId="14">'[1]Оборотная ведомость ТМЦ'!#REF!</definedName>
    <definedName name="СчетМол" localSheetId="14">'[1]Оборотная ведомость ТМЦ'!#REF!</definedName>
    <definedName name="asd1" localSheetId="15">'[1]Оборотная ведомость ТМЦ'!#REF!</definedName>
    <definedName name="none" localSheetId="15">'[1]Оборотная ведомость ТМЦ'!#REF!</definedName>
    <definedName name="Валюта" localSheetId="15">'[1]Оборотная ведомость ТМЦ'!#REF!</definedName>
    <definedName name="Всего" localSheetId="15">'[1]Оборотная ведомость ТМЦ'!#REF!</definedName>
    <definedName name="ДатаЭкспл" localSheetId="15">'[1]Оборотная ведомость ТМЦ'!#REF!</definedName>
    <definedName name="Износ" localSheetId="15">'[1]Оборотная ведомость ТМЦ'!#REF!</definedName>
    <definedName name="ИтогКолНачало" localSheetId="15">'[1]Оборотная ведомость ТМЦ'!#REF!</definedName>
    <definedName name="ИтогОборотДебет" localSheetId="15">'[1]Оборотная ведомость ТМЦ'!#REF!</definedName>
    <definedName name="ИтогОборотКредит" localSheetId="15">'[1]Оборотная ведомость ТМЦ'!#REF!</definedName>
    <definedName name="ИтогоИзнос" localSheetId="15">'[1]Оборотная ведомость ТМЦ'!#REF!</definedName>
    <definedName name="ИтогоПо" localSheetId="15">'[1]Оборотная ведомость ТМЦ'!#REF!</definedName>
    <definedName name="ИтогОстатокКонец" localSheetId="15">'[1]Оборотная ведомость ТМЦ'!#REF!</definedName>
    <definedName name="ИтогОстатокНачало" localSheetId="15">'[1]Оборотная ведомость ТМЦ'!#REF!</definedName>
    <definedName name="ИтогОстСт" localSheetId="15">'[1]Оборотная ведомость ТМЦ'!#REF!</definedName>
    <definedName name="КолДебет" localSheetId="15">'[1]Оборотная ведомость ТМЦ'!#REF!</definedName>
    <definedName name="КолКонец" localSheetId="15">'[1]Оборотная ведомость ТМЦ'!#REF!</definedName>
    <definedName name="КолКредит" localSheetId="15">'[1]Оборотная ведомость ТМЦ'!#REF!</definedName>
    <definedName name="КолНачало" localSheetId="15">'[1]Оборотная ведомость ТМЦ'!#REF!</definedName>
    <definedName name="Номенклатура" localSheetId="15">'[1]Оборотная ведомость ТМЦ'!#REF!</definedName>
    <definedName name="Номер1" localSheetId="15">'[1]Оборотная ведомость ТМЦ'!#REF!</definedName>
    <definedName name="ОборотДебет" localSheetId="15">'[1]Оборотная ведомость ТМЦ'!#REF!</definedName>
    <definedName name="ОборотКредит" localSheetId="15">'[1]Оборотная ведомость ТМЦ'!#REF!</definedName>
    <definedName name="ОстатокКонец" localSheetId="15">'[1]Оборотная ведомость ТМЦ'!#REF!</definedName>
    <definedName name="ОстатокНачало" localSheetId="15">'[1]Оборотная ведомость ТМЦ'!#REF!</definedName>
    <definedName name="ОстатСтоим" localSheetId="15">'[1]Оборотная ведомость ТМЦ'!#REF!</definedName>
    <definedName name="ПартияДата" localSheetId="15">'[1]Оборотная ведомость ТМЦ'!#REF!</definedName>
    <definedName name="СчетМол" localSheetId="15">'[1]Оборотная ведомость ТМЦ'!#REF!</definedName>
    <definedName name="asd1" localSheetId="16">'[1]Оборотная ведомость ТМЦ'!#REF!</definedName>
    <definedName name="none" localSheetId="16">'[1]Оборотная ведомость ТМЦ'!#REF!</definedName>
    <definedName name="Валюта" localSheetId="16">'[1]Оборотная ведомость ТМЦ'!#REF!</definedName>
    <definedName name="Всего" localSheetId="16">'[1]Оборотная ведомость ТМЦ'!#REF!</definedName>
    <definedName name="ДатаЭкспл" localSheetId="16">'[1]Оборотная ведомость ТМЦ'!#REF!</definedName>
    <definedName name="Износ" localSheetId="16">'[1]Оборотная ведомость ТМЦ'!#REF!</definedName>
    <definedName name="ИтогКолНачало" localSheetId="16">'[1]Оборотная ведомость ТМЦ'!#REF!</definedName>
    <definedName name="ИтогОборотДебет" localSheetId="16">'[1]Оборотная ведомость ТМЦ'!#REF!</definedName>
    <definedName name="ИтогОборотКредит" localSheetId="16">'[1]Оборотная ведомость ТМЦ'!#REF!</definedName>
    <definedName name="ИтогоИзнос" localSheetId="16">'[1]Оборотная ведомость ТМЦ'!#REF!</definedName>
    <definedName name="ИтогоПо" localSheetId="16">'[1]Оборотная ведомость ТМЦ'!#REF!</definedName>
    <definedName name="ИтогОстатокКонец" localSheetId="16">'[1]Оборотная ведомость ТМЦ'!#REF!</definedName>
    <definedName name="ИтогОстатокНачало" localSheetId="16">'[1]Оборотная ведомость ТМЦ'!#REF!</definedName>
    <definedName name="ИтогОстСт" localSheetId="16">'[1]Оборотная ведомость ТМЦ'!#REF!</definedName>
    <definedName name="КолДебет" localSheetId="16">'[1]Оборотная ведомость ТМЦ'!#REF!</definedName>
    <definedName name="КолКонец" localSheetId="16">'[1]Оборотная ведомость ТМЦ'!#REF!</definedName>
    <definedName name="КолКредит" localSheetId="16">'[1]Оборотная ведомость ТМЦ'!#REF!</definedName>
    <definedName name="КолНачало" localSheetId="16">'[1]Оборотная ведомость ТМЦ'!#REF!</definedName>
    <definedName name="Номенклатура" localSheetId="16">'[1]Оборотная ведомость ТМЦ'!#REF!</definedName>
    <definedName name="Номер1" localSheetId="16">'[1]Оборотная ведомость ТМЦ'!#REF!</definedName>
    <definedName name="ОборотДебет" localSheetId="16">'[1]Оборотная ведомость ТМЦ'!#REF!</definedName>
    <definedName name="ОборотКредит" localSheetId="16">'[1]Оборотная ведомость ТМЦ'!#REF!</definedName>
    <definedName name="ОстатокКонец" localSheetId="16">'[1]Оборотная ведомость ТМЦ'!#REF!</definedName>
    <definedName name="ОстатокНачало" localSheetId="16">'[1]Оборотная ведомость ТМЦ'!#REF!</definedName>
    <definedName name="ОстатСтоим" localSheetId="16">'[1]Оборотная ведомость ТМЦ'!#REF!</definedName>
    <definedName name="ПартияДата" localSheetId="16">'[1]Оборотная ведомость ТМЦ'!#REF!</definedName>
    <definedName name="СчетМол" localSheetId="16">'[1]Оборотная ведомость ТМЦ'!#REF!</definedName>
    <definedName name="asd1" localSheetId="17">'[1]Оборотная ведомость ТМЦ'!#REF!</definedName>
    <definedName name="none" localSheetId="17">'[1]Оборотная ведомость ТМЦ'!#REF!</definedName>
    <definedName name="Валюта" localSheetId="17">'[1]Оборотная ведомость ТМЦ'!#REF!</definedName>
    <definedName name="Всего" localSheetId="17">'[1]Оборотная ведомость ТМЦ'!#REF!</definedName>
    <definedName name="ДатаЭкспл" localSheetId="17">'[1]Оборотная ведомость ТМЦ'!#REF!</definedName>
    <definedName name="Износ" localSheetId="17">'[1]Оборотная ведомость ТМЦ'!#REF!</definedName>
    <definedName name="ИтогКолНачало" localSheetId="17">'[1]Оборотная ведомость ТМЦ'!#REF!</definedName>
    <definedName name="ИтогОборотДебет" localSheetId="17">'[1]Оборотная ведомость ТМЦ'!#REF!</definedName>
    <definedName name="ИтогОборотКредит" localSheetId="17">'[1]Оборотная ведомость ТМЦ'!#REF!</definedName>
    <definedName name="ИтогоИзнос" localSheetId="17">'[1]Оборотная ведомость ТМЦ'!#REF!</definedName>
    <definedName name="ИтогоПо" localSheetId="17">'[1]Оборотная ведомость ТМЦ'!#REF!</definedName>
    <definedName name="ИтогОстатокКонец" localSheetId="17">'[1]Оборотная ведомость ТМЦ'!#REF!</definedName>
    <definedName name="ИтогОстатокНачало" localSheetId="17">'[1]Оборотная ведомость ТМЦ'!#REF!</definedName>
    <definedName name="ИтогОстСт" localSheetId="17">'[1]Оборотная ведомость ТМЦ'!#REF!</definedName>
    <definedName name="КолДебет" localSheetId="17">'[1]Оборотная ведомость ТМЦ'!#REF!</definedName>
    <definedName name="КолКонец" localSheetId="17">'[1]Оборотная ведомость ТМЦ'!#REF!</definedName>
    <definedName name="КолКредит" localSheetId="17">'[1]Оборотная ведомость ТМЦ'!#REF!</definedName>
    <definedName name="КолНачало" localSheetId="17">'[1]Оборотная ведомость ТМЦ'!#REF!</definedName>
    <definedName name="Номенклатура" localSheetId="17">'[1]Оборотная ведомость ТМЦ'!#REF!</definedName>
    <definedName name="Номер1" localSheetId="17">'[1]Оборотная ведомость ТМЦ'!#REF!</definedName>
    <definedName name="ОборотДебет" localSheetId="17">'[1]Оборотная ведомость ТМЦ'!#REF!</definedName>
    <definedName name="ОборотКредит" localSheetId="17">'[1]Оборотная ведомость ТМЦ'!#REF!</definedName>
    <definedName name="ОстатокКонец" localSheetId="17">'[1]Оборотная ведомость ТМЦ'!#REF!</definedName>
    <definedName name="ОстатокНачало" localSheetId="17">'[1]Оборотная ведомость ТМЦ'!#REF!</definedName>
    <definedName name="ОстатСтоим" localSheetId="17">'[1]Оборотная ведомость ТМЦ'!#REF!</definedName>
    <definedName name="ПартияДата" localSheetId="17">'[1]Оборотная ведомость ТМЦ'!#REF!</definedName>
    <definedName name="СчетМол" localSheetId="17">'[1]Оборотная ведомость ТМЦ'!#REF!</definedName>
    <definedName name="asd1" localSheetId="18">'[1]Оборотная ведомость ТМЦ'!#REF!</definedName>
    <definedName name="none" localSheetId="18">'[1]Оборотная ведомость ТМЦ'!#REF!</definedName>
    <definedName name="Валюта" localSheetId="18">'[1]Оборотная ведомость ТМЦ'!#REF!</definedName>
    <definedName name="Всего" localSheetId="18">'[1]Оборотная ведомость ТМЦ'!#REF!</definedName>
    <definedName name="ДатаЭкспл" localSheetId="18">'[1]Оборотная ведомость ТМЦ'!#REF!</definedName>
    <definedName name="Износ" localSheetId="18">'[1]Оборотная ведомость ТМЦ'!#REF!</definedName>
    <definedName name="ИтогКолНачало" localSheetId="18">'[1]Оборотная ведомость ТМЦ'!#REF!</definedName>
    <definedName name="ИтогОборотДебет" localSheetId="18">'[1]Оборотная ведомость ТМЦ'!#REF!</definedName>
    <definedName name="ИтогОборотКредит" localSheetId="18">'[1]Оборотная ведомость ТМЦ'!#REF!</definedName>
    <definedName name="ИтогоИзнос" localSheetId="18">'[1]Оборотная ведомость ТМЦ'!#REF!</definedName>
    <definedName name="ИтогоПо" localSheetId="18">'[1]Оборотная ведомость ТМЦ'!#REF!</definedName>
    <definedName name="ИтогОстатокКонец" localSheetId="18">'[1]Оборотная ведомость ТМЦ'!#REF!</definedName>
    <definedName name="ИтогОстатокНачало" localSheetId="18">'[1]Оборотная ведомость ТМЦ'!#REF!</definedName>
    <definedName name="ИтогОстСт" localSheetId="18">'[1]Оборотная ведомость ТМЦ'!#REF!</definedName>
    <definedName name="КолДебет" localSheetId="18">'[1]Оборотная ведомость ТМЦ'!#REF!</definedName>
    <definedName name="КолКонец" localSheetId="18">'[1]Оборотная ведомость ТМЦ'!#REF!</definedName>
    <definedName name="КолКредит" localSheetId="18">'[1]Оборотная ведомость ТМЦ'!#REF!</definedName>
    <definedName name="КолНачало" localSheetId="18">'[1]Оборотная ведомость ТМЦ'!#REF!</definedName>
    <definedName name="Номенклатура" localSheetId="18">'[1]Оборотная ведомость ТМЦ'!#REF!</definedName>
    <definedName name="Номер1" localSheetId="18">'[1]Оборотная ведомость ТМЦ'!#REF!</definedName>
    <definedName name="ОборотДебет" localSheetId="18">'[1]Оборотная ведомость ТМЦ'!#REF!</definedName>
    <definedName name="ОборотКредит" localSheetId="18">'[1]Оборотная ведомость ТМЦ'!#REF!</definedName>
    <definedName name="ОстатокКонец" localSheetId="18">'[1]Оборотная ведомость ТМЦ'!#REF!</definedName>
    <definedName name="ОстатокНачало" localSheetId="18">'[1]Оборотная ведомость ТМЦ'!#REF!</definedName>
    <definedName name="ОстатСтоим" localSheetId="18">'[1]Оборотная ведомость ТМЦ'!#REF!</definedName>
    <definedName name="ПартияДата" localSheetId="18">'[1]Оборотная ведомость ТМЦ'!#REF!</definedName>
    <definedName name="СчетМол" localSheetId="18">'[1]Оборотная ведомость ТМЦ'!#REF!</definedName>
    <definedName name="asd1" localSheetId="19">'[1]Оборотная ведомость ТМЦ'!#REF!</definedName>
    <definedName name="none" localSheetId="19">'[1]Оборотная ведомость ТМЦ'!#REF!</definedName>
    <definedName name="Валюта" localSheetId="19">'[1]Оборотная ведомость ТМЦ'!#REF!</definedName>
    <definedName name="Всего" localSheetId="19">'[1]Оборотная ведомость ТМЦ'!#REF!</definedName>
    <definedName name="ДатаЭкспл" localSheetId="19">'[1]Оборотная ведомость ТМЦ'!#REF!</definedName>
    <definedName name="Износ" localSheetId="19">'[1]Оборотная ведомость ТМЦ'!#REF!</definedName>
    <definedName name="ИтогКолНачало" localSheetId="19">'[1]Оборотная ведомость ТМЦ'!#REF!</definedName>
    <definedName name="ИтогОборотДебет" localSheetId="19">'[1]Оборотная ведомость ТМЦ'!#REF!</definedName>
    <definedName name="ИтогОборотКредит" localSheetId="19">'[1]Оборотная ведомость ТМЦ'!#REF!</definedName>
    <definedName name="ИтогоИзнос" localSheetId="19">'[1]Оборотная ведомость ТМЦ'!#REF!</definedName>
    <definedName name="ИтогоПо" localSheetId="19">'[1]Оборотная ведомость ТМЦ'!#REF!</definedName>
    <definedName name="ИтогОстатокКонец" localSheetId="19">'[1]Оборотная ведомость ТМЦ'!#REF!</definedName>
    <definedName name="ИтогОстатокНачало" localSheetId="19">'[1]Оборотная ведомость ТМЦ'!#REF!</definedName>
    <definedName name="ИтогОстСт" localSheetId="19">'[1]Оборотная ведомость ТМЦ'!#REF!</definedName>
    <definedName name="КолДебет" localSheetId="19">'[1]Оборотная ведомость ТМЦ'!#REF!</definedName>
    <definedName name="КолКонец" localSheetId="19">'[1]Оборотная ведомость ТМЦ'!#REF!</definedName>
    <definedName name="КолКредит" localSheetId="19">'[1]Оборотная ведомость ТМЦ'!#REF!</definedName>
    <definedName name="КолНачало" localSheetId="19">'[1]Оборотная ведомость ТМЦ'!#REF!</definedName>
    <definedName name="Номенклатура" localSheetId="19">'[1]Оборотная ведомость ТМЦ'!#REF!</definedName>
    <definedName name="Номер1" localSheetId="19">'[1]Оборотная ведомость ТМЦ'!#REF!</definedName>
    <definedName name="ОборотДебет" localSheetId="19">'[1]Оборотная ведомость ТМЦ'!#REF!</definedName>
    <definedName name="ОборотКредит" localSheetId="19">'[1]Оборотная ведомость ТМЦ'!#REF!</definedName>
    <definedName name="ОстатокКонец" localSheetId="19">'[1]Оборотная ведомость ТМЦ'!#REF!</definedName>
    <definedName name="ОстатокНачало" localSheetId="19">'[1]Оборотная ведомость ТМЦ'!#REF!</definedName>
    <definedName name="ОстатСтоим" localSheetId="19">'[1]Оборотная ведомость ТМЦ'!#REF!</definedName>
    <definedName name="ПартияДата" localSheetId="19">'[1]Оборотная ведомость ТМЦ'!#REF!</definedName>
    <definedName name="СчетМол" localSheetId="19">'[1]Оборотная ведомость ТМЦ'!#REF!</definedName>
    <definedName name="asd1" localSheetId="20">'[1]Оборотная ведомость ТМЦ'!#REF!</definedName>
    <definedName name="none" localSheetId="20">'[1]Оборотная ведомость ТМЦ'!#REF!</definedName>
    <definedName name="Валюта" localSheetId="20">'[1]Оборотная ведомость ТМЦ'!#REF!</definedName>
    <definedName name="Всего" localSheetId="20">'[1]Оборотная ведомость ТМЦ'!#REF!</definedName>
    <definedName name="ДатаЭкспл" localSheetId="20">'[1]Оборотная ведомость ТМЦ'!#REF!</definedName>
    <definedName name="Износ" localSheetId="20">'[1]Оборотная ведомость ТМЦ'!#REF!</definedName>
    <definedName name="ИтогКолНачало" localSheetId="20">'[1]Оборотная ведомость ТМЦ'!#REF!</definedName>
    <definedName name="ИтогОборотДебет" localSheetId="20">'[1]Оборотная ведомость ТМЦ'!#REF!</definedName>
    <definedName name="ИтогОборотКредит" localSheetId="20">'[1]Оборотная ведомость ТМЦ'!#REF!</definedName>
    <definedName name="ИтогоИзнос" localSheetId="20">'[1]Оборотная ведомость ТМЦ'!#REF!</definedName>
    <definedName name="ИтогоПо" localSheetId="20">'[1]Оборотная ведомость ТМЦ'!#REF!</definedName>
    <definedName name="ИтогОстатокКонец" localSheetId="20">'[1]Оборотная ведомость ТМЦ'!#REF!</definedName>
    <definedName name="ИтогОстатокНачало" localSheetId="20">'[1]Оборотная ведомость ТМЦ'!#REF!</definedName>
    <definedName name="ИтогОстСт" localSheetId="20">'[1]Оборотная ведомость ТМЦ'!#REF!</definedName>
    <definedName name="КолДебет" localSheetId="20">'[1]Оборотная ведомость ТМЦ'!#REF!</definedName>
    <definedName name="КолКонец" localSheetId="20">'[1]Оборотная ведомость ТМЦ'!#REF!</definedName>
    <definedName name="КолКредит" localSheetId="20">'[1]Оборотная ведомость ТМЦ'!#REF!</definedName>
    <definedName name="КолНачало" localSheetId="20">'[1]Оборотная ведомость ТМЦ'!#REF!</definedName>
    <definedName name="Номенклатура" localSheetId="20">'[1]Оборотная ведомость ТМЦ'!#REF!</definedName>
    <definedName name="Номер1" localSheetId="20">'[1]Оборотная ведомость ТМЦ'!#REF!</definedName>
    <definedName name="ОборотДебет" localSheetId="20">'[1]Оборотная ведомость ТМЦ'!#REF!</definedName>
    <definedName name="ОборотКредит" localSheetId="20">'[1]Оборотная ведомость ТМЦ'!#REF!</definedName>
    <definedName name="ОстатокКонец" localSheetId="20">'[1]Оборотная ведомость ТМЦ'!#REF!</definedName>
    <definedName name="ОстатокНачало" localSheetId="20">'[1]Оборотная ведомость ТМЦ'!#REF!</definedName>
    <definedName name="ОстатСтоим" localSheetId="20">'[1]Оборотная ведомость ТМЦ'!#REF!</definedName>
    <definedName name="ПартияДата" localSheetId="20">'[1]Оборотная ведомость ТМЦ'!#REF!</definedName>
    <definedName name="СчетМол" localSheetId="20">'[1]Оборотная ведомость ТМЦ'!#REF!</definedName>
    <definedName name="asd1" localSheetId="21">'[1]Оборотная ведомость ТМЦ'!#REF!</definedName>
    <definedName name="none" localSheetId="21">'[1]Оборотная ведомость ТМЦ'!#REF!</definedName>
    <definedName name="Валюта" localSheetId="21">'[1]Оборотная ведомость ТМЦ'!#REF!</definedName>
    <definedName name="Всего" localSheetId="21">'[1]Оборотная ведомость ТМЦ'!#REF!</definedName>
    <definedName name="ДатаЭкспл" localSheetId="21">'[1]Оборотная ведомость ТМЦ'!#REF!</definedName>
    <definedName name="Износ" localSheetId="21">'[1]Оборотная ведомость ТМЦ'!#REF!</definedName>
    <definedName name="ИтогКолНачало" localSheetId="21">'[1]Оборотная ведомость ТМЦ'!#REF!</definedName>
    <definedName name="ИтогОборотДебет" localSheetId="21">'[1]Оборотная ведомость ТМЦ'!#REF!</definedName>
    <definedName name="ИтогОборотКредит" localSheetId="21">'[1]Оборотная ведомость ТМЦ'!#REF!</definedName>
    <definedName name="ИтогоИзнос" localSheetId="21">'[1]Оборотная ведомость ТМЦ'!#REF!</definedName>
    <definedName name="ИтогоПо" localSheetId="21">'[1]Оборотная ведомость ТМЦ'!#REF!</definedName>
    <definedName name="ИтогОстатокКонец" localSheetId="21">'[1]Оборотная ведомость ТМЦ'!#REF!</definedName>
    <definedName name="ИтогОстатокНачало" localSheetId="21">'[1]Оборотная ведомость ТМЦ'!#REF!</definedName>
    <definedName name="ИтогОстСт" localSheetId="21">'[1]Оборотная ведомость ТМЦ'!#REF!</definedName>
    <definedName name="КолДебет" localSheetId="21">'[1]Оборотная ведомость ТМЦ'!#REF!</definedName>
    <definedName name="КолКонец" localSheetId="21">'[1]Оборотная ведомость ТМЦ'!#REF!</definedName>
    <definedName name="КолКредит" localSheetId="21">'[1]Оборотная ведомость ТМЦ'!#REF!</definedName>
    <definedName name="КолНачало" localSheetId="21">'[1]Оборотная ведомость ТМЦ'!#REF!</definedName>
    <definedName name="Номенклатура" localSheetId="21">'[1]Оборотная ведомость ТМЦ'!#REF!</definedName>
    <definedName name="Номер1" localSheetId="21">'[1]Оборотная ведомость ТМЦ'!#REF!</definedName>
    <definedName name="ОборотДебет" localSheetId="21">'[1]Оборотная ведомость ТМЦ'!#REF!</definedName>
    <definedName name="ОборотКредит" localSheetId="21">'[1]Оборотная ведомость ТМЦ'!#REF!</definedName>
    <definedName name="ОстатокКонец" localSheetId="21">'[1]Оборотная ведомость ТМЦ'!#REF!</definedName>
    <definedName name="ОстатокНачало" localSheetId="21">'[1]Оборотная ведомость ТМЦ'!#REF!</definedName>
    <definedName name="ОстатСтоим" localSheetId="21">'[1]Оборотная ведомость ТМЦ'!#REF!</definedName>
    <definedName name="ПартияДата" localSheetId="21">'[1]Оборотная ведомость ТМЦ'!#REF!</definedName>
    <definedName name="СчетМол" localSheetId="21">'[1]Оборотная ведомость ТМЦ'!#REF!</definedName>
    <definedName name="asd1" localSheetId="22">'[1]Оборотная ведомость ТМЦ'!#REF!</definedName>
    <definedName name="none" localSheetId="22">'[1]Оборотная ведомость ТМЦ'!#REF!</definedName>
    <definedName name="Валюта" localSheetId="22">'[1]Оборотная ведомость ТМЦ'!#REF!</definedName>
    <definedName name="Всего" localSheetId="22">'[1]Оборотная ведомость ТМЦ'!#REF!</definedName>
    <definedName name="ДатаЭкспл" localSheetId="22">'[1]Оборотная ведомость ТМЦ'!#REF!</definedName>
    <definedName name="Износ" localSheetId="22">'[1]Оборотная ведомость ТМЦ'!#REF!</definedName>
    <definedName name="ИтогКолНачало" localSheetId="22">'[1]Оборотная ведомость ТМЦ'!#REF!</definedName>
    <definedName name="ИтогОборотДебет" localSheetId="22">'[1]Оборотная ведомость ТМЦ'!#REF!</definedName>
    <definedName name="ИтогОборотКредит" localSheetId="22">'[1]Оборотная ведомость ТМЦ'!#REF!</definedName>
    <definedName name="ИтогоИзнос" localSheetId="22">'[1]Оборотная ведомость ТМЦ'!#REF!</definedName>
    <definedName name="ИтогоПо" localSheetId="22">'[1]Оборотная ведомость ТМЦ'!#REF!</definedName>
    <definedName name="ИтогОстатокКонец" localSheetId="22">'[1]Оборотная ведомость ТМЦ'!#REF!</definedName>
    <definedName name="ИтогОстатокНачало" localSheetId="22">'[1]Оборотная ведомость ТМЦ'!#REF!</definedName>
    <definedName name="ИтогОстСт" localSheetId="22">'[1]Оборотная ведомость ТМЦ'!#REF!</definedName>
    <definedName name="КолДебет" localSheetId="22">'[1]Оборотная ведомость ТМЦ'!#REF!</definedName>
    <definedName name="КолКонец" localSheetId="22">'[1]Оборотная ведомость ТМЦ'!#REF!</definedName>
    <definedName name="КолКредит" localSheetId="22">'[1]Оборотная ведомость ТМЦ'!#REF!</definedName>
    <definedName name="КолНачало" localSheetId="22">'[1]Оборотная ведомость ТМЦ'!#REF!</definedName>
    <definedName name="Номенклатура" localSheetId="22">'[1]Оборотная ведомость ТМЦ'!#REF!</definedName>
    <definedName name="Номер1" localSheetId="22">'[1]Оборотная ведомость ТМЦ'!#REF!</definedName>
    <definedName name="ОборотДебет" localSheetId="22">'[1]Оборотная ведомость ТМЦ'!#REF!</definedName>
    <definedName name="ОборотКредит" localSheetId="22">'[1]Оборотная ведомость ТМЦ'!#REF!</definedName>
    <definedName name="ОстатокКонец" localSheetId="22">'[1]Оборотная ведомость ТМЦ'!#REF!</definedName>
    <definedName name="ОстатокНачало" localSheetId="22">'[1]Оборотная ведомость ТМЦ'!#REF!</definedName>
    <definedName name="ОстатСтоим" localSheetId="22">'[1]Оборотная ведомость ТМЦ'!#REF!</definedName>
    <definedName name="ПартияДата" localSheetId="22">'[1]Оборотная ведомость ТМЦ'!#REF!</definedName>
    <definedName name="СчетМол" localSheetId="22">'[1]Оборотная ведомость ТМЦ'!#REF!</definedName>
    <definedName name="asd1" localSheetId="23">'[1]Оборотная ведомость ТМЦ'!#REF!</definedName>
    <definedName name="none" localSheetId="23">'[1]Оборотная ведомость ТМЦ'!#REF!</definedName>
    <definedName name="Валюта" localSheetId="23">'[1]Оборотная ведомость ТМЦ'!#REF!</definedName>
    <definedName name="Всего" localSheetId="23">'[1]Оборотная ведомость ТМЦ'!#REF!</definedName>
    <definedName name="ДатаЭкспл" localSheetId="23">'[1]Оборотная ведомость ТМЦ'!#REF!</definedName>
    <definedName name="Износ" localSheetId="23">'[1]Оборотная ведомость ТМЦ'!#REF!</definedName>
    <definedName name="ИтогКолНачало" localSheetId="23">'[1]Оборотная ведомость ТМЦ'!#REF!</definedName>
    <definedName name="ИтогОборотДебет" localSheetId="23">'[1]Оборотная ведомость ТМЦ'!#REF!</definedName>
    <definedName name="ИтогОборотКредит" localSheetId="23">'[1]Оборотная ведомость ТМЦ'!#REF!</definedName>
    <definedName name="ИтогоИзнос" localSheetId="23">'[1]Оборотная ведомость ТМЦ'!#REF!</definedName>
    <definedName name="ИтогоПо" localSheetId="23">'[1]Оборотная ведомость ТМЦ'!#REF!</definedName>
    <definedName name="ИтогОстатокКонец" localSheetId="23">'[1]Оборотная ведомость ТМЦ'!#REF!</definedName>
    <definedName name="ИтогОстатокНачало" localSheetId="23">'[1]Оборотная ведомость ТМЦ'!#REF!</definedName>
    <definedName name="ИтогОстСт" localSheetId="23">'[1]Оборотная ведомость ТМЦ'!#REF!</definedName>
    <definedName name="КолДебет" localSheetId="23">'[1]Оборотная ведомость ТМЦ'!#REF!</definedName>
    <definedName name="КолКонец" localSheetId="23">'[1]Оборотная ведомость ТМЦ'!#REF!</definedName>
    <definedName name="КолКредит" localSheetId="23">'[1]Оборотная ведомость ТМЦ'!#REF!</definedName>
    <definedName name="КолНачало" localSheetId="23">'[1]Оборотная ведомость ТМЦ'!#REF!</definedName>
    <definedName name="Номенклатура" localSheetId="23">'[1]Оборотная ведомость ТМЦ'!#REF!</definedName>
    <definedName name="Номер1" localSheetId="23">'[1]Оборотная ведомость ТМЦ'!#REF!</definedName>
    <definedName name="ОборотДебет" localSheetId="23">'[1]Оборотная ведомость ТМЦ'!#REF!</definedName>
    <definedName name="ОборотКредит" localSheetId="23">'[1]Оборотная ведомость ТМЦ'!#REF!</definedName>
    <definedName name="ОстатокКонец" localSheetId="23">'[1]Оборотная ведомость ТМЦ'!#REF!</definedName>
    <definedName name="ОстатокНачало" localSheetId="23">'[1]Оборотная ведомость ТМЦ'!#REF!</definedName>
    <definedName name="ОстатСтоим" localSheetId="23">'[1]Оборотная ведомость ТМЦ'!#REF!</definedName>
    <definedName name="ПартияДата" localSheetId="23">'[1]Оборотная ведомость ТМЦ'!#REF!</definedName>
    <definedName name="СчетМол" localSheetId="23">'[1]Оборотная ведомость ТМЦ'!#REF!</definedName>
    <definedName name="asd1" localSheetId="24">'[1]Оборотная ведомость ТМЦ'!#REF!</definedName>
    <definedName name="none" localSheetId="24">'[1]Оборотная ведомость ТМЦ'!#REF!</definedName>
    <definedName name="Валюта" localSheetId="24">'[1]Оборотная ведомость ТМЦ'!#REF!</definedName>
    <definedName name="Всего" localSheetId="24">'[1]Оборотная ведомость ТМЦ'!#REF!</definedName>
    <definedName name="ДатаЭкспл" localSheetId="24">'[1]Оборотная ведомость ТМЦ'!#REF!</definedName>
    <definedName name="Износ" localSheetId="24">'[1]Оборотная ведомость ТМЦ'!#REF!</definedName>
    <definedName name="ИтогКолНачало" localSheetId="24">'[1]Оборотная ведомость ТМЦ'!#REF!</definedName>
    <definedName name="ИтогОборотДебет" localSheetId="24">'[1]Оборотная ведомость ТМЦ'!#REF!</definedName>
    <definedName name="ИтогОборотКредит" localSheetId="24">'[1]Оборотная ведомость ТМЦ'!#REF!</definedName>
    <definedName name="ИтогоИзнос" localSheetId="24">'[1]Оборотная ведомость ТМЦ'!#REF!</definedName>
    <definedName name="ИтогоПо" localSheetId="24">'[1]Оборотная ведомость ТМЦ'!#REF!</definedName>
    <definedName name="ИтогОстатокКонец" localSheetId="24">'[1]Оборотная ведомость ТМЦ'!#REF!</definedName>
    <definedName name="ИтогОстатокНачало" localSheetId="24">'[1]Оборотная ведомость ТМЦ'!#REF!</definedName>
    <definedName name="ИтогОстСт" localSheetId="24">'[1]Оборотная ведомость ТМЦ'!#REF!</definedName>
    <definedName name="КолДебет" localSheetId="24">'[1]Оборотная ведомость ТМЦ'!#REF!</definedName>
    <definedName name="КолКонец" localSheetId="24">'[1]Оборотная ведомость ТМЦ'!#REF!</definedName>
    <definedName name="КолКредит" localSheetId="24">'[1]Оборотная ведомость ТМЦ'!#REF!</definedName>
    <definedName name="КолНачало" localSheetId="24">'[1]Оборотная ведомость ТМЦ'!#REF!</definedName>
    <definedName name="Номенклатура" localSheetId="24">'[1]Оборотная ведомость ТМЦ'!#REF!</definedName>
    <definedName name="Номер1" localSheetId="24">'[1]Оборотная ведомость ТМЦ'!#REF!</definedName>
    <definedName name="ОборотДебет" localSheetId="24">'[1]Оборотная ведомость ТМЦ'!#REF!</definedName>
    <definedName name="ОборотКредит" localSheetId="24">'[1]Оборотная ведомость ТМЦ'!#REF!</definedName>
    <definedName name="ОстатокКонец" localSheetId="24">'[1]Оборотная ведомость ТМЦ'!#REF!</definedName>
    <definedName name="ОстатокНачало" localSheetId="24">'[1]Оборотная ведомость ТМЦ'!#REF!</definedName>
    <definedName name="ОстатСтоим" localSheetId="24">'[1]Оборотная ведомость ТМЦ'!#REF!</definedName>
    <definedName name="ПартияДата" localSheetId="24">'[1]Оборотная ведомость ТМЦ'!#REF!</definedName>
    <definedName name="СчетМол" localSheetId="24">'[1]Оборотная ведомость ТМЦ'!#REF!</definedName>
    <definedName name="asd1" localSheetId="25">'[1]Оборотная ведомость ТМЦ'!#REF!</definedName>
    <definedName name="none" localSheetId="25">'[1]Оборотная ведомость ТМЦ'!#REF!</definedName>
    <definedName name="Валюта" localSheetId="25">'[1]Оборотная ведомость ТМЦ'!#REF!</definedName>
    <definedName name="Всего" localSheetId="25">'[1]Оборотная ведомость ТМЦ'!#REF!</definedName>
    <definedName name="ДатаЭкспл" localSheetId="25">'[1]Оборотная ведомость ТМЦ'!#REF!</definedName>
    <definedName name="Износ" localSheetId="25">'[1]Оборотная ведомость ТМЦ'!#REF!</definedName>
    <definedName name="ИтогКолНачало" localSheetId="25">'[1]Оборотная ведомость ТМЦ'!#REF!</definedName>
    <definedName name="ИтогОборотДебет" localSheetId="25">'[1]Оборотная ведомость ТМЦ'!#REF!</definedName>
    <definedName name="ИтогОборотКредит" localSheetId="25">'[1]Оборотная ведомость ТМЦ'!#REF!</definedName>
    <definedName name="ИтогоИзнос" localSheetId="25">'[1]Оборотная ведомость ТМЦ'!#REF!</definedName>
    <definedName name="ИтогоПо" localSheetId="25">'[1]Оборотная ведомость ТМЦ'!#REF!</definedName>
    <definedName name="ИтогОстатокКонец" localSheetId="25">'[1]Оборотная ведомость ТМЦ'!#REF!</definedName>
    <definedName name="ИтогОстатокНачало" localSheetId="25">'[1]Оборотная ведомость ТМЦ'!#REF!</definedName>
    <definedName name="ИтогОстСт" localSheetId="25">'[1]Оборотная ведомость ТМЦ'!#REF!</definedName>
    <definedName name="КолДебет" localSheetId="25">'[1]Оборотная ведомость ТМЦ'!#REF!</definedName>
    <definedName name="КолКонец" localSheetId="25">'[1]Оборотная ведомость ТМЦ'!#REF!</definedName>
    <definedName name="КолКредит" localSheetId="25">'[1]Оборотная ведомость ТМЦ'!#REF!</definedName>
    <definedName name="КолНачало" localSheetId="25">'[1]Оборотная ведомость ТМЦ'!#REF!</definedName>
    <definedName name="Номенклатура" localSheetId="25">'[1]Оборотная ведомость ТМЦ'!#REF!</definedName>
    <definedName name="Номер1" localSheetId="25">'[1]Оборотная ведомость ТМЦ'!#REF!</definedName>
    <definedName name="ОборотДебет" localSheetId="25">'[1]Оборотная ведомость ТМЦ'!#REF!</definedName>
    <definedName name="ОборотКредит" localSheetId="25">'[1]Оборотная ведомость ТМЦ'!#REF!</definedName>
    <definedName name="ОстатокКонец" localSheetId="25">'[1]Оборотная ведомость ТМЦ'!#REF!</definedName>
    <definedName name="ОстатокНачало" localSheetId="25">'[1]Оборотная ведомость ТМЦ'!#REF!</definedName>
    <definedName name="ОстатСтоим" localSheetId="25">'[1]Оборотная ведомость ТМЦ'!#REF!</definedName>
    <definedName name="ПартияДата" localSheetId="25">'[1]Оборотная ведомость ТМЦ'!#REF!</definedName>
    <definedName name="СчетМол" localSheetId="25">'[1]Оборотная ведомость ТМЦ'!#REF!</definedName>
    <definedName name="asd1" localSheetId="26">'[1]Оборотная ведомость ТМЦ'!#REF!</definedName>
    <definedName name="none" localSheetId="26">'[1]Оборотная ведомость ТМЦ'!#REF!</definedName>
    <definedName name="Валюта" localSheetId="26">'[1]Оборотная ведомость ТМЦ'!#REF!</definedName>
    <definedName name="Всего" localSheetId="26">'[1]Оборотная ведомость ТМЦ'!#REF!</definedName>
    <definedName name="ДатаЭкспл" localSheetId="26">'[1]Оборотная ведомость ТМЦ'!#REF!</definedName>
    <definedName name="Износ" localSheetId="26">'[1]Оборотная ведомость ТМЦ'!#REF!</definedName>
    <definedName name="ИтогКолНачало" localSheetId="26">'[1]Оборотная ведомость ТМЦ'!#REF!</definedName>
    <definedName name="ИтогОборотДебет" localSheetId="26">'[1]Оборотная ведомость ТМЦ'!#REF!</definedName>
    <definedName name="ИтогОборотКредит" localSheetId="26">'[1]Оборотная ведомость ТМЦ'!#REF!</definedName>
    <definedName name="ИтогоИзнос" localSheetId="26">'[1]Оборотная ведомость ТМЦ'!#REF!</definedName>
    <definedName name="ИтогоПо" localSheetId="26">'[1]Оборотная ведомость ТМЦ'!#REF!</definedName>
    <definedName name="ИтогОстатокКонец" localSheetId="26">'[1]Оборотная ведомость ТМЦ'!#REF!</definedName>
    <definedName name="ИтогОстатокНачало" localSheetId="26">'[1]Оборотная ведомость ТМЦ'!#REF!</definedName>
    <definedName name="ИтогОстСт" localSheetId="26">'[1]Оборотная ведомость ТМЦ'!#REF!</definedName>
    <definedName name="КолДебет" localSheetId="26">'[1]Оборотная ведомость ТМЦ'!#REF!</definedName>
    <definedName name="КолКонец" localSheetId="26">'[1]Оборотная ведомость ТМЦ'!#REF!</definedName>
    <definedName name="КолКредит" localSheetId="26">'[1]Оборотная ведомость ТМЦ'!#REF!</definedName>
    <definedName name="КолНачало" localSheetId="26">'[1]Оборотная ведомость ТМЦ'!#REF!</definedName>
    <definedName name="Номенклатура" localSheetId="26">'[1]Оборотная ведомость ТМЦ'!#REF!</definedName>
    <definedName name="Номер1" localSheetId="26">'[1]Оборотная ведомость ТМЦ'!#REF!</definedName>
    <definedName name="ОборотДебет" localSheetId="26">'[1]Оборотная ведомость ТМЦ'!#REF!</definedName>
    <definedName name="ОборотКредит" localSheetId="26">'[1]Оборотная ведомость ТМЦ'!#REF!</definedName>
    <definedName name="ОстатокКонец" localSheetId="26">'[1]Оборотная ведомость ТМЦ'!#REF!</definedName>
    <definedName name="ОстатокНачало" localSheetId="26">'[1]Оборотная ведомость ТМЦ'!#REF!</definedName>
    <definedName name="ОстатСтоим" localSheetId="26">'[1]Оборотная ведомость ТМЦ'!#REF!</definedName>
    <definedName name="ПартияДата" localSheetId="26">'[1]Оборотная ведомость ТМЦ'!#REF!</definedName>
    <definedName name="СчетМол" localSheetId="26">'[1]Оборотная ведомость ТМЦ'!#REF!</definedName>
    <definedName name="asd1" localSheetId="27">'[1]Оборотная ведомость ТМЦ'!#REF!</definedName>
    <definedName name="none" localSheetId="27">'[1]Оборотная ведомость ТМЦ'!#REF!</definedName>
    <definedName name="Валюта" localSheetId="27">'[1]Оборотная ведомость ТМЦ'!#REF!</definedName>
    <definedName name="Всего" localSheetId="27">'[1]Оборотная ведомость ТМЦ'!#REF!</definedName>
    <definedName name="ДатаЭкспл" localSheetId="27">'[1]Оборотная ведомость ТМЦ'!#REF!</definedName>
    <definedName name="Износ" localSheetId="27">'[1]Оборотная ведомость ТМЦ'!#REF!</definedName>
    <definedName name="ИтогКолНачало" localSheetId="27">'[1]Оборотная ведомость ТМЦ'!#REF!</definedName>
    <definedName name="ИтогОборотДебет" localSheetId="27">'[1]Оборотная ведомость ТМЦ'!#REF!</definedName>
    <definedName name="ИтогОборотКредит" localSheetId="27">'[1]Оборотная ведомость ТМЦ'!#REF!</definedName>
    <definedName name="ИтогоИзнос" localSheetId="27">'[1]Оборотная ведомость ТМЦ'!#REF!</definedName>
    <definedName name="ИтогоПо" localSheetId="27">'[1]Оборотная ведомость ТМЦ'!#REF!</definedName>
    <definedName name="ИтогОстатокКонец" localSheetId="27">'[1]Оборотная ведомость ТМЦ'!#REF!</definedName>
    <definedName name="ИтогОстатокНачало" localSheetId="27">'[1]Оборотная ведомость ТМЦ'!#REF!</definedName>
    <definedName name="ИтогОстСт" localSheetId="27">'[1]Оборотная ведомость ТМЦ'!#REF!</definedName>
    <definedName name="КолДебет" localSheetId="27">'[1]Оборотная ведомость ТМЦ'!#REF!</definedName>
    <definedName name="КолКонец" localSheetId="27">'[1]Оборотная ведомость ТМЦ'!#REF!</definedName>
    <definedName name="КолКредит" localSheetId="27">'[1]Оборотная ведомость ТМЦ'!#REF!</definedName>
    <definedName name="КолНачало" localSheetId="27">'[1]Оборотная ведомость ТМЦ'!#REF!</definedName>
    <definedName name="Номенклатура" localSheetId="27">'[1]Оборотная ведомость ТМЦ'!#REF!</definedName>
    <definedName name="Номер1" localSheetId="27">'[1]Оборотная ведомость ТМЦ'!#REF!</definedName>
    <definedName name="ОборотДебет" localSheetId="27">'[1]Оборотная ведомость ТМЦ'!#REF!</definedName>
    <definedName name="ОборотКредит" localSheetId="27">'[1]Оборотная ведомость ТМЦ'!#REF!</definedName>
    <definedName name="ОстатокКонец" localSheetId="27">'[1]Оборотная ведомость ТМЦ'!#REF!</definedName>
    <definedName name="ОстатокНачало" localSheetId="27">'[1]Оборотная ведомость ТМЦ'!#REF!</definedName>
    <definedName name="ОстатСтоим" localSheetId="27">'[1]Оборотная ведомость ТМЦ'!#REF!</definedName>
    <definedName name="ПартияДата" localSheetId="27">'[1]Оборотная ведомость ТМЦ'!#REF!</definedName>
    <definedName name="СчетМол" localSheetId="27">'[1]Оборотная ведомость ТМЦ'!#REF!</definedName>
  </definedNames>
  <calcPr fullCalcOnLoad="1"/>
</workbook>
</file>

<file path=xl/sharedStrings.xml><?xml version="1.0" encoding="utf-8"?>
<sst xmlns="http://schemas.openxmlformats.org/spreadsheetml/2006/main" count="3813" uniqueCount="279">
  <si>
    <t>Расчёт нормативных затрат на реализацию общеобразовательных  программ дошкольного образования для МБДОУ детский сад № 5</t>
  </si>
  <si>
    <t xml:space="preserve">       Для расчета нормативных затрат на реализацию общеобразовательных программ дошкольного образования необходимо определение значения показателя объема (качества) муниципальных услуг, который расчитывается по формуле:</t>
  </si>
  <si>
    <t xml:space="preserve">СГК  оч = </t>
  </si>
  <si>
    <t>К оч х 12 - В оч х 4 + П оч х 4</t>
  </si>
  <si>
    <t>, где</t>
  </si>
  <si>
    <t>СГК оч - среднегодовое количество воспитанников очередного года</t>
  </si>
  <si>
    <t xml:space="preserve">К оч - контигент обучающихся по состоянию на 1 января очередного финансового года. </t>
  </si>
  <si>
    <t xml:space="preserve">     Источником информации для расчета значения показателя является данные статистической формы  № 85 - К " Сведения деятельности организации, осуществляющей образовательную деятельность по образовательным программа дошкольного образования, присмотр и уход за детьми"</t>
  </si>
  <si>
    <t>В оч - ожидаемый выпуск воспитанников в очередном финансовом году</t>
  </si>
  <si>
    <t>П оч - ожидаемый прием воспитанников в очередном финансовом году</t>
  </si>
  <si>
    <t xml:space="preserve">Численность воспитанников на 01.01.2020 год   на основании отчета 85 - К                                        (К оч)   </t>
  </si>
  <si>
    <t>Прием воспитанников по приказу    (К оч)</t>
  </si>
  <si>
    <t>Ожидаемый выпуск воспитанников в 2020 году             (В оч)</t>
  </si>
  <si>
    <t>Прием воспитанников на  01.09.2020 г.  по тарификации        (П оч)</t>
  </si>
  <si>
    <t>Прием воспитанников по приказу        (П оч)</t>
  </si>
  <si>
    <t>Среднегодовая численность воспитанников для расчета       (СГК оч)</t>
  </si>
  <si>
    <t>1. Норматив затрат на оказание услуги по реализации "Содержание детей" состоит из нормативов разработанных по группам расходов, и расчитывается по формуле:</t>
  </si>
  <si>
    <t>N сд. = N кну+N сни+N пнз+N уc</t>
  </si>
  <si>
    <t>где:</t>
  </si>
  <si>
    <t>N общ - нормативные затраты на оказание услуги;</t>
  </si>
  <si>
    <t>N ку - нормативные затраты на оказание коммунальных услуг</t>
  </si>
  <si>
    <t>N сни - услуги на содержание объектов недвижимого имущества</t>
  </si>
  <si>
    <t>N пнз - услуги на прочие нормативные затраты</t>
  </si>
  <si>
    <t>N ус - услуги связи</t>
  </si>
  <si>
    <t>Показатель</t>
  </si>
  <si>
    <t xml:space="preserve">Среднегодовая численность воспитанников </t>
  </si>
  <si>
    <t>Норматив затрат на одного воспитанника в год, руб.</t>
  </si>
  <si>
    <t xml:space="preserve">Общая сумма затрат, руб. </t>
  </si>
  <si>
    <t>Утвержденный коэффициент к нормативу затрат</t>
  </si>
  <si>
    <t>Общий объём затрат  согласно базоваго норматива</t>
  </si>
  <si>
    <t>N ку</t>
  </si>
  <si>
    <t>N сни</t>
  </si>
  <si>
    <t>N пнз</t>
  </si>
  <si>
    <t>N ус</t>
  </si>
  <si>
    <t>N от2</t>
  </si>
  <si>
    <t>Nобщ</t>
  </si>
  <si>
    <t>Для регулирования утвержденного бюджета к нормативу затрат на реализацию услуги  " Содержание детей" применен  коэффициент 1,04</t>
  </si>
  <si>
    <t>1.1. Расчет нормативных затрат на коммунальные услуги (N ку)</t>
  </si>
  <si>
    <t>Наименование ресурса</t>
  </si>
  <si>
    <t>Ед. изм.</t>
  </si>
  <si>
    <t>Установленный лимит потребления</t>
  </si>
  <si>
    <t>Тариф, руб.</t>
  </si>
  <si>
    <t>Плановые затраты, руб.</t>
  </si>
  <si>
    <t>Оплата отопления и технологич.нужд</t>
  </si>
  <si>
    <t>Г/кал</t>
  </si>
  <si>
    <t>Оплата потребления газа</t>
  </si>
  <si>
    <t>м3</t>
  </si>
  <si>
    <t>Оплата потребления элект.энергии</t>
  </si>
  <si>
    <t>Квт</t>
  </si>
  <si>
    <t>Оплата водоснабжения</t>
  </si>
  <si>
    <t>ИТОГО</t>
  </si>
  <si>
    <t>Для регулирования утвержденного бюджета к нормативу затрат на коммунальные услуги применен понижающий коэффициент 0,55</t>
  </si>
  <si>
    <t>1.2. Расчет нормативных затрат на содержание недвижимого имущества (N сни)</t>
  </si>
  <si>
    <t>Объем</t>
  </si>
  <si>
    <t>Тариф</t>
  </si>
  <si>
    <t>Оплата содержания помещения (вывоз ТБО, дератизация)</t>
  </si>
  <si>
    <t>Промывка и опресовка</t>
  </si>
  <si>
    <t>количество систем</t>
  </si>
  <si>
    <t>Текущий ремонт</t>
  </si>
  <si>
    <t>Охрана</t>
  </si>
  <si>
    <t>Земельный налог</t>
  </si>
  <si>
    <t>Налог на имущество</t>
  </si>
  <si>
    <t>Для регулирования утвержденного бюджета к нормативу затрат на содержание недвижимого имущества применен понижающий коэффициент 0,74</t>
  </si>
  <si>
    <t>1.3. Расчет нормативных затрат на прочие услуги (N пнз)</t>
  </si>
  <si>
    <t>Оплата за негативное воздействие на окружающую среду</t>
  </si>
  <si>
    <t>Прочие услуги</t>
  </si>
  <si>
    <t>Для регулирования утвержденного бюджета к нормативу затрат на прочие услуги  применен понижающий коэффициент 0,71</t>
  </si>
  <si>
    <t>1.4. Расчет норматива затрат на услуги связи (N ус)</t>
  </si>
  <si>
    <t>Наименование</t>
  </si>
  <si>
    <t>Кол-во телефонных номеров, каналов передачи</t>
  </si>
  <si>
    <t xml:space="preserve">Количество мес. услуги </t>
  </si>
  <si>
    <t>Плановые затраты на год</t>
  </si>
  <si>
    <t>Абонентская плата</t>
  </si>
  <si>
    <t>Повременная оплата</t>
  </si>
  <si>
    <t>Услуги интернета</t>
  </si>
  <si>
    <t>Итого</t>
  </si>
  <si>
    <t>Для регулирования утвержденного бюджета к нормативу затрат на услуги связи  применен понижающий коэффициент 0,44</t>
  </si>
  <si>
    <t>2. Норматив затрат на оказание услуги по реализации "Присмотр и уход" состоит из суточных норм питания, разработанных СанПин, среднегодовой численности воспитанников, количества дней функционирования организации в год и стоимости одного детодня (N пу)</t>
  </si>
  <si>
    <t>Общий объём затрат на питание согласно базоваго норматива</t>
  </si>
  <si>
    <t>Отклонение</t>
  </si>
  <si>
    <t>Продукты питания</t>
  </si>
  <si>
    <t>Для регулирования утвержденного бюджета к нормативу затрат на продукты питания  применен понижающий коэффициент 0,71</t>
  </si>
  <si>
    <t>3. Итоговый расчет размера субсидии на выполнение муниципального задания на реализацию общеобразовательной программы дошкольного образования для Муниципального бюджетного дошкольного образовательного учреждения детского сада № 5</t>
  </si>
  <si>
    <r>
      <rPr>
        <sz val="10"/>
        <rFont val="Times New Roman"/>
        <family val="1"/>
      </rPr>
      <t>S усл = (N сд  х К п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+ N пу х К п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  х СГК оч, где</t>
    </r>
  </si>
  <si>
    <t>S усл. - размер утвержденной субсидии на выполнение муниципального задания</t>
  </si>
  <si>
    <t>N сд. - норматив затрат на содержание детей в дошкольных образовательных организациях</t>
  </si>
  <si>
    <r>
      <rPr>
        <sz val="10"/>
        <rFont val="Times New Roman"/>
        <family val="1"/>
      </rPr>
      <t>Кп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утвержденный коэффициент к нормативу затрат на содержание детей в дошкольных образовательных организациях                             </t>
    </r>
  </si>
  <si>
    <t>N пу. - норматив затрат на присмотр и уход в дошкольных образовательных организациях</t>
  </si>
  <si>
    <r>
      <rPr>
        <sz val="10"/>
        <rFont val="Times New Roman"/>
        <family val="1"/>
      </rPr>
      <t>Кп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утвержденный коэффициент к нормативу затрат наприсмотр и уход в дошкольных образовательных организациях                             </t>
    </r>
  </si>
  <si>
    <t>Норматив затрат на содержание детей в дошкольных образовательных организациях                               (N сд)</t>
  </si>
  <si>
    <r>
      <rPr>
        <sz val="10"/>
        <rFont val="Times New Roman"/>
        <family val="1"/>
      </rPr>
      <t>Утвержденный коэффициент к нормативу затрат                                (Кп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)</t>
    </r>
  </si>
  <si>
    <t>Норматив затрат на присмотр и уход в дошкольных образовательных организациях  (N пу)</t>
  </si>
  <si>
    <r>
      <rPr>
        <sz val="10"/>
        <rFont val="Times New Roman"/>
        <family val="1"/>
      </rPr>
      <t>Утвержденный коэффициент к нормативу затрат                                (Кп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</si>
  <si>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Размер утвержденной субсидии на выполнение муниципального задания                                       (S усл.)</t>
  </si>
  <si>
    <t xml:space="preserve">        4. Размер субвенции муниципальному бюджетному дошкольному образовательному учреждению детскому саду № 5 на осуществление государственных полномочий в области образования по финансовому обеспечению государственных гарантий реализации прав на получение общедоступного и бесплатного дошкольного образования, включая расходы на оплату труда, приобретение учебников и учебных пособий, средств обучения, за исключением расходов на содержание зданий и оплату коммунальных услуг в соотвествии с нормативами финансового обеспечения образовательной деятельности (нормативами подушевого финансирования расходов), установленными законом Каснодарского края о краевом бюджете на соотвествующий финансовый год, и определяются по формуле:</t>
  </si>
  <si>
    <t>С оу = Сн + Сс + С д, где</t>
  </si>
  <si>
    <t>С оу - объем субвенции</t>
  </si>
  <si>
    <t>С н - объем субвенции по нормативам подушевого финансирования расходов</t>
  </si>
  <si>
    <t>С с - объем субвенции с учетом норматива дополнительного стимулирования отдельных категорий работников</t>
  </si>
  <si>
    <t>С д - объем субвенции с учетом нормативадля осуществления доплат педагогическим работникам</t>
  </si>
  <si>
    <t>объем субвенции по нормативам подушевого финансирования расходов (С н)</t>
  </si>
  <si>
    <t>объем субвенции с учетом норматива дополнительного стимулирования отдельных категорий работников (С с)</t>
  </si>
  <si>
    <t>объем субвенции с учетом нормативадля осуществления доплат педагогическим работникам (С д)</t>
  </si>
  <si>
    <t>объем субвенции  (С оу)</t>
  </si>
  <si>
    <t>кр.госстандарт,226,310</t>
  </si>
  <si>
    <t>краев.стимул</t>
  </si>
  <si>
    <t>краевой бюджет</t>
  </si>
  <si>
    <t>Фонд заработной платы обслуживающего персонала От2</t>
  </si>
  <si>
    <t>ст.211</t>
  </si>
  <si>
    <t>ст.213</t>
  </si>
  <si>
    <t>Расчёт нормативных затрат на реализацию общеобразовательных  программ дошкольного образования для МБДОУ детский сад № 8</t>
  </si>
  <si>
    <t>Прием воспитанников по приказу       (П оч)</t>
  </si>
  <si>
    <t>Для регулирования утвержденного бюджета к нормативу затрат на реализацию услуги  " Содержание детей" применен й коэффициент 0,94</t>
  </si>
  <si>
    <t>Для регулирования утвержденного бюджета к нормативу затрат на коммунальные услуги применен понижающий коэффициент 0,78</t>
  </si>
  <si>
    <t>Для регулирования утвержденного бюджета к нормативу затрат на содержание недвижимого имущества применен понижающий коэффициент 0,72</t>
  </si>
  <si>
    <t>Для регулирования утвержденного бюджета к нормативу затрат на услуги связи  применен понижающий коэффициент 0,41</t>
  </si>
  <si>
    <t>3. Итоговый расчет размера субсидии на выполнение муниципального задания на реализацию общеобразовательной программы дошкольного образования для Муниципального бюджетного дошкольного образовательного учреждения детского сада № 8</t>
  </si>
  <si>
    <t xml:space="preserve">        4. Размер субвенции муниципальному бюджетному дошкольному образовательному учреждению детскому саду № 2 на осуществление государственных полномочий в области образования по финансовому обеспечению государственных гарантий реализации прав на получение общедоступного и бесплатного дошкольного образования, включая расходы на оплату труда, приобретение учебников и учебных пособий, средств обучения, за исключением расходов на содержание зданий и оплату коммунальных услуг в соотвествии с нормативами финансового обеспечения образовательной деятельности (нормативами подушевого финансирования расходов), установленными законом Каснодарского края о краевом бюджете на соотвествующий финансовый год, и определяются по формуле:</t>
  </si>
  <si>
    <t>Расчёт нормативных затрат на реализацию общеобразовательных  программ дошкольного образования для МБДОУ детский сад № 9</t>
  </si>
  <si>
    <t>Прием воспитанников по приказу     (К оч)</t>
  </si>
  <si>
    <t>Для регулирования утвержденного бюджета к нормативу затрат на реализацию услуги  " Содержание детей" применен повышающий коэффициент 1,3</t>
  </si>
  <si>
    <t>Для регулирования утвержденного бюджета к нормативу затрат на коммунальные услуги применен понижающий коэффициент 0,75</t>
  </si>
  <si>
    <t>Для регулирования утвержденного бюджета к нормативу затрат на содержание недвижимого имущества применен понижающий коэффициент 0,71</t>
  </si>
  <si>
    <t>Для регулирования утвержденного бюджета к нормативу затрат на услуги связи  применен понижающий коэффициент 0,54</t>
  </si>
  <si>
    <t>3. Итоговый расчет размера субсидии на выполнение муниципального задания на реализацию общеобразовательной программы дошкольного образования для Муниципального бюджетного дошкольного образовательного учреждения детского сада № 9</t>
  </si>
  <si>
    <t>Расчёт нормативных затрат на реализацию общеобразовательных  программ дошкольного образования для МБДОУ центр развития ребенка - детский сад № 10</t>
  </si>
  <si>
    <t>Прием воспитанников на  01.09.2020г.  по тарификации        (П оч)</t>
  </si>
  <si>
    <t>Прием воспитанников по приказу      (П оч)</t>
  </si>
  <si>
    <t>Для регулирования утвержденного бюджета к нормативу затрат на реализацию услуги  " Содержание детей" применен повышающий коэффициент 1,04</t>
  </si>
  <si>
    <t>Для регулирования утвержденного бюджета к нормативу затрат на коммунальные услуги применен понижающий коэффициент 0,83</t>
  </si>
  <si>
    <t>Для регулирования утвержденного бюджета к нормативу затрат на содержание недвижимого имущества применен понижающий коэффициент 0,68</t>
  </si>
  <si>
    <t>Для регулирования утвержденного бюджета к нормативу затрат на услуги связи  применен понижающий коэффициент 0,43</t>
  </si>
  <si>
    <t>3. Итоговый расчет размера субсидии на выполнение муниципального задания на реализацию общеобразовательной программы дошкольного образования для Муниципального бюджетного дошкольного образовательного учреждения центра развития ребенка - детского сада № 10</t>
  </si>
  <si>
    <t xml:space="preserve">        4. Размер субвенции муниципальному бюджетному дошкольному образовательному учреждению центру развития ребенка детскому саду № 10 на осуществление государственных полномочий в области образования по финансовому обеспечению государственных гарантий реализации прав на получение общедоступного и бесплатного дошкольного образования, включая расходы на оплату труда, приобретение учебников и учебных пособий, средств обучения, за исключением расходов на содержание зданий и оплату коммунальных услуг в соотвествии с нормативами финансового обеспечения образовательной деятельности (нормативами подушевого финансирования расходов), установленными законом Каснодарского края о краевом бюджете на соотвествующий финансовый год, и определяются по формуле:</t>
  </si>
  <si>
    <t>Расчёт нормативных затрат на реализацию общеобразовательных  программ дошкольного образования для МБДОУ детский сад № 13</t>
  </si>
  <si>
    <t>Прием воспитанников по приказу №     (К оч)</t>
  </si>
  <si>
    <t>Для регулирования утвержденного бюджета к нормативу затрат на реализацию услуги  " Содержание детей" применен повышающий коэффициент 1,17</t>
  </si>
  <si>
    <t>Для регулирования утвержденного бюджета к нормативу затрат на коммунальные услуги применен понижающий коэффициент 0,81</t>
  </si>
  <si>
    <t>Для регулирования утвержденного бюджета к нормативу затрат на содержание недвижимого имущества применен понижающий коэффициент 0,73</t>
  </si>
  <si>
    <t>3. Итоговый расчет размера субсидии на выполнение муниципального задания на реализацию общеобразовательной программы дошкольного образования для Муниципального бюджетного дошкольного образовательного учреждения детского сада № 13</t>
  </si>
  <si>
    <t xml:space="preserve">        4. Размер субвенции муниципальному бюджетному дошкольному образовательному учреждению детскому саду № 13 на осуществление государственных полномочий в области образования по финансовому обеспечению государственных гарантий реализации прав на получение общедоступного и бесплатного дошкольного образования, включая расходы на оплату труда, приобретение учебников и учебных пособий, средств обучения, за исключением расходов на содержание зданий и оплату коммунальных услуг в соотвествии с нормативами финансового обеспечения образовательной деятельности (нормативами подушевого финансирования расходов), установленными законом Каснодарского края о краевом бюджете на соотвествующий финансовый год, и определяются по формуле:</t>
  </si>
  <si>
    <t>Расчёт нормативных затрат на реализацию общеобразовательных  программ дошкольного образования для МБДОУ детский сад № 15</t>
  </si>
  <si>
    <t>Для регулирования утвержденного бюджета к нормативу затрат на реализацию услуги  " Содержание детей" применен  коэффициент 1,14</t>
  </si>
  <si>
    <t>Для регулирования утвержденного бюджета к нормативу затрат на услуги связи  применен понижающий коэффициент 0,52</t>
  </si>
  <si>
    <t>3. Итоговый расчет размера субсидии на выполнение муниципального задания на реализацию общеобразовательной программы дошкольного образования для Муниципального бюджетного дошкольного образовательного учреждения детского сада № 15</t>
  </si>
  <si>
    <t xml:space="preserve">        4. Размер субвенции муниципальному бюджетному дошкольному образовательному учреждению детскому саду № 15 на осуществление государственных полномочий в области образования по финансовому обеспечению государственных гарантий реализации прав на получение общедоступного и бесплатного дошкольного образования, включая расходы на оплату труда, приобретение учебников и учебных пособий, средств обучения, за исключением расходов на содержание зданий и оплату коммунальных услуг в соотвествии с нормативами финансового обеспечения образовательной деятельности (нормативами подушевого финансирования расходов), установленными законом Каснодарского края о краевом бюджете на соотвествующий финансовый год, и определяются по формуле:</t>
  </si>
  <si>
    <t>Расчёт нормативных затрат на реализацию общеобразовательных  программ дошкольного образования для МБДОУ детский сад № 16</t>
  </si>
  <si>
    <t>Прием воспитанников по приказу 19    (К оч)</t>
  </si>
  <si>
    <t>Для регулирования утвержденного бюджета к нормативу затрат на реализацию услуги  " Содержание детей" применен понижающий коэффициент 0,92</t>
  </si>
  <si>
    <t>Для регулирования утвержденного бюджета к нормативу затрат на коммунальные услуги применен понижающий коэффициент 0,67</t>
  </si>
  <si>
    <t>Для регулирования утвержденного бюджета к нормативу затрат на содержание недвижимого имущества применен понижающий коэффициент 0,67</t>
  </si>
  <si>
    <t>Для регулирования утвержденного бюджета к нормативу затрат на услуги связи  применен понижающий коэффициент 0,42</t>
  </si>
  <si>
    <t>3. Итоговый расчет размера субсидии на выполнение муниципального задания на реализацию общеобразовательной программы дошкольного образования для Муниципального бюджетного дошкольного образовательного учреждения детского сада № 16</t>
  </si>
  <si>
    <t xml:space="preserve">        4. Размер субвенции муниципальному бюджетному дошкольному образовательному учреждению детскому саду № 16 на осуществление государственных полномочий в области образования по финансовому обеспечению государственных гарантий реализации прав на получение общедоступного и бесплатного дошкольного образования, включая расходы на оплату труда, приобретение учебников и учебных пособий, средств обучения, за исключением расходов на содержание зданий и оплату коммунальных услуг в соотвествии с нормативами финансового обеспечения образовательной деятельности (нормативами подушевого финансирования расходов), установленными законом Каснодарского края о краевом бюджете на соотвествующий финансовый год, и определяются по формуле:</t>
  </si>
  <si>
    <t>Расчёт нормативных затрат на реализацию общеобразовательных  программ дошкольного образования для МБДОУ детский сад № 20</t>
  </si>
  <si>
    <t>Для регулирования утвержденного бюджета к нормативу затрат на реализацию услуги  " Содержание детей" применен повышающий коэффициент 1,11</t>
  </si>
  <si>
    <t>Для регулирования утвержденного бюджета к нормативу затрат на коммунальные услуги применен понижающий коэффициент 0,94</t>
  </si>
  <si>
    <t>3. Итоговый расчет размера субсидии на выполнение муниципального задания на реализацию общеобразовательной программы дошкольного образования для Муниципального бюджетного дошкольного образовательного учреждения детского сада № 20</t>
  </si>
  <si>
    <t xml:space="preserve">        4. Размер субвенции муниципальному бюджетному дошкольному образовательному учреждению детскому саду № 20 на осуществление государственных полномочий в области образования по финансовому обеспечению государственных гарантий реализации прав на получение общедоступного и бесплатного дошкольного образования, включая расходы на оплату труда, приобретение учебников и учебных пособий, средств обучения, за исключением расходов на содержание зданий и оплату коммунальных услуг в соотвествии с нормативами финансового обеспечения образовательной деятельности (нормативами подушевого финансирования расходов), установленными законом Каснодарского края о краевом бюджете на соотвествующий финансовый год, и определяются по формуле:</t>
  </si>
  <si>
    <t>Расчёт нормативных затрат на реализацию общеобразовательных  программ дошкольного образования для МБДОУ детский сад № 22</t>
  </si>
  <si>
    <t>Для регулирования утвержденного бюджета к нормативу затрат на реализацию услуги  " Содержание детей" применен повышающий коэффициент 1,22</t>
  </si>
  <si>
    <t>Для регулирования утвержденного бюджета к нормативу затрат на коммунальные услуги применен понижающий коэффициент 0,92</t>
  </si>
  <si>
    <t>Для регулирования утвержденного бюджета к нормативу затрат на содержание недвижимого имущества применен понижающий коэффициент 0,75</t>
  </si>
  <si>
    <t>Для регулирования утвержденного бюджета к нормативу затрат на прочие услуги  применен понижающийй коэффициент 0,71</t>
  </si>
  <si>
    <t>Для регулирования утвержденного бюджета к нормативу затрат на услуги связи  применен понижающий коэффициент 0,39</t>
  </si>
  <si>
    <t>3. Итоговый расчет размера субсидии на выполнение муниципального задания на реализацию общеобразовательной программы дошкольного образования для Муниципального муниципального дошкольного образовательного учреждения детского сада № 22</t>
  </si>
  <si>
    <t xml:space="preserve">        4. Размер субвенции муниципальному бюджетному дошкольному образовательному учреждению детскому саду № 22 на осуществление государственных полномочий в области образования по финансовому обеспечению государственных гарантий реализации прав на получение общедоступного и бесплатного дошкольного образования, включая расходы на оплату труда, приобретение учебников и учебных пособий, средств обучения, за исключением расходов на содержание зданий и оплату коммунальных услуг в соотвествии с нормативами финансового обеспечения образовательной деятельности (нормативами подушевого финансирования расходов), установленными законом Каснодарского края о краевом бюджете на соотвествующий финансовый год, и определяются по формуле:</t>
  </si>
  <si>
    <t>Расчёт нормативных затрат на реализацию общеобразовательных  программ дошкольного образования для МАДОУ детский сад № 23</t>
  </si>
  <si>
    <t>Для регулирования утвержденного бюджета к нормативу затрат на реализацию услуги  " Содержание детей" применен  коэффициент 1,0</t>
  </si>
  <si>
    <t>Для регулирования утвержденного бюджета к нормативу затрат на коммунальные услуги применен понижающий коэффициент 0,93</t>
  </si>
  <si>
    <t>3. Итоговый расчет размера субсидии на выполнение муниципального задания на реализацию общеобразовательной программы дошкольного образования для Муниципального автономного дошкольного образовательного учреждения детского сада № 23</t>
  </si>
  <si>
    <t xml:space="preserve">        4. Размер субвенции муниципальному автономному дошкольному образовательному учреждению детскому саду № 23 на осуществление государственных полномочий в области образования по финансовому обеспечению государственных гарантий реализации прав на получение общедоступного и бесплатного дошкольного образования, включая расходы на оплату труда, приобретение учебников и учебных пособий, средств обучения, за исключением расходов на содержание зданий и оплату коммунальных услуг в соотвествии с нормативами финансового обеспечения образовательной деятельности (нормативами подушевого финансирования расходов), установленными законом Каснодарского края о краевом бюджете на соотвествующий финансовый год, и определяются по формуле:</t>
  </si>
  <si>
    <t>Расчёт нормативных затрат на реализацию общеобразовательных  программ дошкольного образования для МБДОУ детский сад № 24</t>
  </si>
  <si>
    <t>Прием воспитанников по приказу   (К оч)</t>
  </si>
  <si>
    <t>Для регулирования утвержденного бюджета к нормативу затрат на реализацию услуги  " Содержание детей" применен понижающий коэффициент 0,77</t>
  </si>
  <si>
    <t>Для регулирования утвержденного бюджета к нормативу затрат на коммунальные услуги применен понижающий коэффициент 0,90</t>
  </si>
  <si>
    <t>3. Итоговый расчет размера субсидии на выполнение муниципального задания на реализацию общеобразовательной программы дошкольного образования для Муниципального муниципального дошкольного образовательного учреждения детского сада № 24</t>
  </si>
  <si>
    <t xml:space="preserve">        4. Размер субвенции муниципальному бюджетному дошкольному образовательному учреждению детскому саду № 24 на осуществление государственных полномочий в области образования по финансовому обеспечению государственных гарантий реализации прав на получение общедоступного и бесплатного дошкольного образования, включая расходы на оплату труда, приобретение учебников и учебных пособий, средств обучения, за исключением расходов на содержание зданий и оплату коммунальных услуг в соотвествии с нормативами финансового обеспечения образовательной деятельности (нормативами подушевого финансирования расходов), установленными законом Каснодарского края о краевом бюджете на соотвествующий финансовый год, и определяются по формуле:</t>
  </si>
  <si>
    <t>Расчёт нормативных затрат на реализацию общеобразовательных  программ дошкольного образования для МБДОУ детский сад № 25</t>
  </si>
  <si>
    <t>Для регулирования утвержденного бюджета к нормативу затрат на реализацию услуги  " Содержание детей" применен  коэффициент 1,09</t>
  </si>
  <si>
    <t>Для регулирования утвержденного бюджета к нормативу затрат на коммунальные услуги применен понижающий коэффициент 0,71</t>
  </si>
  <si>
    <t>3. Итоговый расчет размера субсидии на выполнение муниципального задания на реализацию общеобразовательной программы дошкольного образования для Муниципального муниципального дошкольного образовательного учреждения детского сада № 25</t>
  </si>
  <si>
    <t xml:space="preserve">        4. Размер субвенции муниципальному бюджетному дошкольному образовательному учреждению детскому саду № 25 на осуществление государственных полномочий в области образования по финансовому обеспечению государственных гарантий реализации прав на получение общедоступного и бесплатного дошкольного образования, включая расходы на оплату труда, приобретение учебников и учебных пособий, средств обучения, за исключением расходов на содержание зданий и оплату коммунальных услуг в соотвествии с нормативами финансового обеспечения образовательной деятельности (нормативами подушевого финансирования расходов), установленными законом Каснодарского края о краевом бюджете на соотвествующий финансовый год, и определяются по формуле:</t>
  </si>
  <si>
    <t>Расчёт нормативных затрат на реализацию общеобразовательных  программ дошкольного образования для МБДОУ детский сад № 26</t>
  </si>
  <si>
    <t>Ожидаемый выпуск воспитанников в 202 году             (В оч)</t>
  </si>
  <si>
    <t>Для регулирования утвержденного бюджета к нормативу затрат на реализацию услуги  " Содержание детей" применен повыщающий коэффициент 1,50</t>
  </si>
  <si>
    <t>3. Итоговый расчет размера субсидии на выполнение муниципального задания на реализацию общеобразовательной программы дошкольного образования для Муниципального муниципального дошкольного образовательного учреждения детского сада № 26</t>
  </si>
  <si>
    <t xml:space="preserve">        4. Размер субвенции муниципальному бюджетному дошкольному образовательному учреждению детскому саду № 26 на осуществление государственных полномочий в области образования по финансовому обеспечению государственных гарантий реализации прав на получение общедоступного и бесплатного дошкольного образования, включая расходы на оплату труда, приобретение учебников и учебных пособий, средств обучения, за исключением расходов на содержание зданий и оплату коммунальных услуг в соотвествии с нормативами финансового обеспечения образовательной деятельности (нормативами подушевого финансирования расходов), установленными законом Каснодарского края о краевом бюджете на соотвествующий финансовый год, и определяются по формуле:</t>
  </si>
  <si>
    <t>Расчёт нормативных затрат на реализацию общеобразовательных  программ дошкольного образования для МБДОУ детский сад № 27</t>
  </si>
  <si>
    <t>Для регулирования утвержденного бюджета к нормативу затрат на реализацию услуги  " Содержание детей" применен повышающий коэффициент 1,21</t>
  </si>
  <si>
    <t>3. Итоговый расчет размера субсидии на выполнение муниципального задания на реализацию общеобразовательной программы дошкольного образования для Муниципального муниципального дошкольного образовательного учреждения детского сада № 27</t>
  </si>
  <si>
    <t xml:space="preserve">        4. Размер субвенции муниципальному бюджетному дошкольному образовательному учреждению детскому саду № 27 на осуществление государственных полномочий в области образования по финансовому обеспечению государственных гарантий реализации прав на получение общедоступного и бесплатного дошкольного образования, включая расходы на оплату труда, приобретение учебников и учебных пособий, средств обучения, за исключением расходов на содержание зданий и оплату коммунальных услуг в соотвествии с нормативами финансового обеспечения образовательной деятельности (нормативами подушевого финансирования расходов), установленными законом Каснодарского края о краевом бюджете на соотвествующий финансовый год, и определяются по формуле:</t>
  </si>
  <si>
    <t>Расчёт нормативных затрат на реализацию общеобразовательных  программ дошкольного образования для МБДОУ детский сад № 28</t>
  </si>
  <si>
    <t>Для регулирования утвержденного бюджета к нормативу затрат на реализацию услуги  " Содержание детей" применен пповышающий коэффициент 1,16</t>
  </si>
  <si>
    <t>Для регулирования утвержденного бюджета к нормативу затрат на услуги связи  применен понижающий коэффициент 0,40</t>
  </si>
  <si>
    <t>3. Итоговый расчет размера субсидии на выполнение муниципального задания на реализацию общеобразовательной программы дошкольного образования для Муниципального муниципального дошкольного образовательного учреждения детского сада № 28</t>
  </si>
  <si>
    <t xml:space="preserve">        4. Размер субвенции муниципальному бюджетному дошкольному образовательному учреждению детскому саду № 28 на осуществление государственных полномочий в области образования по финансовому обеспечению государственных гарантий реализации прав на получение общедоступного и бесплатного дошкольного образования, включая расходы на оплату труда, приобретение учебников и учебных пособий, средств обучения, за исключением расходов на содержание зданий и оплату коммунальных услуг в соотвествии с нормативами финансового обеспечения образовательной деятельности (нормативами подушевого финансирования расходов), установленными законом Каснодарского края о краевом бюджете на соотвествующий финансовый год, и определяются по формуле:</t>
  </si>
  <si>
    <t>Расчёт нормативных затрат на реализацию общеобразовательных  программ дошкольного образования для МБДОУ детский сад № 29</t>
  </si>
  <si>
    <t>Прием воспитанников по приказу 9       (П оч)</t>
  </si>
  <si>
    <t>Для регулирования утвержденного бюджета к нормативу затрат на реализацию услуги  " Содержание детей" применен повышающий коэффициент 0,91</t>
  </si>
  <si>
    <t>Для регулирования утвержденного бюджета к нормативу затрат на коммунальные услуги применен понижающий коэффициент 0,63</t>
  </si>
  <si>
    <t>Для регулирования утвержденного бюджета к нормативу затрат на содержание недвижимого имущества применен понижающий коэффициент 0,64</t>
  </si>
  <si>
    <t>3. Итоговый расчет размера субсидии на выполнение муниципального задания на реализацию общеобразовательной программы дошкольного образования для Муниципального муниципального дошкольного образовательного учреждения детского сада № 29</t>
  </si>
  <si>
    <t xml:space="preserve">        4. Размер субвенции муниципальному бюджетному дошкольному образовательному учреждению детскому саду № 29 на осуществление государственных полномочий в области образования по финансовому обеспечению государственных гарантий реализации прав на получение общедоступного и бесплатного дошкольного образования, включая расходы на оплату труда, приобретение учебников и учебных пособий, средств обучения, за исключением расходов на содержание зданий и оплату коммунальных услуг в соотвествии с нормативами финансового обеспечения образовательной деятельности (нормативами подушевого финансирования расходов), установленными законом Каснодарского края о краевом бюджете на соотвествующий финансовый год, и определяются по формуле:</t>
  </si>
  <si>
    <t>Расчёт нормативных затрат на реализацию общеобразовательных  программ дошкольного образования для МБДОУ детский сад № 31</t>
  </si>
  <si>
    <t>Прием воспитанников по приказу    (П оч)</t>
  </si>
  <si>
    <t>Для регулирования утвержденного бюджета к нормативу затрат на реализацию услуги  " Содержание детей" применен повышающий коэффициент 1,26</t>
  </si>
  <si>
    <t>Для регулирования утвержденного бюджета к нормативу затрат на коммунальные услуги применен понижающий коэффициент 0,95</t>
  </si>
  <si>
    <t>3. Итоговый расчет размера субсидии на выполнение муниципального задания на реализацию общеобразовательной программы дошкольного образования для Муниципального муниципального дошкольного образовательного учреждения детского сада № 31</t>
  </si>
  <si>
    <t xml:space="preserve">        4. Размер субвенции муниципальному бюджетному дошкольному образовательному учреждению детскому саду № 31 на осуществление государственных полномочий в области образования по финансовому обеспечению государственных гарантий реализации прав на получение общедоступного и бесплатного дошкольного образования, включая расходы на оплату труда, приобретение учебников и учебных пособий, средств обучения, за исключением расходов на содержание зданий и оплату коммунальных услуг в соотвествии с нормативами финансового обеспечения образовательной деятельности (нормативами подушевого финансирования расходов), установленными законом Каснодарского края о краевом бюджете на соотвествующий финансовый год, и определяются по формуле:</t>
  </si>
  <si>
    <t>Расчёт нормативных затрат на реализацию общеобразовательных  программ дошкольного образования для МБДОУ детский сад № 32</t>
  </si>
  <si>
    <t>Прием воспитанников по приказу №       (П оч)</t>
  </si>
  <si>
    <t>Для регулирования утвержденного бюджета к нормативу затрат на реализацию услуги  " Содержание детей" применен понижающий коэффициент 0,81</t>
  </si>
  <si>
    <t>Для регулирования утвержденного бюджета к нормативу затрат на коммунальные услуги применен понижающий коэффициент 0,58</t>
  </si>
  <si>
    <t>Для регулирования утвержденного бюджета к нормативу затрат на содержание недвижимого имущества применен понижающий коэффициент 0,63</t>
  </si>
  <si>
    <t>3. Итоговый расчет размера субсидии на выполнение муниципального задания на реализацию общеобразовательной программы дошкольного образования для Муниципального муниципального дошкольного образовательного учреждения детского сада № 32</t>
  </si>
  <si>
    <t xml:space="preserve">        4. Размер субвенции муниципальному бюджетному дошкольному образовательному учреждению детскому саду № 32 на осуществление государственных полномочий в области образования по финансовому обеспечению государственных гарантий реализации прав на получение общедоступного и бесплатного дошкольного образования, включая расходы на оплату труда, приобретение учебников и учебных пособий, средств обучения, за исключением расходов на содержание зданий и оплату коммунальных услуг в соотвествии с нормативами финансового обеспечения образовательной деятельности (нормативами подушевого финансирования расходов), установленными законом Каснодарского края о краевом бюджете на соотвествующий финансовый год, и определяются по формуле:</t>
  </si>
  <si>
    <t>Расчёт нормативных затрат на реализацию общеобразовательных  программ дошкольного образования для МБДОУ детский сад № 33</t>
  </si>
  <si>
    <t>Прием воспитанников по        (П оч)</t>
  </si>
  <si>
    <t>Для регулирования утвержденного бюджета к нормативу затрат на реализацию услуги  " Содержание детей" применен понижающий коэффициент 0,79</t>
  </si>
  <si>
    <t>Для регулирования утвержденного бюджета к нормативу затрат на содержание недвижимого имущества применен понижающий коэффициент 0,65</t>
  </si>
  <si>
    <t>Для регулирования утвержденного бюджета к нормативу затрат на услуги связи  применен понижающий коэффициент 0,47</t>
  </si>
  <si>
    <t>3. Итоговый расчет размера субсидии на выполнение муниципального задания на реализацию общеобразовательной программы дошкольного образования для Муниципального муниципального дошкольного образовательного учреждения детского сада № 33</t>
  </si>
  <si>
    <t xml:space="preserve">        4. Размер субвенции муниципальному бюджетному дошкольному образовательному учреждению детскому саду № 33 на осуществление государственных полномочий в области образования по финансовому обеспечению государственных гарантий реализации прав на получение общедоступного и бесплатного дошкольного образования, включая расходы на оплату труда, приобретение учебников и учебных пособий, средств обучения, за исключением расходов на содержание зданий и оплату коммунальных услуг в соотвествии с нормативами финансового обеспечения образовательной деятельности (нормативами подушевого финансирования расходов), установленными законом Каснодарского края о краевом бюджете на соотвествующий финансовый год, и определяются по формуле:</t>
  </si>
  <si>
    <t>Расчёт нормативных затрат на реализацию общеобразовательных  программ дошкольного образования для МБДОУ детский сад № 34</t>
  </si>
  <si>
    <t>Для регулирования утвержденного бюджета к нормативу затрат на реализацию услуги  " Содержание детей" применен повышающий коэффициент 1,24</t>
  </si>
  <si>
    <t>Для регулирования утвержденного бюджета к нормативу затрат на коммунальные услуги применен понижающий коэффициент 0,89</t>
  </si>
  <si>
    <t>Для регулирования утвержденного бюджета к нормативу затрат на услуги связи  применен понижающий коэффициент 0,46</t>
  </si>
  <si>
    <t>3. Итоговый расчет размера субсидии на выполнение муниципального задания на реализацию общеобразовательной программы дошкольного образования для Муниципального муниципального дошкольного образовательного учреждения детского сада № 34</t>
  </si>
  <si>
    <t xml:space="preserve">        4. Размер субвенции муниципальному бюджетному дошкольному образовательному учреждению детскому саду № 34 на осуществление государственных полномочий в области образования по финансовому обеспечению государственных гарантий реализации прав на получение общедоступного и бесплатного дошкольного образования, включая расходы на оплату труда, приобретение учебников и учебных пособий, средств обучения, за исключением расходов на содержание зданий и оплату коммунальных услуг в соотвествии с нормативами финансового обеспечения образовательной деятельности (нормативами подушевого финансирования расходов), установленными законом Каснодарского края о краевом бюджете на соотвествующий финансовый год, и определяются по формуле:</t>
  </si>
  <si>
    <t>Расчёт нормативных затрат на реализацию общеобразовательных  программ дошкольного образования для МБДОУ детский сад № 36</t>
  </si>
  <si>
    <t>Для регулирования утвержденного бюджета к нормативу затрат на реализацию услуги  " Содержание детей" применен повышающий коэффициент 1,15</t>
  </si>
  <si>
    <t>Для регулирования утвержденного бюджета к нормативу затрат на коммунальные услуги применен понижающий коэффициент 0,74</t>
  </si>
  <si>
    <t>Для регулирования утвержденного бюджета к нормативу затрат насодержание недвижимого имущества применен понижающий коэффициент 0,75</t>
  </si>
  <si>
    <t>Для регулирования утвержденного бюджета к нормативу затрат на услуги связи  применен понижающий коэффициент 0,45</t>
  </si>
  <si>
    <t>3. Итоговый расчет размера субсидии на выполнение муниципального задания на реализацию общеобразовательной программы дошкольного образования для Муниципального муниципального дошкольного образовательного учреждения детского сада № 36</t>
  </si>
  <si>
    <t xml:space="preserve">        4. Размер субвенции муниципальному бюджетному дошкольному образовательному учреждению детскому саду № 36 на осуществление государственных полномочий в области образования по финансовому обеспечению государственных гарантий реализации прав на получение общедоступного и бесплатного дошкольного образования, включая расходы на оплату труда, приобретение учебников и учебных пособий, средств обучения, за исключением расходов на содержание зданий и оплату коммунальных услуг в соотвествии с нормативами финансового обеспечения образовательной деятельности (нормативами подушевого финансирования расходов), установленными законом Каснодарского края о краевом бюджете на соотвествующий финансовый год, и определяются по формуле:</t>
  </si>
  <si>
    <t>Расчёт нормативных затрат на реализацию общеобразовательных  программ дошкольного образования для МБДОУ детский сад № 37</t>
  </si>
  <si>
    <t>Для регулирования утвержденного бюджета к нормативу затрат на реализацию услуги  " Содержание детей" применен понижающий коэффициент 0,84</t>
  </si>
  <si>
    <t>Для регулирования утвержденного бюджета к нормативу затрат на прочие услуги  применен понижающий коэффициент 0,96</t>
  </si>
  <si>
    <t>Для регулирования утвержденного бюджета к нормативу затрат на услуги связи  применен понижающий коэффициент 0,60</t>
  </si>
  <si>
    <t>Для регулирования утвержденного бюджета к нормативу затрат на продукты питания  применен понижающий коэффициент 0,24</t>
  </si>
  <si>
    <t>3. Итоговый расчет размера субсидии на выполнение муниципального задания на реализацию общеобразовательной программы дошкольного образования для Муниципального муниципального дошкольного образовательного учреждения детского сада № 37</t>
  </si>
  <si>
    <t xml:space="preserve">        4. Размер субвенции муниципальному бюджетному дошкольному образовательному учреждению детскому саду № 37 на осуществление государственных полномочий в области образования по финансовому обеспечению государственных гарантий реализации прав на получение общедоступного и бесплатного дошкольного образования, включая расходы на оплату труда, приобретение учебников и учебных пособий, средств обучения, за исключением расходов на содержание зданий и оплату коммунальных услуг в соотвествии с нормативами финансового обеспечения образовательной деятельности (нормативами подушевого финансирования расходов), установленными законом Каснодарского края о краевом бюджете на соотвествующий финансовый год, и определяются по формуле:</t>
  </si>
  <si>
    <t>Расчёт нормативных затрат на реализацию общеобразовательных  программ дошкольного образования для МБДОУ детский сад № 39</t>
  </si>
  <si>
    <t>Для регулирования утвержденного бюджета к нормативу затрат на реализацию услуги  " Содержание детей" применен повышающий коэффициент 1,19</t>
  </si>
  <si>
    <t>Для регулирования утвержденного бюджета к нормативу затрат на коммунальные услуги применен понижающий коэффициент 0,85</t>
  </si>
  <si>
    <t>3. Итоговый расчет размера субсидии на выполнение муниципального задания на реализацию общеобразовательной программы дошкольного образования для Муниципального муниципального дошкольного образовательного учреждения детского сада № 39</t>
  </si>
  <si>
    <t xml:space="preserve">        4. Размер субвенции муниципальному бюджетному дошкольному образовательному учреждению детскому саду № 39 на осуществление государственных полномочий в области образования по финансовому обеспечению государственных гарантий реализации прав на получение общедоступного и бесплатного дошкольного образования, включая расходы на оплату труда, приобретение учебников и учебных пособий, средств обучения, за исключением расходов на содержание зданий и оплату коммунальных услуг в соотвествии с нормативами финансового обеспечения образовательной деятельности (нормативами подушевого финансирования расходов), установленными законом Каснодарского края о краевом бюджете на соотвествующий финансовый год, и определяются по формуле:</t>
  </si>
  <si>
    <t>Расчёт нормативных затрат на реализацию общеобразовательных  программ дошкольного образования для МБДОУ детский сад № 40</t>
  </si>
  <si>
    <t>Для регулирования утвержденного бюджета к нормативу затрат на реализацию услуги  " Содержание детей" применен понижающий коэффициент 1,11</t>
  </si>
  <si>
    <t>Для регулирования утвержденного бюджета к нормативу затрат на коммунальные услуги применен понижающий коэффициент 0,86</t>
  </si>
  <si>
    <t>,</t>
  </si>
  <si>
    <t>3. Итоговый расчет размера субсидии на выполнение муниципального задания на реализацию общеобразовательной программы дошкольного образования для Муниципального муниципального дошкольного образовательного учреждения детского сада № 40</t>
  </si>
  <si>
    <t xml:space="preserve">        4. Размер субвенции муниципальному бюджетному дошкольному образовательному учреждению детскому саду № 40 на осуществление государственных полномочий в области образования по финансовому обеспечению государственных гарантий реализации прав на получение общедоступного и бесплатного дошкольного образования, включая расходы на оплату труда, приобретение учебников и учебных пособий, средств обучения, за исключением расходов на содержание зданий и оплату коммунальных услуг в соотвествии с нормативами финансового обеспечения образовательной деятельности (нормативами подушевого финансирования расходов), установленными законом Каснодарского края о краевом бюджете на соотвествующий финансовый год, и определяются по формуле:</t>
  </si>
  <si>
    <t>Расчёт нормативных затрат на реализацию общеобразовательных  программ дошкольного образования для МБДОУ детский сад № 41</t>
  </si>
  <si>
    <t>Для регулирования утвержденного бюджета к нормативу затрат на коммунальные услуги применен понижающий коэффициент 0,96</t>
  </si>
  <si>
    <t>Для регулирования утвержденного бюджета к нормативу затрат на услуги связи  применен понижающий коэффициент 0,48</t>
  </si>
  <si>
    <t>3. Итоговый расчет размера субсидии на выполнение муниципального задания на реализацию общеобразовательной программы дошкольного образования для Муниципального муниципального дошкольного образовательного учреждения детского сада № 41</t>
  </si>
  <si>
    <t xml:space="preserve">        4. Размер субвенции муниципальному бюджетному дошкольному образовательному учреждению детскому саду № 41 на осуществление государственных полномочий в области образования по финансовому обеспечению государственных гарантий реализации прав на получение общедоступного и бесплатного дошкольного образования, включая расходы на оплату труда, приобретение учебников и учебных пособий, средств обучения, за исключением расходов на содержание зданий и оплату коммунальных услуг в соотвествии с нормативами финансового обеспечения образовательной деятельности (нормативами подушевого финансирования расходов), установленными законом Каснодарского края о краевом бюджете на соотвествующий финансовый год, и определяются по формуле:</t>
  </si>
  <si>
    <t>Расчёт нормативных затрат на реализацию общеобразовательных  программ дошкольного образования для МБДОУ детский сад № 42</t>
  </si>
  <si>
    <t>Для регулирования утвержденного бюджета к нормативу затрат на реализацию услуги  " Содержание детей" применен понижающий коэффициент 0,75</t>
  </si>
  <si>
    <t>Для регулирования утвержденного бюджета к нормативу затрат на коммунальные услуги применен понижающий коэффициент 0,61</t>
  </si>
  <si>
    <t>Для регулирования утвержденного бюджета к нормативу затрат на содержание недвижимого имущества применен понижающий коэффициент 0,62</t>
  </si>
  <si>
    <t>Для регулирования утвержденного бюджета к нормативу затрат на продукты питания  применен понижающий коэффициент 0,83</t>
  </si>
  <si>
    <t>3. Итоговый расчет размера субсидии на выполнение муниципального задания на реализацию общеобразовательной программы дошкольного образования для Муниципального муниципального дошкольного образовательного учреждения детского сада № 42</t>
  </si>
  <si>
    <t xml:space="preserve">        4. Размер субвенции муниципальному бюджетному дошкольному образовательному учреждению детскому саду № 42 на осуществление государственных полномочий в области образования по финансовому обеспечению государственных гарантий реализации прав на получение общедоступного и бесплатного дошкольного образования, включая расходы на оплату труда, приобретение учебников и учебных пособий, средств обучения, за исключением расходов на содержание зданий и оплату коммунальных услуг в соотвествии с нормативами финансового обеспечения образовательной деятельности (нормативами подушевого финансирования расходов), установленными законом Каснодарского края о краевом бюджете на соотвествующий финансовый год, и определяются по формуле:</t>
  </si>
  <si>
    <t>Расчёт нормативных затрат на реализацию общеобразовательных  программ дошкольного образования для МБДОУ детский сад № 43</t>
  </si>
  <si>
    <t>Прием воспитанников на  01.09.20198 г.  по тарификации        (П оч)</t>
  </si>
  <si>
    <t>Для регулирования утвержденного бюджета к нормативу затрат на реализацию услуги  " Содержание детей" применен понижающий коэффициент 0,85</t>
  </si>
  <si>
    <t>Для регулирования утвержденного бюджета к нормативу затрат на коммунальные услуги применен понижающий коэффициент 0,66</t>
  </si>
  <si>
    <t>3. Итоговый расчет размера субсидии на выполнение муниципального задания на реализацию общеобразовательной программы дошкольного образования для Муниципального муниципального дошкольного образовательного учреждения детского сада № 43</t>
  </si>
  <si>
    <t xml:space="preserve">        4. Размер субвенции муниципальному бюджетному дошкольному образовательному учреждению детскому саду № 43 на осуществление государственных полномочий в области образования по финансовому обеспечению государственных гарантий реализации прав на получение общедоступного и бесплатного дошкольного образования, включая расходы на оплату труда, приобретение учебников и учебных пособий, средств обучения, за исключением расходов на содержание зданий и оплату коммунальных услуг в соотвествии с нормативами финансового обеспечения образовательной деятельности (нормативами подушевого финансирования расходов), установленными законом Каснодарского края о краевом бюджете на соотвествующий финансовый год, и определяются по формуле:</t>
  </si>
  <si>
    <t>Расчёт нормативных затрат на реализацию общеобразовательных  программ дошкольного образования для МБДОУ детский сад № 44</t>
  </si>
  <si>
    <t>Для регулирования утвержденного бюджета к нормативу затрат на реализацию услуги  " Содержание детей" применен понижающий коэффициент 1,20</t>
  </si>
  <si>
    <t>Для регулирования утвержденного бюджета к нормативу затрат на коммунальные услуги применен понижающий коэффициент 0,87</t>
  </si>
  <si>
    <t>Для регулирования утвержденного бюджета к нормативу затрат на услуги связи  применен понижающий коэффициент 0,37</t>
  </si>
  <si>
    <t>3. Итоговый расчет размера субсидии на выполнение муниципального задания на реализацию общеобразовательной программы дошкольного образования для Муниципального муниципального дошкольного образовательного учреждения детского сада № 44</t>
  </si>
  <si>
    <t xml:space="preserve">        4. Размер субвенции муниципальному бюджетному дошкольному образовательному учреждению детскому саду № 44 на осуществление государственных полномочий в области образования по финансовому обеспечению государственных гарантий реализации прав на получение общедоступного и бесплатного дошкольного образования, включая расходы на оплату труда, приобретение учебников и учебных пособий, средств обучения, за исключением расходов на содержание зданий и оплату коммунальных услуг в соотвествии с нормативами финансового обеспечения образовательной деятельности (нормативами подушевого финансирования расходов), установленными законом Каснодарского края о краевом бюджете на соотвествующий финансовый год, и определяются по формуле: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</si>
</sst>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#,##0.00"/>
    <numFmt numFmtId="167" formatCode="0.00"/>
    <numFmt numFmtId="168" formatCode="#,##0"/>
  </numFmts>
  <fonts count="10">
    <font>
      <sz val="10"/>
      <name val="Arial Cyr"/>
      <family val="0"/>
    </font>
    <font>
      <sz val="10"/>
      <name val="Arial"/>
      <family val="0"/>
    </font>
    <font>
      <b/>
      <i/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NumberFormat="0" applyFill="0" applyBorder="0" applyAlignment="0" applyProtection="0"/>
  </cellStyleXfs>
  <cellXfs count="77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 vertical="center" wrapText="1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left" vertical="center" wrapText="1"/>
    </xf>
    <xf numFmtId="164" fontId="3" fillId="0" borderId="0" xfId="0" applyFont="1" applyBorder="1" applyAlignment="1">
      <alignment horizontal="right" vertical="center"/>
    </xf>
    <xf numFmtId="164" fontId="3" fillId="0" borderId="1" xfId="0" applyFont="1" applyBorder="1" applyAlignment="1">
      <alignment horizontal="center"/>
    </xf>
    <xf numFmtId="164" fontId="3" fillId="0" borderId="0" xfId="0" applyFont="1" applyBorder="1" applyAlignment="1">
      <alignment horizontal="left" vertical="center"/>
    </xf>
    <xf numFmtId="164" fontId="3" fillId="0" borderId="2" xfId="0" applyFont="1" applyBorder="1" applyAlignment="1">
      <alignment horizontal="center"/>
    </xf>
    <xf numFmtId="164" fontId="3" fillId="2" borderId="3" xfId="0" applyFont="1" applyFill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left" vertical="center" wrapText="1"/>
    </xf>
    <xf numFmtId="164" fontId="5" fillId="0" borderId="0" xfId="0" applyFont="1" applyAlignment="1">
      <alignment vertical="center" wrapText="1"/>
    </xf>
    <xf numFmtId="164" fontId="3" fillId="0" borderId="3" xfId="0" applyFont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 wrapText="1"/>
    </xf>
    <xf numFmtId="164" fontId="3" fillId="0" borderId="3" xfId="0" applyFont="1" applyBorder="1" applyAlignment="1">
      <alignment/>
    </xf>
    <xf numFmtId="165" fontId="3" fillId="2" borderId="3" xfId="0" applyNumberFormat="1" applyFont="1" applyFill="1" applyBorder="1" applyAlignment="1">
      <alignment vertical="center" wrapText="1"/>
    </xf>
    <xf numFmtId="166" fontId="3" fillId="0" borderId="3" xfId="0" applyNumberFormat="1" applyFont="1" applyBorder="1" applyAlignment="1">
      <alignment/>
    </xf>
    <xf numFmtId="166" fontId="3" fillId="0" borderId="3" xfId="0" applyNumberFormat="1" applyFont="1" applyBorder="1" applyAlignment="1">
      <alignment horizontal="center" vertical="center"/>
    </xf>
    <xf numFmtId="164" fontId="5" fillId="0" borderId="3" xfId="0" applyFont="1" applyFill="1" applyBorder="1" applyAlignment="1">
      <alignment/>
    </xf>
    <xf numFmtId="164" fontId="5" fillId="0" borderId="3" xfId="0" applyFont="1" applyBorder="1" applyAlignment="1">
      <alignment/>
    </xf>
    <xf numFmtId="166" fontId="5" fillId="0" borderId="3" xfId="0" applyNumberFormat="1" applyFont="1" applyBorder="1" applyAlignment="1">
      <alignment/>
    </xf>
    <xf numFmtId="166" fontId="5" fillId="0" borderId="3" xfId="0" applyNumberFormat="1" applyFont="1" applyBorder="1" applyAlignment="1">
      <alignment horizontal="center" vertical="center"/>
    </xf>
    <xf numFmtId="166" fontId="3" fillId="0" borderId="0" xfId="0" applyNumberFormat="1" applyFont="1" applyAlignment="1">
      <alignment/>
    </xf>
    <xf numFmtId="164" fontId="3" fillId="0" borderId="0" xfId="0" applyFont="1" applyBorder="1" applyAlignment="1">
      <alignment horizontal="left" wrapText="1"/>
    </xf>
    <xf numFmtId="164" fontId="3" fillId="0" borderId="3" xfId="0" applyFont="1" applyBorder="1" applyAlignment="1">
      <alignment horizontal="left" vertical="center" wrapText="1"/>
    </xf>
    <xf numFmtId="164" fontId="3" fillId="0" borderId="3" xfId="0" applyFont="1" applyBorder="1" applyAlignment="1">
      <alignment horizontal="center" vertical="center"/>
    </xf>
    <xf numFmtId="164" fontId="5" fillId="0" borderId="3" xfId="0" applyFont="1" applyBorder="1" applyAlignment="1">
      <alignment horizontal="right" vertical="center" wrapText="1"/>
    </xf>
    <xf numFmtId="164" fontId="5" fillId="0" borderId="3" xfId="0" applyFont="1" applyBorder="1" applyAlignment="1">
      <alignment horizontal="center" vertical="center"/>
    </xf>
    <xf numFmtId="167" fontId="3" fillId="0" borderId="3" xfId="0" applyNumberFormat="1" applyFont="1" applyBorder="1" applyAlignment="1">
      <alignment horizontal="center" vertical="center" wrapText="1"/>
    </xf>
    <xf numFmtId="167" fontId="5" fillId="0" borderId="3" xfId="0" applyNumberFormat="1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6" fontId="3" fillId="0" borderId="3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/>
    </xf>
    <xf numFmtId="166" fontId="5" fillId="0" borderId="3" xfId="0" applyNumberFormat="1" applyFont="1" applyBorder="1" applyAlignment="1">
      <alignment horizontal="center" vertical="center" wrapText="1"/>
    </xf>
    <xf numFmtId="166" fontId="5" fillId="0" borderId="0" xfId="0" applyNumberFormat="1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/>
    </xf>
    <xf numFmtId="164" fontId="4" fillId="0" borderId="3" xfId="0" applyFont="1" applyFill="1" applyBorder="1" applyAlignment="1">
      <alignment horizontal="center" vertical="center" wrapText="1"/>
    </xf>
    <xf numFmtId="164" fontId="4" fillId="0" borderId="3" xfId="0" applyFont="1" applyFill="1" applyBorder="1" applyAlignment="1">
      <alignment vertical="center"/>
    </xf>
    <xf numFmtId="164" fontId="4" fillId="0" borderId="3" xfId="0" applyFont="1" applyFill="1" applyBorder="1" applyAlignment="1">
      <alignment horizontal="center" vertical="center"/>
    </xf>
    <xf numFmtId="167" fontId="4" fillId="0" borderId="3" xfId="0" applyNumberFormat="1" applyFont="1" applyFill="1" applyBorder="1" applyAlignment="1">
      <alignment horizontal="center" vertical="center"/>
    </xf>
    <xf numFmtId="168" fontId="4" fillId="0" borderId="3" xfId="0" applyNumberFormat="1" applyFont="1" applyFill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/>
    </xf>
    <xf numFmtId="164" fontId="6" fillId="0" borderId="3" xfId="0" applyFont="1" applyBorder="1" applyAlignment="1">
      <alignment horizontal="right"/>
    </xf>
    <xf numFmtId="164" fontId="6" fillId="0" borderId="3" xfId="0" applyFont="1" applyBorder="1" applyAlignment="1">
      <alignment horizontal="center"/>
    </xf>
    <xf numFmtId="166" fontId="6" fillId="0" borderId="3" xfId="0" applyNumberFormat="1" applyFont="1" applyBorder="1" applyAlignment="1">
      <alignment horizontal="center"/>
    </xf>
    <xf numFmtId="164" fontId="3" fillId="0" borderId="3" xfId="0" applyFont="1" applyBorder="1" applyAlignment="1">
      <alignment wrapText="1"/>
    </xf>
    <xf numFmtId="164" fontId="5" fillId="0" borderId="3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left" wrapText="1"/>
    </xf>
    <xf numFmtId="167" fontId="4" fillId="2" borderId="3" xfId="0" applyNumberFormat="1" applyFont="1" applyFill="1" applyBorder="1" applyAlignment="1">
      <alignment horizontal="center" vertical="center" wrapText="1"/>
    </xf>
    <xf numFmtId="164" fontId="4" fillId="2" borderId="3" xfId="0" applyFont="1" applyFill="1" applyBorder="1" applyAlignment="1">
      <alignment horizontal="center" vertical="center" wrapText="1"/>
    </xf>
    <xf numFmtId="164" fontId="8" fillId="0" borderId="0" xfId="0" applyFont="1" applyAlignment="1">
      <alignment horizontal="left" wrapText="1"/>
    </xf>
    <xf numFmtId="166" fontId="3" fillId="2" borderId="3" xfId="0" applyNumberFormat="1" applyFont="1" applyFill="1" applyBorder="1" applyAlignment="1">
      <alignment horizontal="center" vertical="center" wrapText="1"/>
    </xf>
    <xf numFmtId="166" fontId="3" fillId="2" borderId="3" xfId="0" applyNumberFormat="1" applyFont="1" applyFill="1" applyBorder="1" applyAlignment="1">
      <alignment horizontal="center" vertical="center"/>
    </xf>
    <xf numFmtId="166" fontId="5" fillId="2" borderId="3" xfId="0" applyNumberFormat="1" applyFont="1" applyFill="1" applyBorder="1" applyAlignment="1">
      <alignment horizontal="center" vertical="center"/>
    </xf>
    <xf numFmtId="164" fontId="9" fillId="0" borderId="0" xfId="0" applyFont="1" applyAlignment="1">
      <alignment/>
    </xf>
    <xf numFmtId="164" fontId="8" fillId="0" borderId="0" xfId="0" applyFont="1" applyAlignment="1">
      <alignment/>
    </xf>
    <xf numFmtId="164" fontId="6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3" xfId="0" applyFont="1" applyBorder="1" applyAlignment="1">
      <alignment/>
    </xf>
    <xf numFmtId="166" fontId="4" fillId="0" borderId="3" xfId="0" applyNumberFormat="1" applyFont="1" applyBorder="1" applyAlignment="1">
      <alignment/>
    </xf>
    <xf numFmtId="164" fontId="6" fillId="0" borderId="3" xfId="0" applyFont="1" applyBorder="1" applyAlignment="1">
      <alignment/>
    </xf>
    <xf numFmtId="166" fontId="6" fillId="0" borderId="3" xfId="0" applyNumberFormat="1" applyFont="1" applyBorder="1" applyAlignment="1">
      <alignment/>
    </xf>
    <xf numFmtId="166" fontId="4" fillId="2" borderId="3" xfId="0" applyNumberFormat="1" applyFont="1" applyFill="1" applyBorder="1" applyAlignment="1">
      <alignment horizontal="center" vertical="center" wrapText="1"/>
    </xf>
    <xf numFmtId="166" fontId="4" fillId="2" borderId="3" xfId="0" applyNumberFormat="1" applyFont="1" applyFill="1" applyBorder="1" applyAlignment="1">
      <alignment horizontal="center" vertical="center"/>
    </xf>
    <xf numFmtId="166" fontId="6" fillId="2" borderId="3" xfId="0" applyNumberFormat="1" applyFont="1" applyFill="1" applyBorder="1" applyAlignment="1">
      <alignment horizontal="center" vertical="center"/>
    </xf>
    <xf numFmtId="164" fontId="5" fillId="0" borderId="0" xfId="0" applyFont="1" applyAlignment="1">
      <alignment/>
    </xf>
    <xf numFmtId="166" fontId="5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/>
    </xf>
    <xf numFmtId="166" fontId="4" fillId="0" borderId="3" xfId="0" applyNumberFormat="1" applyFont="1" applyBorder="1" applyAlignment="1">
      <alignment horizontal="center" vertical="center"/>
    </xf>
    <xf numFmtId="166" fontId="6" fillId="0" borderId="3" xfId="0" applyNumberFormat="1" applyFont="1" applyBorder="1" applyAlignment="1">
      <alignment horizontal="center" vertical="center"/>
    </xf>
    <xf numFmtId="167" fontId="3" fillId="2" borderId="3" xfId="0" applyNumberFormat="1" applyFont="1" applyFill="1" applyBorder="1" applyAlignment="1">
      <alignment horizontal="center" vertical="center" wrapText="1"/>
    </xf>
    <xf numFmtId="166" fontId="6" fillId="0" borderId="3" xfId="0" applyNumberFormat="1" applyFont="1" applyBorder="1" applyAlignment="1">
      <alignment horizontal="center" vertical="center" wrapText="1"/>
    </xf>
    <xf numFmtId="164" fontId="3" fillId="0" borderId="0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Книга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1;&#1072;&#1083;&#1072;&#1085;&#1089;.&#1089;&#1090;-&#1090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оротная ведомость ТМЦ (2)"/>
      <sheetName val="Оборотная ведомость ТМЦ"/>
      <sheetName val="Настройка"/>
      <sheetName val="Ошиб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M366"/>
  <sheetViews>
    <sheetView tabSelected="1" workbookViewId="0" topLeftCell="A106">
      <selection activeCell="A131" sqref="A131"/>
    </sheetView>
  </sheetViews>
  <sheetFormatPr defaultColWidth="8.00390625" defaultRowHeight="12.75"/>
  <cols>
    <col min="1" max="1" width="18.00390625" style="0" customWidth="1"/>
    <col min="2" max="2" width="13.625" style="0" customWidth="1"/>
    <col min="3" max="3" width="13.00390625" style="0" customWidth="1"/>
    <col min="4" max="4" width="12.375" style="0" customWidth="1"/>
    <col min="5" max="5" width="15.625" style="0" customWidth="1"/>
    <col min="6" max="6" width="12.75390625" style="0" customWidth="1"/>
    <col min="7" max="7" width="13.625" style="0" customWidth="1"/>
    <col min="8" max="16384" width="9.00390625" style="0" customWidth="1"/>
  </cols>
  <sheetData>
    <row r="2" spans="1:13" ht="46.5" customHeight="1">
      <c r="A2" s="1" t="s">
        <v>0</v>
      </c>
      <c r="B2" s="1"/>
      <c r="C2" s="1"/>
      <c r="D2" s="1"/>
      <c r="E2" s="1"/>
      <c r="F2" s="1"/>
      <c r="G2" s="1"/>
      <c r="H2" s="2"/>
      <c r="I2" s="2"/>
      <c r="J2" s="2"/>
      <c r="K2" s="3"/>
      <c r="L2" s="3"/>
      <c r="M2" s="3"/>
    </row>
    <row r="3" spans="1:1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40.5" customHeight="1">
      <c r="A4" s="4" t="s">
        <v>1</v>
      </c>
      <c r="B4" s="4"/>
      <c r="C4" s="4"/>
      <c r="D4" s="4"/>
      <c r="E4" s="4"/>
      <c r="F4" s="4"/>
      <c r="G4" s="4"/>
      <c r="H4" s="3"/>
      <c r="I4" s="3"/>
      <c r="J4" s="3"/>
      <c r="K4" s="3"/>
      <c r="L4" s="3"/>
      <c r="M4" s="3"/>
    </row>
    <row r="5" spans="1:13" ht="12.75" customHeight="1">
      <c r="A5" s="5" t="s">
        <v>2</v>
      </c>
      <c r="B5" s="6" t="s">
        <v>3</v>
      </c>
      <c r="C5" s="6"/>
      <c r="D5" s="7" t="s">
        <v>4</v>
      </c>
      <c r="E5" s="3"/>
      <c r="F5" s="3"/>
      <c r="G5" s="3"/>
      <c r="H5" s="3"/>
      <c r="I5" s="3"/>
      <c r="J5" s="3"/>
      <c r="K5" s="3"/>
      <c r="L5" s="3"/>
      <c r="M5" s="3"/>
    </row>
    <row r="6" spans="1:13" ht="12.75" customHeight="1">
      <c r="A6" s="5"/>
      <c r="B6" s="8">
        <v>12</v>
      </c>
      <c r="C6" s="8"/>
      <c r="D6" s="7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 s="3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 s="3" t="s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42" customHeight="1">
      <c r="A11" s="4" t="s">
        <v>7</v>
      </c>
      <c r="B11" s="4"/>
      <c r="C11" s="4"/>
      <c r="D11" s="4"/>
      <c r="E11" s="4"/>
      <c r="F11" s="4"/>
      <c r="G11" s="4"/>
      <c r="H11" s="3"/>
      <c r="I11" s="3"/>
      <c r="J11" s="3"/>
      <c r="K11" s="3"/>
      <c r="L11" s="3"/>
      <c r="M11" s="3"/>
    </row>
    <row r="12" spans="1:1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 s="3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3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99" customHeight="1">
      <c r="A17" s="9" t="s">
        <v>10</v>
      </c>
      <c r="B17" s="9" t="s">
        <v>11</v>
      </c>
      <c r="C17" s="10" t="s">
        <v>12</v>
      </c>
      <c r="D17" s="9" t="s">
        <v>13</v>
      </c>
      <c r="E17" s="9" t="s">
        <v>14</v>
      </c>
      <c r="F17" s="9" t="s">
        <v>15</v>
      </c>
      <c r="G17" s="3"/>
      <c r="H17" s="3"/>
      <c r="I17" s="3"/>
      <c r="J17" s="3"/>
      <c r="K17" s="3"/>
      <c r="L17" s="3"/>
      <c r="M17" s="3"/>
    </row>
    <row r="18" spans="1:13" ht="29.25" customHeight="1">
      <c r="A18" s="9">
        <v>69</v>
      </c>
      <c r="B18" s="10">
        <v>0</v>
      </c>
      <c r="C18" s="9">
        <v>17</v>
      </c>
      <c r="D18" s="9">
        <v>1</v>
      </c>
      <c r="E18" s="11">
        <v>0</v>
      </c>
      <c r="F18" s="11">
        <v>58</v>
      </c>
      <c r="G18" s="3"/>
      <c r="H18" s="3"/>
      <c r="I18" s="3"/>
      <c r="J18" s="3"/>
      <c r="K18" s="3"/>
      <c r="L18" s="3"/>
      <c r="M18" s="3"/>
    </row>
    <row r="19" spans="1:1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27" customHeight="1">
      <c r="A20" s="12" t="s">
        <v>16</v>
      </c>
      <c r="B20" s="12"/>
      <c r="C20" s="12"/>
      <c r="D20" s="12"/>
      <c r="E20" s="12"/>
      <c r="F20" s="12"/>
      <c r="G20" s="12"/>
      <c r="H20" s="13"/>
      <c r="I20" s="13"/>
      <c r="J20" s="13"/>
      <c r="K20" s="3"/>
      <c r="L20" s="3"/>
      <c r="M20" s="3"/>
    </row>
    <row r="21" spans="1:13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 s="3" t="s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3" t="s">
        <v>18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3" t="s">
        <v>19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 s="3" t="s">
        <v>20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 t="s">
        <v>21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 s="3" t="s">
        <v>22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s="3" t="s">
        <v>23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63.75" customHeight="1">
      <c r="A36" s="14" t="s">
        <v>24</v>
      </c>
      <c r="B36" s="15" t="s">
        <v>25</v>
      </c>
      <c r="C36" s="14" t="s">
        <v>26</v>
      </c>
      <c r="D36" s="14" t="s">
        <v>27</v>
      </c>
      <c r="E36" s="14" t="s">
        <v>28</v>
      </c>
      <c r="F36" s="14" t="s">
        <v>29</v>
      </c>
      <c r="G36" s="3"/>
      <c r="H36" s="3"/>
      <c r="I36" s="3"/>
      <c r="J36" s="3"/>
      <c r="K36" s="3"/>
      <c r="L36" s="3"/>
      <c r="M36" s="3"/>
    </row>
    <row r="37" spans="1:13" ht="12.75">
      <c r="A37" s="16" t="s">
        <v>30</v>
      </c>
      <c r="B37" s="17">
        <f>F18</f>
        <v>58</v>
      </c>
      <c r="C37" s="18">
        <f>F53</f>
        <v>8552.236206896552</v>
      </c>
      <c r="D37" s="18">
        <f>E53</f>
        <v>496029.7</v>
      </c>
      <c r="E37" s="19">
        <f>G53</f>
        <v>0.5475916059058561</v>
      </c>
      <c r="F37" s="18">
        <f aca="true" t="shared" si="0" ref="F37:F40">D37*E37</f>
        <v>271621.7</v>
      </c>
      <c r="G37" s="3"/>
      <c r="H37" s="3"/>
      <c r="I37" s="3"/>
      <c r="J37" s="3"/>
      <c r="K37" s="3"/>
      <c r="L37" s="3"/>
      <c r="M37" s="3"/>
    </row>
    <row r="38" spans="1:13" ht="12.75">
      <c r="A38" s="16" t="s">
        <v>31</v>
      </c>
      <c r="B38" s="17">
        <f aca="true" t="shared" si="1" ref="B38:B41">B37</f>
        <v>58</v>
      </c>
      <c r="C38" s="18">
        <f>F69</f>
        <v>16558.677586206897</v>
      </c>
      <c r="D38" s="18">
        <f>E69</f>
        <v>960403.3</v>
      </c>
      <c r="E38" s="19">
        <f>G69</f>
        <v>0.7405912703548603</v>
      </c>
      <c r="F38" s="18">
        <f t="shared" si="0"/>
        <v>711266.3</v>
      </c>
      <c r="G38" s="3"/>
      <c r="H38" s="3"/>
      <c r="I38" s="3"/>
      <c r="J38" s="3"/>
      <c r="K38" s="3"/>
      <c r="L38" s="3"/>
      <c r="M38" s="3"/>
    </row>
    <row r="39" spans="1:13" ht="12.75">
      <c r="A39" s="16" t="s">
        <v>32</v>
      </c>
      <c r="B39" s="17">
        <f t="shared" si="1"/>
        <v>58</v>
      </c>
      <c r="C39" s="18">
        <f>C78</f>
        <v>1281.3620689655172</v>
      </c>
      <c r="D39" s="18">
        <f>B78</f>
        <v>74319</v>
      </c>
      <c r="E39" s="19">
        <f>D78</f>
        <v>0.7117829895450692</v>
      </c>
      <c r="F39" s="18">
        <f t="shared" si="0"/>
        <v>52899</v>
      </c>
      <c r="G39" s="3"/>
      <c r="H39" s="3"/>
      <c r="I39" s="3"/>
      <c r="J39" s="3"/>
      <c r="K39" s="3"/>
      <c r="L39" s="3"/>
      <c r="M39" s="3"/>
    </row>
    <row r="40" spans="1:13" ht="12.75">
      <c r="A40" s="16" t="s">
        <v>33</v>
      </c>
      <c r="B40" s="17">
        <f t="shared" si="1"/>
        <v>58</v>
      </c>
      <c r="C40" s="18">
        <f>F88</f>
        <v>0</v>
      </c>
      <c r="D40" s="18">
        <f>E88</f>
        <v>0</v>
      </c>
      <c r="E40" s="19">
        <v>0</v>
      </c>
      <c r="F40" s="18">
        <f t="shared" si="0"/>
        <v>0</v>
      </c>
      <c r="G40" s="3"/>
      <c r="H40" s="3"/>
      <c r="I40" s="3"/>
      <c r="J40" s="3"/>
      <c r="K40" s="3"/>
      <c r="L40" s="3"/>
      <c r="M40" s="3"/>
    </row>
    <row r="41" spans="1:13" ht="12.75">
      <c r="A41" s="16" t="s">
        <v>34</v>
      </c>
      <c r="B41" s="17">
        <f t="shared" si="1"/>
        <v>58</v>
      </c>
      <c r="C41" s="18">
        <v>0</v>
      </c>
      <c r="D41" s="18">
        <v>0</v>
      </c>
      <c r="E41" s="19">
        <v>1</v>
      </c>
      <c r="F41" s="18">
        <f>D137</f>
        <v>559275</v>
      </c>
      <c r="G41" s="3"/>
      <c r="H41" s="3"/>
      <c r="I41" s="3"/>
      <c r="J41" s="3"/>
      <c r="K41" s="3"/>
      <c r="L41" s="3"/>
      <c r="M41" s="3"/>
    </row>
    <row r="42" spans="1:13" ht="12.75">
      <c r="A42" s="20" t="s">
        <v>35</v>
      </c>
      <c r="B42" s="21"/>
      <c r="C42" s="22">
        <f>D42/B40</f>
        <v>26392.275862068964</v>
      </c>
      <c r="D42" s="22">
        <f>SUM(D37:D40)</f>
        <v>1530752</v>
      </c>
      <c r="E42" s="23">
        <f>F42/D42</f>
        <v>1.0420120306881846</v>
      </c>
      <c r="F42" s="18">
        <f>F37+F38+F39+F40+F41</f>
        <v>1595062</v>
      </c>
      <c r="G42" s="24">
        <f>F42+E95</f>
        <v>2095607</v>
      </c>
      <c r="H42" s="3"/>
      <c r="I42" s="3"/>
      <c r="J42" s="3"/>
      <c r="K42" s="3"/>
      <c r="L42" s="3"/>
      <c r="M42" s="3"/>
    </row>
    <row r="43" spans="1:13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30.75" customHeight="1">
      <c r="A44" s="25" t="s">
        <v>36</v>
      </c>
      <c r="B44" s="25"/>
      <c r="C44" s="25"/>
      <c r="D44" s="25"/>
      <c r="E44" s="25"/>
      <c r="F44" s="25"/>
      <c r="G44" s="25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3" t="s">
        <v>37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63.75">
      <c r="A48" s="14" t="s">
        <v>38</v>
      </c>
      <c r="B48" s="14" t="s">
        <v>39</v>
      </c>
      <c r="C48" s="14" t="s">
        <v>40</v>
      </c>
      <c r="D48" s="14" t="s">
        <v>41</v>
      </c>
      <c r="E48" s="14" t="s">
        <v>42</v>
      </c>
      <c r="F48" s="14" t="s">
        <v>26</v>
      </c>
      <c r="G48" s="14" t="s">
        <v>28</v>
      </c>
      <c r="H48" s="3"/>
      <c r="I48" s="3"/>
      <c r="J48" s="3"/>
      <c r="K48" s="3"/>
      <c r="L48" s="3"/>
      <c r="M48" s="3"/>
    </row>
    <row r="49" spans="1:13" ht="25.5">
      <c r="A49" s="26" t="s">
        <v>43</v>
      </c>
      <c r="B49" s="27" t="s">
        <v>44</v>
      </c>
      <c r="C49" s="19">
        <v>0</v>
      </c>
      <c r="D49" s="19">
        <v>0</v>
      </c>
      <c r="E49" s="19">
        <v>0</v>
      </c>
      <c r="F49" s="19">
        <f aca="true" t="shared" si="2" ref="F49:F52">E49/$B$40</f>
        <v>0</v>
      </c>
      <c r="G49" s="19">
        <v>0</v>
      </c>
      <c r="H49" s="3"/>
      <c r="I49" s="3"/>
      <c r="J49" s="3"/>
      <c r="K49" s="3"/>
      <c r="L49" s="3"/>
      <c r="M49" s="3"/>
    </row>
    <row r="50" spans="1:13" ht="25.5">
      <c r="A50" s="26" t="s">
        <v>45</v>
      </c>
      <c r="B50" s="27" t="s">
        <v>46</v>
      </c>
      <c r="C50" s="19">
        <v>6613</v>
      </c>
      <c r="D50" s="19">
        <f aca="true" t="shared" si="3" ref="D50:D52">E50/C50</f>
        <v>12.57681838802359</v>
      </c>
      <c r="E50" s="19">
        <f>166341/2</f>
        <v>83170.5</v>
      </c>
      <c r="F50" s="19">
        <f t="shared" si="2"/>
        <v>1433.9741379310344</v>
      </c>
      <c r="G50" s="19">
        <f>(166341/2/E50)</f>
        <v>1</v>
      </c>
      <c r="H50" s="3"/>
      <c r="I50" s="3"/>
      <c r="J50" s="3"/>
      <c r="K50" s="3"/>
      <c r="L50" s="3"/>
      <c r="M50" s="3"/>
    </row>
    <row r="51" spans="1:13" ht="25.5">
      <c r="A51" s="26" t="s">
        <v>47</v>
      </c>
      <c r="B51" s="27" t="s">
        <v>48</v>
      </c>
      <c r="C51" s="19">
        <f>17200*90%</f>
        <v>15480</v>
      </c>
      <c r="D51" s="19">
        <f t="shared" si="3"/>
        <v>7.449302325581395</v>
      </c>
      <c r="E51" s="19">
        <f>128128*90%</f>
        <v>115315.2</v>
      </c>
      <c r="F51" s="19">
        <f t="shared" si="2"/>
        <v>1988.193103448276</v>
      </c>
      <c r="G51" s="19">
        <f>(128128*90%/E51)</f>
        <v>1</v>
      </c>
      <c r="H51" s="3"/>
      <c r="I51" s="3"/>
      <c r="J51" s="3"/>
      <c r="K51" s="3"/>
      <c r="L51" s="3"/>
      <c r="M51" s="3"/>
    </row>
    <row r="52" spans="1:13" ht="25.5">
      <c r="A52" s="26" t="s">
        <v>49</v>
      </c>
      <c r="B52" s="27" t="s">
        <v>46</v>
      </c>
      <c r="C52" s="19">
        <f>4950</f>
        <v>4950</v>
      </c>
      <c r="D52" s="19">
        <f t="shared" si="3"/>
        <v>60.10989898989899</v>
      </c>
      <c r="E52" s="19">
        <v>297544</v>
      </c>
      <c r="F52" s="19">
        <f t="shared" si="2"/>
        <v>5130.068965517241</v>
      </c>
      <c r="G52" s="19">
        <f>(73136/E52)</f>
        <v>0.24579894066087704</v>
      </c>
      <c r="H52" s="3"/>
      <c r="I52" s="3"/>
      <c r="J52" s="3"/>
      <c r="K52" s="3"/>
      <c r="L52" s="3"/>
      <c r="M52" s="3"/>
    </row>
    <row r="53" spans="1:13" ht="20.25" customHeight="1">
      <c r="A53" s="28" t="s">
        <v>50</v>
      </c>
      <c r="B53" s="29"/>
      <c r="C53" s="23"/>
      <c r="D53" s="23"/>
      <c r="E53" s="23">
        <f>E49+E50+E51+E52</f>
        <v>496029.7</v>
      </c>
      <c r="F53" s="23">
        <f>F49+F50+F51+F52</f>
        <v>8552.236206896552</v>
      </c>
      <c r="G53" s="23">
        <f>(166341/2+128128*90%+73136)/E53</f>
        <v>0.5475916059058561</v>
      </c>
      <c r="H53" s="3"/>
      <c r="I53" s="3"/>
      <c r="J53" s="3"/>
      <c r="K53" s="3"/>
      <c r="L53" s="3"/>
      <c r="M53" s="3"/>
    </row>
    <row r="54" spans="1:13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25.5" customHeight="1">
      <c r="A55" s="25" t="s">
        <v>51</v>
      </c>
      <c r="B55" s="25"/>
      <c r="C55" s="25"/>
      <c r="D55" s="25"/>
      <c r="E55" s="25"/>
      <c r="F55" s="25"/>
      <c r="G55" s="25"/>
      <c r="H55" s="3"/>
      <c r="I55" s="3"/>
      <c r="J55" s="3"/>
      <c r="K55" s="3"/>
      <c r="L55" s="3"/>
      <c r="M55" s="3"/>
    </row>
    <row r="56" spans="1:1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75">
      <c r="A57" s="3" t="s">
        <v>52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63.75">
      <c r="A59" s="14" t="s">
        <v>38</v>
      </c>
      <c r="B59" s="14" t="s">
        <v>39</v>
      </c>
      <c r="C59" s="14" t="s">
        <v>53</v>
      </c>
      <c r="D59" s="14" t="s">
        <v>54</v>
      </c>
      <c r="E59" s="14" t="s">
        <v>42</v>
      </c>
      <c r="F59" s="14" t="s">
        <v>26</v>
      </c>
      <c r="G59" s="14" t="s">
        <v>28</v>
      </c>
      <c r="H59" s="3"/>
      <c r="I59" s="3"/>
      <c r="J59" s="3"/>
      <c r="K59" s="3"/>
      <c r="L59" s="3"/>
      <c r="M59" s="3"/>
    </row>
    <row r="60" spans="1:13" ht="45.75" customHeight="1">
      <c r="A60" s="26" t="s">
        <v>55</v>
      </c>
      <c r="B60" s="30"/>
      <c r="C60" s="19"/>
      <c r="D60" s="19"/>
      <c r="E60" s="19">
        <v>49532</v>
      </c>
      <c r="F60" s="19">
        <f aca="true" t="shared" si="4" ref="F60:F68">E60/$B$40</f>
        <v>854</v>
      </c>
      <c r="G60" s="19">
        <f>(35256/E60)</f>
        <v>0.7117822821610272</v>
      </c>
      <c r="H60" s="3"/>
      <c r="I60" s="3"/>
      <c r="J60" s="3"/>
      <c r="K60" s="3"/>
      <c r="L60" s="3"/>
      <c r="M60" s="3"/>
    </row>
    <row r="61" spans="1:13" ht="25.5">
      <c r="A61" s="26" t="s">
        <v>56</v>
      </c>
      <c r="B61" s="30" t="s">
        <v>57</v>
      </c>
      <c r="C61" s="19">
        <v>2</v>
      </c>
      <c r="D61" s="19">
        <f>E61/C61</f>
        <v>0</v>
      </c>
      <c r="E61" s="19">
        <v>0</v>
      </c>
      <c r="F61" s="19">
        <f t="shared" si="4"/>
        <v>0</v>
      </c>
      <c r="G61" s="19" t="e">
        <f aca="true" t="shared" si="5" ref="G61:G62">(0/E61)</f>
        <v>#DIV/0!</v>
      </c>
      <c r="H61" s="3"/>
      <c r="I61" s="3"/>
      <c r="J61" s="3"/>
      <c r="K61" s="3"/>
      <c r="L61" s="3"/>
      <c r="M61" s="3"/>
    </row>
    <row r="62" spans="1:13" ht="18" customHeight="1">
      <c r="A62" s="26" t="s">
        <v>58</v>
      </c>
      <c r="B62" s="30"/>
      <c r="C62" s="19"/>
      <c r="D62" s="19"/>
      <c r="E62" s="19">
        <v>0</v>
      </c>
      <c r="F62" s="19">
        <f t="shared" si="4"/>
        <v>0</v>
      </c>
      <c r="G62" s="19" t="e">
        <f t="shared" si="5"/>
        <v>#DIV/0!</v>
      </c>
      <c r="H62" s="3"/>
      <c r="I62" s="3"/>
      <c r="J62" s="3"/>
      <c r="K62" s="3"/>
      <c r="L62" s="3"/>
      <c r="M62" s="3"/>
    </row>
    <row r="63" spans="1:13" ht="18" customHeight="1">
      <c r="A63" s="26" t="s">
        <v>59</v>
      </c>
      <c r="B63" s="30"/>
      <c r="C63" s="19"/>
      <c r="D63" s="19"/>
      <c r="E63" s="19">
        <v>809640</v>
      </c>
      <c r="F63" s="19">
        <f t="shared" si="4"/>
        <v>13959.310344827587</v>
      </c>
      <c r="G63" s="19">
        <f>(576292/E63)</f>
        <v>0.7117879551405563</v>
      </c>
      <c r="H63" s="3"/>
      <c r="I63" s="3"/>
      <c r="J63" s="3"/>
      <c r="K63" s="3"/>
      <c r="L63" s="3"/>
      <c r="M63" s="3"/>
    </row>
    <row r="64" spans="1:13" ht="25.5">
      <c r="A64" s="26" t="s">
        <v>43</v>
      </c>
      <c r="B64" s="27" t="s">
        <v>44</v>
      </c>
      <c r="C64" s="19">
        <f>0/2</f>
        <v>0</v>
      </c>
      <c r="D64" s="19">
        <v>0</v>
      </c>
      <c r="E64" s="19">
        <f>0/2</f>
        <v>0</v>
      </c>
      <c r="F64" s="19">
        <f t="shared" si="4"/>
        <v>0</v>
      </c>
      <c r="G64" s="19">
        <v>0</v>
      </c>
      <c r="H64" s="3"/>
      <c r="I64" s="3"/>
      <c r="J64" s="3"/>
      <c r="K64" s="3"/>
      <c r="L64" s="3"/>
      <c r="M64" s="3"/>
    </row>
    <row r="65" spans="1:13" ht="25.5">
      <c r="A65" s="26" t="s">
        <v>45</v>
      </c>
      <c r="B65" s="27" t="s">
        <v>46</v>
      </c>
      <c r="C65" s="19">
        <f>13226/2</f>
        <v>6613</v>
      </c>
      <c r="D65" s="19">
        <f aca="true" t="shared" si="6" ref="D65:D66">E65/C65</f>
        <v>12.57681838802359</v>
      </c>
      <c r="E65" s="19">
        <f>166341/2</f>
        <v>83170.5</v>
      </c>
      <c r="F65" s="19">
        <f t="shared" si="4"/>
        <v>1433.9741379310344</v>
      </c>
      <c r="G65" s="19">
        <f>166341/2/E65</f>
        <v>1</v>
      </c>
      <c r="H65" s="3"/>
      <c r="I65" s="3"/>
      <c r="J65" s="3"/>
      <c r="K65" s="3"/>
      <c r="L65" s="3"/>
      <c r="M65" s="3"/>
    </row>
    <row r="66" spans="1:13" ht="25.5">
      <c r="A66" s="26" t="s">
        <v>47</v>
      </c>
      <c r="B66" s="27" t="s">
        <v>48</v>
      </c>
      <c r="C66" s="19">
        <f>17200*10%</f>
        <v>1720</v>
      </c>
      <c r="D66" s="19">
        <f t="shared" si="6"/>
        <v>7.449302325581396</v>
      </c>
      <c r="E66" s="19">
        <f>128128*10%</f>
        <v>12812.800000000001</v>
      </c>
      <c r="F66" s="19">
        <f t="shared" si="4"/>
        <v>220.91034482758621</v>
      </c>
      <c r="G66" s="19">
        <f>(128128*10%/E66)</f>
        <v>1</v>
      </c>
      <c r="H66" s="3"/>
      <c r="I66" s="3"/>
      <c r="J66" s="3"/>
      <c r="K66" s="3"/>
      <c r="L66" s="3"/>
      <c r="M66" s="3"/>
    </row>
    <row r="67" spans="1:13" ht="25.5" customHeight="1">
      <c r="A67" s="26" t="s">
        <v>60</v>
      </c>
      <c r="B67" s="30"/>
      <c r="C67" s="19"/>
      <c r="D67" s="19"/>
      <c r="E67" s="19">
        <v>5248</v>
      </c>
      <c r="F67" s="19">
        <f t="shared" si="4"/>
        <v>90.48275862068965</v>
      </c>
      <c r="G67" s="19">
        <f>(3735/E67)</f>
        <v>0.7116996951219512</v>
      </c>
      <c r="H67" s="3"/>
      <c r="I67" s="3"/>
      <c r="J67" s="3"/>
      <c r="K67" s="3"/>
      <c r="L67" s="3"/>
      <c r="M67" s="3"/>
    </row>
    <row r="68" spans="1:13" ht="12.75">
      <c r="A68" s="26" t="s">
        <v>61</v>
      </c>
      <c r="B68" s="30"/>
      <c r="C68" s="19"/>
      <c r="D68" s="19"/>
      <c r="E68" s="19">
        <v>0</v>
      </c>
      <c r="F68" s="19">
        <f t="shared" si="4"/>
        <v>0</v>
      </c>
      <c r="G68" s="19" t="e">
        <f>(0/E68)</f>
        <v>#DIV/0!</v>
      </c>
      <c r="H68" s="3"/>
      <c r="I68" s="3"/>
      <c r="J68" s="3"/>
      <c r="K68" s="3"/>
      <c r="L68" s="3"/>
      <c r="M68" s="3"/>
    </row>
    <row r="69" spans="1:13" ht="24.75" customHeight="1">
      <c r="A69" s="28" t="s">
        <v>50</v>
      </c>
      <c r="B69" s="31"/>
      <c r="C69" s="23"/>
      <c r="D69" s="23"/>
      <c r="E69" s="23">
        <f>SUM(E60:E68)</f>
        <v>960403.3</v>
      </c>
      <c r="F69" s="23">
        <f>SUM(F60:F68)</f>
        <v>16558.677586206897</v>
      </c>
      <c r="G69" s="23">
        <f>(35256+576292+166341/2+128128*10%+3735)/E69</f>
        <v>0.7405912703548603</v>
      </c>
      <c r="H69" s="3"/>
      <c r="I69" s="3"/>
      <c r="J69" s="3"/>
      <c r="K69" s="3"/>
      <c r="L69" s="3"/>
      <c r="M69" s="3"/>
    </row>
    <row r="70" spans="1:13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30" customHeight="1">
      <c r="A71" s="25" t="s">
        <v>62</v>
      </c>
      <c r="B71" s="25"/>
      <c r="C71" s="25"/>
      <c r="D71" s="25"/>
      <c r="E71" s="25"/>
      <c r="F71" s="25"/>
      <c r="G71" s="25"/>
      <c r="H71" s="3"/>
      <c r="I71" s="3"/>
      <c r="J71" s="3"/>
      <c r="K71" s="3"/>
      <c r="L71" s="3"/>
      <c r="M71" s="3"/>
    </row>
    <row r="72" spans="1:13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>
      <c r="A73" s="3" t="s">
        <v>63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63.75">
      <c r="A75" s="14" t="s">
        <v>38</v>
      </c>
      <c r="B75" s="14" t="s">
        <v>42</v>
      </c>
      <c r="C75" s="14" t="s">
        <v>26</v>
      </c>
      <c r="D75" s="14" t="s">
        <v>28</v>
      </c>
      <c r="E75" s="32"/>
      <c r="F75" s="32"/>
      <c r="G75" s="32"/>
      <c r="H75" s="3"/>
      <c r="I75" s="3"/>
      <c r="J75" s="3"/>
      <c r="K75" s="3"/>
      <c r="L75" s="3"/>
      <c r="M75" s="3"/>
    </row>
    <row r="76" spans="1:13" ht="51">
      <c r="A76" s="26" t="s">
        <v>64</v>
      </c>
      <c r="B76" s="33">
        <v>812</v>
      </c>
      <c r="C76" s="19">
        <f aca="true" t="shared" si="7" ref="C76:C77">B76/$B$40</f>
        <v>14</v>
      </c>
      <c r="D76" s="19">
        <f>(578/B76)</f>
        <v>0.7118226600985221</v>
      </c>
      <c r="E76" s="34"/>
      <c r="F76" s="35"/>
      <c r="G76" s="35"/>
      <c r="H76" s="3"/>
      <c r="I76" s="3"/>
      <c r="J76" s="3"/>
      <c r="K76" s="3"/>
      <c r="L76" s="3"/>
      <c r="M76" s="3"/>
    </row>
    <row r="77" spans="1:13" ht="19.5" customHeight="1">
      <c r="A77" s="26" t="s">
        <v>65</v>
      </c>
      <c r="B77" s="33">
        <f>56052+17455</f>
        <v>73507</v>
      </c>
      <c r="C77" s="19">
        <f t="shared" si="7"/>
        <v>1267.3620689655172</v>
      </c>
      <c r="D77" s="19">
        <f>(39897+12424)/B77</f>
        <v>0.7117825513216428</v>
      </c>
      <c r="E77" s="34"/>
      <c r="F77" s="35"/>
      <c r="G77" s="35"/>
      <c r="H77" s="3"/>
      <c r="I77" s="3"/>
      <c r="J77" s="3"/>
      <c r="K77" s="3"/>
      <c r="L77" s="3"/>
      <c r="M77" s="3"/>
    </row>
    <row r="78" spans="1:13" ht="27" customHeight="1">
      <c r="A78" s="28" t="s">
        <v>50</v>
      </c>
      <c r="B78" s="36">
        <f>SUM(B76:B77)</f>
        <v>74319</v>
      </c>
      <c r="C78" s="36">
        <f>SUM(C76:C77)</f>
        <v>1281.3620689655172</v>
      </c>
      <c r="D78" s="36">
        <f>(39897+12424+578)/B78</f>
        <v>0.7117829895450692</v>
      </c>
      <c r="E78" s="37"/>
      <c r="F78" s="37"/>
      <c r="G78" s="37"/>
      <c r="H78" s="3"/>
      <c r="I78" s="3"/>
      <c r="J78" s="3"/>
      <c r="K78" s="3"/>
      <c r="L78" s="3"/>
      <c r="M78" s="3"/>
    </row>
    <row r="79" spans="1:13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29.25" customHeight="1">
      <c r="A80" s="25" t="s">
        <v>66</v>
      </c>
      <c r="B80" s="25"/>
      <c r="C80" s="25"/>
      <c r="D80" s="25"/>
      <c r="E80" s="25"/>
      <c r="F80" s="25"/>
      <c r="G80" s="25"/>
      <c r="H80" s="3"/>
      <c r="I80" s="3"/>
      <c r="J80" s="3"/>
      <c r="K80" s="3"/>
      <c r="L80" s="3"/>
      <c r="M80" s="3"/>
    </row>
    <row r="81" spans="1:13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 hidden="1">
      <c r="A82" s="3" t="s">
        <v>67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63.75" hidden="1">
      <c r="A84" s="38" t="s">
        <v>68</v>
      </c>
      <c r="B84" s="10" t="s">
        <v>69</v>
      </c>
      <c r="C84" s="14" t="s">
        <v>54</v>
      </c>
      <c r="D84" s="10" t="s">
        <v>70</v>
      </c>
      <c r="E84" s="39" t="s">
        <v>71</v>
      </c>
      <c r="F84" s="14" t="s">
        <v>26</v>
      </c>
      <c r="G84" s="14" t="s">
        <v>28</v>
      </c>
      <c r="H84" s="3"/>
      <c r="I84" s="3"/>
      <c r="J84" s="3"/>
      <c r="K84" s="3"/>
      <c r="L84" s="3"/>
      <c r="M84" s="3"/>
    </row>
    <row r="85" spans="1:13" ht="12.75" hidden="1">
      <c r="A85" s="40" t="s">
        <v>72</v>
      </c>
      <c r="B85" s="41">
        <v>1</v>
      </c>
      <c r="C85" s="42">
        <f aca="true" t="shared" si="8" ref="C85:C86">E85/D85/B85</f>
        <v>0</v>
      </c>
      <c r="D85" s="43">
        <v>12</v>
      </c>
      <c r="E85" s="44">
        <v>0</v>
      </c>
      <c r="F85" s="19">
        <f aca="true" t="shared" si="9" ref="F85:F88">E85/$B$40</f>
        <v>0</v>
      </c>
      <c r="G85" s="19" t="e">
        <f aca="true" t="shared" si="10" ref="G85:G87">(0/E85)</f>
        <v>#DIV/0!</v>
      </c>
      <c r="H85" s="3"/>
      <c r="I85" s="3"/>
      <c r="J85" s="3"/>
      <c r="K85" s="3"/>
      <c r="L85" s="3"/>
      <c r="M85" s="3"/>
    </row>
    <row r="86" spans="1:13" ht="12.75" hidden="1">
      <c r="A86" s="40" t="s">
        <v>73</v>
      </c>
      <c r="B86" s="39">
        <v>1</v>
      </c>
      <c r="C86" s="42">
        <f t="shared" si="8"/>
        <v>0</v>
      </c>
      <c r="D86" s="43">
        <v>12</v>
      </c>
      <c r="E86" s="44">
        <v>0</v>
      </c>
      <c r="F86" s="19">
        <f t="shared" si="9"/>
        <v>0</v>
      </c>
      <c r="G86" s="19" t="e">
        <f t="shared" si="10"/>
        <v>#DIV/0!</v>
      </c>
      <c r="H86" s="3"/>
      <c r="I86" s="3"/>
      <c r="J86" s="3"/>
      <c r="K86" s="3"/>
      <c r="L86" s="3"/>
      <c r="M86" s="3"/>
    </row>
    <row r="87" spans="1:13" ht="12.75" hidden="1">
      <c r="A87" s="40" t="s">
        <v>74</v>
      </c>
      <c r="B87" s="41"/>
      <c r="C87" s="41"/>
      <c r="D87" s="43"/>
      <c r="E87" s="44">
        <v>0</v>
      </c>
      <c r="F87" s="19">
        <f t="shared" si="9"/>
        <v>0</v>
      </c>
      <c r="G87" s="19" t="e">
        <f t="shared" si="10"/>
        <v>#DIV/0!</v>
      </c>
      <c r="H87" s="3"/>
      <c r="I87" s="3"/>
      <c r="J87" s="3"/>
      <c r="K87" s="3"/>
      <c r="L87" s="3"/>
      <c r="M87" s="3"/>
    </row>
    <row r="88" spans="1:13" ht="12.75" hidden="1">
      <c r="A88" s="45" t="s">
        <v>75</v>
      </c>
      <c r="B88" s="46"/>
      <c r="C88" s="46"/>
      <c r="D88" s="46"/>
      <c r="E88" s="47">
        <f>E85+E86+E87</f>
        <v>0</v>
      </c>
      <c r="F88" s="23">
        <f t="shared" si="9"/>
        <v>0</v>
      </c>
      <c r="G88" s="23" t="e">
        <f>0/E88</f>
        <v>#DIV/0!</v>
      </c>
      <c r="H88" s="3"/>
      <c r="I88" s="3"/>
      <c r="J88" s="3"/>
      <c r="K88" s="3"/>
      <c r="L88" s="3"/>
      <c r="M88" s="3"/>
    </row>
    <row r="89" spans="1:13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25.5" customHeight="1" hidden="1">
      <c r="A90" s="25" t="s">
        <v>76</v>
      </c>
      <c r="B90" s="25"/>
      <c r="C90" s="25"/>
      <c r="D90" s="25"/>
      <c r="E90" s="25"/>
      <c r="F90" s="25"/>
      <c r="G90" s="25"/>
      <c r="H90" s="3"/>
      <c r="I90" s="3"/>
      <c r="J90" s="3"/>
      <c r="K90" s="3"/>
      <c r="L90" s="3"/>
      <c r="M90" s="3"/>
    </row>
    <row r="91" spans="1:1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45" customHeight="1">
      <c r="A92" s="12" t="s">
        <v>77</v>
      </c>
      <c r="B92" s="12"/>
      <c r="C92" s="12"/>
      <c r="D92" s="12"/>
      <c r="E92" s="12"/>
      <c r="F92" s="12"/>
      <c r="G92" s="12"/>
      <c r="H92" s="13"/>
      <c r="I92" s="13"/>
      <c r="J92" s="13"/>
      <c r="K92" s="3"/>
      <c r="L92" s="3"/>
      <c r="M92" s="3"/>
    </row>
    <row r="93" spans="1:1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63.75">
      <c r="A94" s="14" t="s">
        <v>38</v>
      </c>
      <c r="B94" s="39" t="s">
        <v>71</v>
      </c>
      <c r="C94" s="14" t="s">
        <v>26</v>
      </c>
      <c r="D94" s="14" t="s">
        <v>28</v>
      </c>
      <c r="E94" s="48" t="s">
        <v>78</v>
      </c>
      <c r="F94" s="16" t="s">
        <v>79</v>
      </c>
      <c r="G94" s="3"/>
      <c r="H94" s="3"/>
      <c r="I94" s="3"/>
      <c r="J94" s="3"/>
      <c r="K94" s="3"/>
      <c r="L94" s="3"/>
      <c r="M94" s="3"/>
    </row>
    <row r="95" spans="1:13" ht="12.75">
      <c r="A95" s="49" t="s">
        <v>80</v>
      </c>
      <c r="B95" s="36">
        <v>703222</v>
      </c>
      <c r="C95" s="23">
        <f>B95/$B$40</f>
        <v>12124.51724137931</v>
      </c>
      <c r="D95" s="23">
        <f>500545/B95</f>
        <v>0.7117880271095045</v>
      </c>
      <c r="E95" s="18">
        <f>B95*D95</f>
        <v>500545</v>
      </c>
      <c r="F95" s="18">
        <f>E95-B95</f>
        <v>-202677</v>
      </c>
      <c r="G95" s="3"/>
      <c r="H95" s="3"/>
      <c r="I95" s="3"/>
      <c r="J95" s="3"/>
      <c r="K95" s="3"/>
      <c r="L95" s="3"/>
      <c r="M95" s="3"/>
    </row>
    <row r="96" spans="1:1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34.5" customHeight="1">
      <c r="A97" s="25" t="s">
        <v>81</v>
      </c>
      <c r="B97" s="25"/>
      <c r="C97" s="25"/>
      <c r="D97" s="25"/>
      <c r="E97" s="25"/>
      <c r="F97" s="25"/>
      <c r="G97" s="25"/>
      <c r="H97" s="3"/>
      <c r="I97" s="3"/>
      <c r="J97" s="3"/>
      <c r="K97" s="3"/>
      <c r="L97" s="3"/>
      <c r="M97" s="3"/>
    </row>
    <row r="98" spans="1:1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48.75" customHeight="1">
      <c r="A99" s="50" t="s">
        <v>82</v>
      </c>
      <c r="B99" s="50"/>
      <c r="C99" s="50"/>
      <c r="D99" s="50"/>
      <c r="E99" s="50"/>
      <c r="F99" s="50"/>
      <c r="G99" s="50"/>
      <c r="H99" s="3"/>
      <c r="I99" s="3"/>
      <c r="J99" s="3"/>
      <c r="K99" s="3"/>
      <c r="L99" s="3"/>
      <c r="M99" s="3"/>
    </row>
    <row r="100" spans="1:13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4.25">
      <c r="A101" s="3" t="s">
        <v>83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>
      <c r="A103" s="3" t="s">
        <v>84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>
      <c r="A105" s="3" t="s">
        <v>85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7.25" customHeight="1">
      <c r="A107" s="4" t="s">
        <v>86</v>
      </c>
      <c r="B107" s="4"/>
      <c r="C107" s="4"/>
      <c r="D107" s="4"/>
      <c r="E107" s="4"/>
      <c r="F107" s="4"/>
      <c r="G107" s="4"/>
      <c r="H107" s="3"/>
      <c r="I107" s="3"/>
      <c r="J107" s="3"/>
      <c r="K107" s="3"/>
      <c r="L107" s="3"/>
      <c r="M107" s="3"/>
    </row>
    <row r="108" spans="1:13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>
      <c r="A109" s="3" t="s">
        <v>87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3.5" customHeight="1">
      <c r="A111" s="4" t="s">
        <v>88</v>
      </c>
      <c r="B111" s="4"/>
      <c r="C111" s="4"/>
      <c r="D111" s="4"/>
      <c r="E111" s="4"/>
      <c r="F111" s="4"/>
      <c r="G111" s="4"/>
      <c r="H111" s="3"/>
      <c r="I111" s="3"/>
      <c r="J111" s="3"/>
      <c r="K111" s="3"/>
      <c r="L111" s="3"/>
      <c r="M111" s="3"/>
    </row>
    <row r="112" spans="1:1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>
      <c r="A113" s="3" t="s">
        <v>5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14.75">
      <c r="A115" s="14" t="s">
        <v>89</v>
      </c>
      <c r="B115" s="14" t="s">
        <v>90</v>
      </c>
      <c r="C115" s="39" t="s">
        <v>91</v>
      </c>
      <c r="D115" s="14" t="s">
        <v>92</v>
      </c>
      <c r="E115" s="14" t="s">
        <v>93</v>
      </c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36">
        <f>C42</f>
        <v>26392.275862068964</v>
      </c>
      <c r="B116" s="36">
        <f>E42</f>
        <v>1.0420120306881846</v>
      </c>
      <c r="C116" s="23">
        <f>C95</f>
        <v>12124.51724137931</v>
      </c>
      <c r="D116" s="23">
        <f>D95</f>
        <v>0.7117880271095045</v>
      </c>
      <c r="E116" s="36">
        <f>(A116*B116+C116*D116)*F18</f>
        <v>2095606.9999999998</v>
      </c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97.5" customHeight="1">
      <c r="A118" s="12" t="s">
        <v>94</v>
      </c>
      <c r="B118" s="12"/>
      <c r="C118" s="12"/>
      <c r="D118" s="12"/>
      <c r="E118" s="12"/>
      <c r="F118" s="12"/>
      <c r="G118" s="12"/>
      <c r="H118" s="3"/>
      <c r="I118" s="3"/>
      <c r="J118" s="3"/>
      <c r="K118" s="3"/>
      <c r="L118" s="3"/>
      <c r="M118" s="3"/>
    </row>
    <row r="119" spans="1:13" ht="12.75">
      <c r="A119" s="3"/>
      <c r="B119" s="3"/>
      <c r="C119" s="3"/>
      <c r="D119" s="3" t="s">
        <v>95</v>
      </c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>
      <c r="A121" s="3" t="s">
        <v>96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>
      <c r="A123" s="3" t="s">
        <v>97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>
      <c r="A125" s="3" t="s">
        <v>98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>
      <c r="A127" s="3" t="s">
        <v>99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40.25">
      <c r="A129" s="51" t="s">
        <v>100</v>
      </c>
      <c r="B129" s="52" t="s">
        <v>101</v>
      </c>
      <c r="C129" s="51" t="s">
        <v>102</v>
      </c>
      <c r="D129" s="51" t="s">
        <v>103</v>
      </c>
      <c r="E129" s="53"/>
      <c r="F129" s="53"/>
      <c r="G129" s="53"/>
      <c r="H129" s="3"/>
      <c r="I129" s="3"/>
      <c r="J129" s="3"/>
      <c r="K129" s="3"/>
      <c r="L129" s="3"/>
      <c r="M129" s="3"/>
    </row>
    <row r="130" spans="1:13" ht="12.75">
      <c r="A130" s="54">
        <f>3936954+23044+48757+31751+2236+1</f>
        <v>4042743</v>
      </c>
      <c r="B130" s="54">
        <f>432000+130464</f>
        <v>562464</v>
      </c>
      <c r="C130" s="55">
        <f>252000+76104</f>
        <v>328104</v>
      </c>
      <c r="D130" s="56">
        <f>A130+B130+C130</f>
        <v>4933311</v>
      </c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>
      <c r="A131" s="57" t="s">
        <v>104</v>
      </c>
      <c r="B131" s="57" t="s">
        <v>105</v>
      </c>
      <c r="C131" s="57" t="s">
        <v>106</v>
      </c>
      <c r="D131" s="58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>
      <c r="A132" s="58"/>
      <c r="B132" s="58"/>
      <c r="C132" s="58"/>
      <c r="D132" s="58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>
      <c r="A133" s="59" t="s">
        <v>107</v>
      </c>
      <c r="B133" s="60"/>
      <c r="C133" s="60"/>
      <c r="D133" s="60"/>
      <c r="E133" s="60"/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60"/>
      <c r="B134" s="60"/>
      <c r="C134" s="60"/>
      <c r="D134" s="60"/>
      <c r="E134" s="60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61" t="s">
        <v>108</v>
      </c>
      <c r="B135" s="61">
        <v>0</v>
      </c>
      <c r="C135" s="61"/>
      <c r="D135" s="62">
        <v>429551</v>
      </c>
      <c r="E135" s="60"/>
      <c r="F135" s="3"/>
      <c r="G135" s="3"/>
      <c r="H135" s="3"/>
      <c r="I135" s="3"/>
      <c r="J135" s="3"/>
      <c r="K135" s="3"/>
      <c r="L135" s="3"/>
      <c r="M135" s="3"/>
    </row>
    <row r="136" spans="1:13" ht="12.75">
      <c r="A136" s="61" t="s">
        <v>109</v>
      </c>
      <c r="B136" s="61">
        <v>0</v>
      </c>
      <c r="C136" s="61"/>
      <c r="D136" s="62">
        <v>129724</v>
      </c>
      <c r="E136" s="60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63" t="s">
        <v>50</v>
      </c>
      <c r="B137" s="63">
        <f>B135+B136</f>
        <v>0</v>
      </c>
      <c r="C137" s="63"/>
      <c r="D137" s="64">
        <f>D135+D136</f>
        <v>559275</v>
      </c>
      <c r="E137" s="60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60"/>
      <c r="B138" s="60"/>
      <c r="C138" s="60"/>
      <c r="D138" s="60"/>
      <c r="E138" s="60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6:13" ht="12.75">
      <c r="F366" s="3"/>
      <c r="G366" s="3"/>
      <c r="H366" s="3"/>
      <c r="I366" s="3"/>
      <c r="J366" s="3"/>
      <c r="K366" s="3"/>
      <c r="L366" s="3"/>
      <c r="M366" s="3"/>
    </row>
  </sheetData>
  <sheetProtection selectLockedCells="1" selectUnlockedCells="1"/>
  <mergeCells count="19">
    <mergeCell ref="A2:G2"/>
    <mergeCell ref="A4:G4"/>
    <mergeCell ref="A5:A6"/>
    <mergeCell ref="B5:C5"/>
    <mergeCell ref="D5:D6"/>
    <mergeCell ref="B6:C6"/>
    <mergeCell ref="A11:G11"/>
    <mergeCell ref="A20:G20"/>
    <mergeCell ref="A44:G44"/>
    <mergeCell ref="A55:G55"/>
    <mergeCell ref="A71:G71"/>
    <mergeCell ref="A80:G80"/>
    <mergeCell ref="A90:G90"/>
    <mergeCell ref="A92:G92"/>
    <mergeCell ref="A97:G97"/>
    <mergeCell ref="A99:G99"/>
    <mergeCell ref="A107:G107"/>
    <mergeCell ref="A111:G111"/>
    <mergeCell ref="A118:G118"/>
  </mergeCells>
  <printOptions/>
  <pageMargins left="0.7083333333333334" right="0.7083333333333334" top="0.7479166666666667" bottom="0.7479166666666667" header="0.5118055555555555" footer="0.5118055555555555"/>
  <pageSetup fitToHeight="3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M366"/>
  <sheetViews>
    <sheetView workbookViewId="0" topLeftCell="A121">
      <selection activeCell="A130" sqref="A130"/>
    </sheetView>
  </sheetViews>
  <sheetFormatPr defaultColWidth="8.00390625" defaultRowHeight="12.75"/>
  <cols>
    <col min="1" max="1" width="18.00390625" style="0" customWidth="1"/>
    <col min="2" max="2" width="13.625" style="0" customWidth="1"/>
    <col min="3" max="3" width="13.00390625" style="0" customWidth="1"/>
    <col min="4" max="4" width="12.375" style="0" customWidth="1"/>
    <col min="5" max="5" width="15.625" style="0" customWidth="1"/>
    <col min="6" max="6" width="12.75390625" style="0" customWidth="1"/>
    <col min="7" max="7" width="13.625" style="0" customWidth="1"/>
    <col min="8" max="16384" width="9.00390625" style="0" customWidth="1"/>
  </cols>
  <sheetData>
    <row r="2" spans="1:13" ht="59.25" customHeight="1">
      <c r="A2" s="1" t="s">
        <v>167</v>
      </c>
      <c r="B2" s="1"/>
      <c r="C2" s="1"/>
      <c r="D2" s="1"/>
      <c r="E2" s="1"/>
      <c r="F2" s="1"/>
      <c r="G2" s="1"/>
      <c r="H2" s="2"/>
      <c r="I2" s="2"/>
      <c r="J2" s="2"/>
      <c r="K2" s="3"/>
      <c r="L2" s="3"/>
      <c r="M2" s="3"/>
    </row>
    <row r="3" spans="1:1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40.5" customHeight="1">
      <c r="A4" s="4" t="s">
        <v>1</v>
      </c>
      <c r="B4" s="4"/>
      <c r="C4" s="4"/>
      <c r="D4" s="4"/>
      <c r="E4" s="4"/>
      <c r="F4" s="4"/>
      <c r="G4" s="4"/>
      <c r="H4" s="3"/>
      <c r="I4" s="3"/>
      <c r="J4" s="3"/>
      <c r="K4" s="3"/>
      <c r="L4" s="3"/>
      <c r="M4" s="3"/>
    </row>
    <row r="5" spans="1:13" ht="12.75" customHeight="1">
      <c r="A5" s="5" t="s">
        <v>2</v>
      </c>
      <c r="B5" s="6" t="s">
        <v>3</v>
      </c>
      <c r="C5" s="6"/>
      <c r="D5" s="7" t="s">
        <v>4</v>
      </c>
      <c r="E5" s="3"/>
      <c r="F5" s="3"/>
      <c r="G5" s="3"/>
      <c r="H5" s="3"/>
      <c r="I5" s="3"/>
      <c r="J5" s="3"/>
      <c r="K5" s="3"/>
      <c r="L5" s="3"/>
      <c r="M5" s="3"/>
    </row>
    <row r="6" spans="1:13" ht="12.75" customHeight="1">
      <c r="A6" s="5"/>
      <c r="B6" s="8">
        <v>12</v>
      </c>
      <c r="C6" s="8"/>
      <c r="D6" s="7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 s="3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 s="3" t="s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42" customHeight="1">
      <c r="A11" s="4" t="s">
        <v>7</v>
      </c>
      <c r="B11" s="4"/>
      <c r="C11" s="4"/>
      <c r="D11" s="4"/>
      <c r="E11" s="4"/>
      <c r="F11" s="4"/>
      <c r="G11" s="4"/>
      <c r="H11" s="3"/>
      <c r="I11" s="3"/>
      <c r="J11" s="3"/>
      <c r="K11" s="3"/>
      <c r="L11" s="3"/>
      <c r="M11" s="3"/>
    </row>
    <row r="12" spans="1:1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 s="3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3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99" customHeight="1">
      <c r="A17" s="9" t="s">
        <v>10</v>
      </c>
      <c r="B17" s="9" t="s">
        <v>119</v>
      </c>
      <c r="C17" s="10" t="s">
        <v>12</v>
      </c>
      <c r="D17" s="9" t="s">
        <v>13</v>
      </c>
      <c r="E17" s="9" t="s">
        <v>111</v>
      </c>
      <c r="F17" s="9" t="s">
        <v>15</v>
      </c>
      <c r="G17" s="3"/>
      <c r="H17" s="3"/>
      <c r="I17" s="3"/>
      <c r="J17" s="3"/>
      <c r="K17" s="3"/>
      <c r="L17" s="3"/>
      <c r="M17" s="3"/>
    </row>
    <row r="18" spans="1:13" ht="29.25" customHeight="1">
      <c r="A18" s="9">
        <v>73</v>
      </c>
      <c r="B18" s="10">
        <v>0</v>
      </c>
      <c r="C18" s="9">
        <v>10</v>
      </c>
      <c r="D18" s="9">
        <v>28</v>
      </c>
      <c r="E18" s="11">
        <v>0</v>
      </c>
      <c r="F18" s="11">
        <v>76</v>
      </c>
      <c r="G18" s="3"/>
      <c r="H18" s="3"/>
      <c r="I18" s="3"/>
      <c r="J18" s="3"/>
      <c r="K18" s="3"/>
      <c r="L18" s="3"/>
      <c r="M18" s="3"/>
    </row>
    <row r="19" spans="1:1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27" customHeight="1">
      <c r="A20" s="12" t="s">
        <v>16</v>
      </c>
      <c r="B20" s="12"/>
      <c r="C20" s="12"/>
      <c r="D20" s="12"/>
      <c r="E20" s="12"/>
      <c r="F20" s="12"/>
      <c r="G20" s="12"/>
      <c r="H20" s="13"/>
      <c r="I20" s="13"/>
      <c r="J20" s="13"/>
      <c r="K20" s="3"/>
      <c r="L20" s="3"/>
      <c r="M20" s="3"/>
    </row>
    <row r="21" spans="1:13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 s="3" t="s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3" t="s">
        <v>18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3" t="s">
        <v>19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 s="3" t="s">
        <v>20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 t="s">
        <v>21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 s="3" t="s">
        <v>22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s="3" t="s">
        <v>23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63.75" customHeight="1">
      <c r="A36" s="14" t="s">
        <v>24</v>
      </c>
      <c r="B36" s="15" t="s">
        <v>25</v>
      </c>
      <c r="C36" s="14" t="s">
        <v>26</v>
      </c>
      <c r="D36" s="14" t="s">
        <v>27</v>
      </c>
      <c r="E36" s="14" t="s">
        <v>28</v>
      </c>
      <c r="F36" s="14" t="s">
        <v>29</v>
      </c>
      <c r="G36" s="3"/>
      <c r="H36" s="3"/>
      <c r="I36" s="3"/>
      <c r="J36" s="3"/>
      <c r="K36" s="3"/>
      <c r="L36" s="3"/>
      <c r="M36" s="3"/>
    </row>
    <row r="37" spans="1:13" ht="12.75">
      <c r="A37" s="16" t="s">
        <v>30</v>
      </c>
      <c r="B37" s="17">
        <f>F18</f>
        <v>76</v>
      </c>
      <c r="C37" s="18">
        <f>F53</f>
        <v>11090.403947368424</v>
      </c>
      <c r="D37" s="18">
        <f>E53</f>
        <v>842870.7000000001</v>
      </c>
      <c r="E37" s="19">
        <f>G53</f>
        <v>0.9297401131632645</v>
      </c>
      <c r="F37" s="18">
        <f aca="true" t="shared" si="0" ref="F37:F40">D37*E37</f>
        <v>783650.7000000001</v>
      </c>
      <c r="G37" s="3"/>
      <c r="H37" s="3"/>
      <c r="I37" s="3"/>
      <c r="J37" s="3"/>
      <c r="K37" s="3"/>
      <c r="L37" s="3"/>
      <c r="M37" s="3"/>
    </row>
    <row r="38" spans="1:13" ht="12.75">
      <c r="A38" s="16" t="s">
        <v>31</v>
      </c>
      <c r="B38" s="17">
        <f aca="true" t="shared" si="1" ref="B38:B41">B37</f>
        <v>76</v>
      </c>
      <c r="C38" s="18">
        <f>F69</f>
        <v>33304.75394736842</v>
      </c>
      <c r="D38" s="18">
        <f>E69</f>
        <v>2531161.3</v>
      </c>
      <c r="E38" s="19">
        <f>G69</f>
        <v>0.7322620253399102</v>
      </c>
      <c r="F38" s="18">
        <f t="shared" si="0"/>
        <v>1853473.3</v>
      </c>
      <c r="G38" s="3"/>
      <c r="H38" s="3"/>
      <c r="I38" s="3"/>
      <c r="J38" s="3"/>
      <c r="K38" s="3"/>
      <c r="L38" s="3"/>
      <c r="M38" s="3"/>
    </row>
    <row r="39" spans="1:13" ht="12.75">
      <c r="A39" s="16" t="s">
        <v>32</v>
      </c>
      <c r="B39" s="17">
        <f t="shared" si="1"/>
        <v>76</v>
      </c>
      <c r="C39" s="18">
        <f>C78</f>
        <v>1262.2105263157894</v>
      </c>
      <c r="D39" s="18">
        <f>B78</f>
        <v>95928</v>
      </c>
      <c r="E39" s="19">
        <f>D78</f>
        <v>0.7117838378784088</v>
      </c>
      <c r="F39" s="18">
        <f t="shared" si="0"/>
        <v>68280</v>
      </c>
      <c r="G39" s="3"/>
      <c r="H39" s="3"/>
      <c r="I39" s="3"/>
      <c r="J39" s="3"/>
      <c r="K39" s="3"/>
      <c r="L39" s="3"/>
      <c r="M39" s="3"/>
    </row>
    <row r="40" spans="1:13" ht="12.75">
      <c r="A40" s="16" t="s">
        <v>33</v>
      </c>
      <c r="B40" s="17">
        <f t="shared" si="1"/>
        <v>76</v>
      </c>
      <c r="C40" s="18">
        <f>F88</f>
        <v>0</v>
      </c>
      <c r="D40" s="18">
        <f>E88</f>
        <v>0</v>
      </c>
      <c r="E40" s="19">
        <v>0</v>
      </c>
      <c r="F40" s="18">
        <f t="shared" si="0"/>
        <v>0</v>
      </c>
      <c r="G40" s="3"/>
      <c r="H40" s="3"/>
      <c r="I40" s="3"/>
      <c r="J40" s="3"/>
      <c r="K40" s="3"/>
      <c r="L40" s="3"/>
      <c r="M40" s="3"/>
    </row>
    <row r="41" spans="1:13" ht="12.75">
      <c r="A41" s="16" t="s">
        <v>34</v>
      </c>
      <c r="B41" s="17">
        <f t="shared" si="1"/>
        <v>76</v>
      </c>
      <c r="C41" s="18">
        <v>0</v>
      </c>
      <c r="D41" s="18">
        <v>0</v>
      </c>
      <c r="E41" s="19">
        <v>1</v>
      </c>
      <c r="F41" s="18">
        <f>D137</f>
        <v>759950</v>
      </c>
      <c r="G41" s="3"/>
      <c r="H41" s="3"/>
      <c r="I41" s="3"/>
      <c r="J41" s="3"/>
      <c r="K41" s="3"/>
      <c r="L41" s="3"/>
      <c r="M41" s="3"/>
    </row>
    <row r="42" spans="1:13" ht="12.75">
      <c r="A42" s="20" t="s">
        <v>35</v>
      </c>
      <c r="B42" s="21"/>
      <c r="C42" s="22">
        <f>D42/B40</f>
        <v>45657.36842105263</v>
      </c>
      <c r="D42" s="22">
        <f>SUM(D37:D40)</f>
        <v>3469960</v>
      </c>
      <c r="E42" s="23">
        <f>F42/D42</f>
        <v>0.998672607177028</v>
      </c>
      <c r="F42" s="18">
        <f>F37+F38+F39+F40+F41</f>
        <v>3465354</v>
      </c>
      <c r="G42" s="24">
        <f>F42+E95</f>
        <v>3983582</v>
      </c>
      <c r="H42" s="3"/>
      <c r="I42" s="3"/>
      <c r="J42" s="3"/>
      <c r="K42" s="3"/>
      <c r="L42" s="3"/>
      <c r="M42" s="3"/>
    </row>
    <row r="43" spans="1:13" ht="12.75">
      <c r="A43" s="3"/>
      <c r="B43" s="3"/>
      <c r="C43" s="3"/>
      <c r="D43" s="69"/>
      <c r="E43" s="70"/>
      <c r="F43" s="71"/>
      <c r="G43" s="3"/>
      <c r="H43" s="3"/>
      <c r="I43" s="3"/>
      <c r="J43" s="3"/>
      <c r="K43" s="3"/>
      <c r="L43" s="3"/>
      <c r="M43" s="3"/>
    </row>
    <row r="44" spans="1:13" ht="30.75" customHeight="1">
      <c r="A44" s="25" t="s">
        <v>168</v>
      </c>
      <c r="B44" s="25"/>
      <c r="C44" s="25"/>
      <c r="D44" s="25"/>
      <c r="E44" s="25"/>
      <c r="F44" s="25"/>
      <c r="G44" s="25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3" t="s">
        <v>37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63.75">
      <c r="A48" s="14" t="s">
        <v>38</v>
      </c>
      <c r="B48" s="14" t="s">
        <v>39</v>
      </c>
      <c r="C48" s="14" t="s">
        <v>40</v>
      </c>
      <c r="D48" s="14" t="s">
        <v>41</v>
      </c>
      <c r="E48" s="14" t="s">
        <v>42</v>
      </c>
      <c r="F48" s="14" t="s">
        <v>26</v>
      </c>
      <c r="G48" s="14" t="s">
        <v>28</v>
      </c>
      <c r="H48" s="3"/>
      <c r="I48" s="3"/>
      <c r="J48" s="3"/>
      <c r="K48" s="3"/>
      <c r="L48" s="3"/>
      <c r="M48" s="3"/>
    </row>
    <row r="49" spans="1:13" ht="25.5">
      <c r="A49" s="26" t="s">
        <v>43</v>
      </c>
      <c r="B49" s="27" t="s">
        <v>44</v>
      </c>
      <c r="C49" s="19">
        <v>0</v>
      </c>
      <c r="D49" s="19">
        <v>0</v>
      </c>
      <c r="E49" s="19">
        <v>0</v>
      </c>
      <c r="F49" s="19">
        <f aca="true" t="shared" si="2" ref="F49:F52">E49/$B$40</f>
        <v>0</v>
      </c>
      <c r="G49" s="19">
        <v>0</v>
      </c>
      <c r="H49" s="3"/>
      <c r="I49" s="3"/>
      <c r="J49" s="3"/>
      <c r="K49" s="3"/>
      <c r="L49" s="3"/>
      <c r="M49" s="3"/>
    </row>
    <row r="50" spans="1:13" ht="25.5">
      <c r="A50" s="26" t="s">
        <v>45</v>
      </c>
      <c r="B50" s="27" t="s">
        <v>46</v>
      </c>
      <c r="C50" s="19">
        <f>31600/2</f>
        <v>15800</v>
      </c>
      <c r="D50" s="19">
        <f aca="true" t="shared" si="3" ref="D50:D52">E50/C50</f>
        <v>6.759208860759494</v>
      </c>
      <c r="E50" s="19">
        <f>213591/2</f>
        <v>106795.5</v>
      </c>
      <c r="F50" s="19">
        <f t="shared" si="2"/>
        <v>1405.203947368421</v>
      </c>
      <c r="G50" s="19">
        <f>(213591/2/E50)</f>
        <v>1</v>
      </c>
      <c r="H50" s="3"/>
      <c r="I50" s="3"/>
      <c r="J50" s="3"/>
      <c r="K50" s="3"/>
      <c r="L50" s="3"/>
      <c r="M50" s="3"/>
    </row>
    <row r="51" spans="1:13" ht="25.5">
      <c r="A51" s="26" t="s">
        <v>47</v>
      </c>
      <c r="B51" s="27" t="s">
        <v>48</v>
      </c>
      <c r="C51" s="19">
        <f>21930*90%</f>
        <v>19737</v>
      </c>
      <c r="D51" s="19">
        <f t="shared" si="3"/>
        <v>33.293570451436395</v>
      </c>
      <c r="E51" s="19">
        <f>730128*90%</f>
        <v>657115.2000000001</v>
      </c>
      <c r="F51" s="19">
        <f t="shared" si="2"/>
        <v>8646.25263157895</v>
      </c>
      <c r="G51" s="19">
        <f>(730128*90%/E51)</f>
        <v>1</v>
      </c>
      <c r="H51" s="3"/>
      <c r="I51" s="3"/>
      <c r="J51" s="3"/>
      <c r="K51" s="3"/>
      <c r="L51" s="3"/>
      <c r="M51" s="3"/>
    </row>
    <row r="52" spans="1:13" ht="25.5">
      <c r="A52" s="26" t="s">
        <v>49</v>
      </c>
      <c r="B52" s="27" t="s">
        <v>46</v>
      </c>
      <c r="C52" s="19">
        <f>1355+1355</f>
        <v>2710</v>
      </c>
      <c r="D52" s="19">
        <f t="shared" si="3"/>
        <v>29.136531365313655</v>
      </c>
      <c r="E52" s="19">
        <v>78960</v>
      </c>
      <c r="F52" s="19">
        <f t="shared" si="2"/>
        <v>1038.9473684210527</v>
      </c>
      <c r="G52" s="19">
        <f>(19740/E52)</f>
        <v>0.25</v>
      </c>
      <c r="H52" s="3"/>
      <c r="I52" s="3"/>
      <c r="J52" s="3"/>
      <c r="K52" s="3"/>
      <c r="L52" s="3"/>
      <c r="M52" s="3"/>
    </row>
    <row r="53" spans="1:13" ht="20.25" customHeight="1">
      <c r="A53" s="28" t="s">
        <v>50</v>
      </c>
      <c r="B53" s="29"/>
      <c r="C53" s="23"/>
      <c r="D53" s="23"/>
      <c r="E53" s="23">
        <f>E49+E50+E51+E52</f>
        <v>842870.7000000001</v>
      </c>
      <c r="F53" s="23">
        <f>F49+F50+F51+F52</f>
        <v>11090.403947368424</v>
      </c>
      <c r="G53" s="23">
        <f>(213591/2+730128*90%+19740)/E53</f>
        <v>0.9297401131632645</v>
      </c>
      <c r="H53" s="3"/>
      <c r="I53" s="3"/>
      <c r="J53" s="3"/>
      <c r="K53" s="3"/>
      <c r="L53" s="3"/>
      <c r="M53" s="3"/>
    </row>
    <row r="54" spans="1:13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27" customHeight="1">
      <c r="A55" s="25" t="s">
        <v>169</v>
      </c>
      <c r="B55" s="25"/>
      <c r="C55" s="25"/>
      <c r="D55" s="25"/>
      <c r="E55" s="25"/>
      <c r="F55" s="25"/>
      <c r="G55" s="25"/>
      <c r="H55" s="3"/>
      <c r="I55" s="3"/>
      <c r="J55" s="3"/>
      <c r="K55" s="3"/>
      <c r="L55" s="3"/>
      <c r="M55" s="3"/>
    </row>
    <row r="56" spans="1:1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75">
      <c r="A57" s="3" t="s">
        <v>52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63.75">
      <c r="A59" s="14" t="s">
        <v>38</v>
      </c>
      <c r="B59" s="14" t="s">
        <v>39</v>
      </c>
      <c r="C59" s="14" t="s">
        <v>53</v>
      </c>
      <c r="D59" s="14" t="s">
        <v>54</v>
      </c>
      <c r="E59" s="14" t="s">
        <v>42</v>
      </c>
      <c r="F59" s="14" t="s">
        <v>26</v>
      </c>
      <c r="G59" s="14" t="s">
        <v>28</v>
      </c>
      <c r="H59" s="3"/>
      <c r="I59" s="3"/>
      <c r="J59" s="3"/>
      <c r="K59" s="3"/>
      <c r="L59" s="3"/>
      <c r="M59" s="3"/>
    </row>
    <row r="60" spans="1:13" ht="45.75" customHeight="1">
      <c r="A60" s="26" t="s">
        <v>55</v>
      </c>
      <c r="B60" s="30"/>
      <c r="C60" s="19"/>
      <c r="D60" s="19"/>
      <c r="E60" s="19">
        <v>83585</v>
      </c>
      <c r="F60" s="19">
        <f aca="true" t="shared" si="4" ref="F60:F68">E60/$B$40</f>
        <v>1099.8026315789473</v>
      </c>
      <c r="G60" s="19">
        <f>(59495/E60)</f>
        <v>0.7117903930131004</v>
      </c>
      <c r="H60" s="3"/>
      <c r="I60" s="3"/>
      <c r="J60" s="3"/>
      <c r="K60" s="3"/>
      <c r="L60" s="3"/>
      <c r="M60" s="3"/>
    </row>
    <row r="61" spans="1:13" ht="25.5">
      <c r="A61" s="26" t="s">
        <v>56</v>
      </c>
      <c r="B61" s="30" t="s">
        <v>57</v>
      </c>
      <c r="C61" s="19">
        <v>0</v>
      </c>
      <c r="D61" s="19">
        <v>0</v>
      </c>
      <c r="E61" s="19">
        <v>0</v>
      </c>
      <c r="F61" s="19">
        <f t="shared" si="4"/>
        <v>0</v>
      </c>
      <c r="G61" s="19" t="e">
        <f aca="true" t="shared" si="5" ref="G61:G62">(0/E61)</f>
        <v>#DIV/0!</v>
      </c>
      <c r="H61" s="3"/>
      <c r="I61" s="3"/>
      <c r="J61" s="3"/>
      <c r="K61" s="3"/>
      <c r="L61" s="3"/>
      <c r="M61" s="3"/>
    </row>
    <row r="62" spans="1:13" ht="18" customHeight="1">
      <c r="A62" s="26" t="s">
        <v>58</v>
      </c>
      <c r="B62" s="30"/>
      <c r="C62" s="19"/>
      <c r="D62" s="19"/>
      <c r="E62" s="19">
        <v>0</v>
      </c>
      <c r="F62" s="19">
        <f t="shared" si="4"/>
        <v>0</v>
      </c>
      <c r="G62" s="19" t="e">
        <f t="shared" si="5"/>
        <v>#DIV/0!</v>
      </c>
      <c r="H62" s="3"/>
      <c r="I62" s="3"/>
      <c r="J62" s="3"/>
      <c r="K62" s="3"/>
      <c r="L62" s="3"/>
      <c r="M62" s="3"/>
    </row>
    <row r="63" spans="1:13" ht="18" customHeight="1">
      <c r="A63" s="26" t="s">
        <v>59</v>
      </c>
      <c r="B63" s="30"/>
      <c r="C63" s="19"/>
      <c r="D63" s="19"/>
      <c r="E63" s="19">
        <v>809640</v>
      </c>
      <c r="F63" s="19">
        <f t="shared" si="4"/>
        <v>10653.157894736842</v>
      </c>
      <c r="G63" s="19">
        <f>(576292/E63)</f>
        <v>0.7117879551405563</v>
      </c>
      <c r="H63" s="3"/>
      <c r="I63" s="3"/>
      <c r="J63" s="3"/>
      <c r="K63" s="3"/>
      <c r="L63" s="3"/>
      <c r="M63" s="3"/>
    </row>
    <row r="64" spans="1:13" ht="25.5">
      <c r="A64" s="26" t="s">
        <v>43</v>
      </c>
      <c r="B64" s="27" t="s">
        <v>44</v>
      </c>
      <c r="C64" s="19">
        <v>0</v>
      </c>
      <c r="D64" s="19">
        <v>0</v>
      </c>
      <c r="E64" s="19">
        <v>0</v>
      </c>
      <c r="F64" s="19">
        <f t="shared" si="4"/>
        <v>0</v>
      </c>
      <c r="G64" s="19">
        <v>0</v>
      </c>
      <c r="H64" s="3"/>
      <c r="I64" s="3"/>
      <c r="J64" s="3"/>
      <c r="K64" s="3"/>
      <c r="L64" s="3"/>
      <c r="M64" s="3"/>
    </row>
    <row r="65" spans="1:13" ht="25.5">
      <c r="A65" s="26" t="s">
        <v>45</v>
      </c>
      <c r="B65" s="27" t="s">
        <v>46</v>
      </c>
      <c r="C65" s="19">
        <f>31600/2</f>
        <v>15800</v>
      </c>
      <c r="D65" s="19">
        <f aca="true" t="shared" si="6" ref="D65:D66">E65/C65</f>
        <v>6.759208860759494</v>
      </c>
      <c r="E65" s="19">
        <f>213591/2</f>
        <v>106795.5</v>
      </c>
      <c r="F65" s="19">
        <f t="shared" si="4"/>
        <v>1405.203947368421</v>
      </c>
      <c r="G65" s="19">
        <f>(213591/2/E65)</f>
        <v>1</v>
      </c>
      <c r="H65" s="3"/>
      <c r="I65" s="3"/>
      <c r="J65" s="3"/>
      <c r="K65" s="3"/>
      <c r="L65" s="3"/>
      <c r="M65" s="3"/>
    </row>
    <row r="66" spans="1:13" ht="25.5">
      <c r="A66" s="26" t="s">
        <v>47</v>
      </c>
      <c r="B66" s="27" t="s">
        <v>48</v>
      </c>
      <c r="C66" s="19">
        <f>21930*10%</f>
        <v>2193</v>
      </c>
      <c r="D66" s="19">
        <f t="shared" si="6"/>
        <v>33.29357045143639</v>
      </c>
      <c r="E66" s="19">
        <f>730128*10%</f>
        <v>73012.8</v>
      </c>
      <c r="F66" s="19">
        <f t="shared" si="4"/>
        <v>960.6947368421053</v>
      </c>
      <c r="G66" s="19">
        <f>(730128*10%/E66)</f>
        <v>1</v>
      </c>
      <c r="H66" s="3"/>
      <c r="I66" s="3"/>
      <c r="J66" s="3"/>
      <c r="K66" s="3"/>
      <c r="L66" s="3"/>
      <c r="M66" s="3"/>
    </row>
    <row r="67" spans="1:13" ht="25.5" customHeight="1">
      <c r="A67" s="26" t="s">
        <v>60</v>
      </c>
      <c r="B67" s="30"/>
      <c r="C67" s="19"/>
      <c r="D67" s="19"/>
      <c r="E67" s="19">
        <v>6788</v>
      </c>
      <c r="F67" s="19">
        <f t="shared" si="4"/>
        <v>89.3157894736842</v>
      </c>
      <c r="G67" s="19">
        <f>(4832/E67)</f>
        <v>0.7118444313494402</v>
      </c>
      <c r="H67" s="3"/>
      <c r="I67" s="3"/>
      <c r="J67" s="3"/>
      <c r="K67" s="3"/>
      <c r="L67" s="3"/>
      <c r="M67" s="3"/>
    </row>
    <row r="68" spans="1:13" ht="12.75">
      <c r="A68" s="26" t="s">
        <v>61</v>
      </c>
      <c r="B68" s="30"/>
      <c r="C68" s="19"/>
      <c r="D68" s="19"/>
      <c r="E68" s="19">
        <v>1451340</v>
      </c>
      <c r="F68" s="19">
        <f t="shared" si="4"/>
        <v>19096.57894736842</v>
      </c>
      <c r="G68" s="19">
        <f>(1033046/E68)</f>
        <v>0.7117877272038254</v>
      </c>
      <c r="H68" s="3"/>
      <c r="I68" s="3"/>
      <c r="J68" s="3"/>
      <c r="K68" s="3"/>
      <c r="L68" s="3"/>
      <c r="M68" s="3"/>
    </row>
    <row r="69" spans="1:13" ht="24.75" customHeight="1">
      <c r="A69" s="28" t="s">
        <v>50</v>
      </c>
      <c r="B69" s="31"/>
      <c r="C69" s="23"/>
      <c r="D69" s="23"/>
      <c r="E69" s="23">
        <f>SUM(E60:E68)</f>
        <v>2531161.3</v>
      </c>
      <c r="F69" s="23">
        <f>SUM(F60:F68)</f>
        <v>33304.75394736842</v>
      </c>
      <c r="G69" s="23">
        <f>(59495+576292+213591/2+730128*10%+1033046+4832)/E69</f>
        <v>0.7322620253399102</v>
      </c>
      <c r="H69" s="3"/>
      <c r="I69" s="3"/>
      <c r="J69" s="3"/>
      <c r="K69" s="3"/>
      <c r="L69" s="3"/>
      <c r="M69" s="3"/>
    </row>
    <row r="70" spans="1:13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35.25" customHeight="1">
      <c r="A71" s="25" t="s">
        <v>138</v>
      </c>
      <c r="B71" s="25"/>
      <c r="C71" s="25"/>
      <c r="D71" s="25"/>
      <c r="E71" s="25"/>
      <c r="F71" s="25"/>
      <c r="G71" s="25"/>
      <c r="H71" s="3"/>
      <c r="I71" s="3"/>
      <c r="J71" s="3"/>
      <c r="K71" s="3"/>
      <c r="L71" s="3"/>
      <c r="M71" s="3"/>
    </row>
    <row r="72" spans="1:13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>
      <c r="A73" s="3" t="s">
        <v>63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63.75">
      <c r="A75" s="14" t="s">
        <v>38</v>
      </c>
      <c r="B75" s="14" t="s">
        <v>42</v>
      </c>
      <c r="C75" s="14" t="s">
        <v>26</v>
      </c>
      <c r="D75" s="14" t="s">
        <v>28</v>
      </c>
      <c r="E75" s="32"/>
      <c r="F75" s="32"/>
      <c r="G75" s="32"/>
      <c r="H75" s="3"/>
      <c r="I75" s="3"/>
      <c r="J75" s="3"/>
      <c r="K75" s="3"/>
      <c r="L75" s="3"/>
      <c r="M75" s="3"/>
    </row>
    <row r="76" spans="1:13" ht="51">
      <c r="A76" s="26" t="s">
        <v>64</v>
      </c>
      <c r="B76" s="33">
        <v>0</v>
      </c>
      <c r="C76" s="19">
        <f aca="true" t="shared" si="7" ref="C76:C77">B76/$B$40</f>
        <v>0</v>
      </c>
      <c r="D76" s="19" t="e">
        <f>(0/B76)</f>
        <v>#DIV/0!</v>
      </c>
      <c r="E76" s="34"/>
      <c r="F76" s="35"/>
      <c r="G76" s="35"/>
      <c r="H76" s="3"/>
      <c r="I76" s="3"/>
      <c r="J76" s="3"/>
      <c r="K76" s="3"/>
      <c r="L76" s="3"/>
      <c r="M76" s="3"/>
    </row>
    <row r="77" spans="1:13" ht="19.5" customHeight="1">
      <c r="A77" s="26" t="s">
        <v>65</v>
      </c>
      <c r="B77" s="33">
        <f>78473+17455</f>
        <v>95928</v>
      </c>
      <c r="C77" s="19">
        <f t="shared" si="7"/>
        <v>1262.2105263157894</v>
      </c>
      <c r="D77" s="19">
        <f aca="true" t="shared" si="8" ref="D77:D78">(55856+12424)/B77</f>
        <v>0.7117838378784088</v>
      </c>
      <c r="E77" s="34"/>
      <c r="F77" s="35"/>
      <c r="G77" s="35"/>
      <c r="H77" s="3"/>
      <c r="I77" s="3"/>
      <c r="J77" s="3"/>
      <c r="K77" s="3"/>
      <c r="L77" s="3"/>
      <c r="M77" s="3"/>
    </row>
    <row r="78" spans="1:13" ht="27" customHeight="1">
      <c r="A78" s="28" t="s">
        <v>50</v>
      </c>
      <c r="B78" s="36">
        <f>SUM(B76:B77)</f>
        <v>95928</v>
      </c>
      <c r="C78" s="36">
        <f>SUM(C76:C77)</f>
        <v>1262.2105263157894</v>
      </c>
      <c r="D78" s="36">
        <f t="shared" si="8"/>
        <v>0.7117838378784088</v>
      </c>
      <c r="E78" s="37"/>
      <c r="F78" s="37"/>
      <c r="G78" s="37"/>
      <c r="H78" s="3"/>
      <c r="I78" s="3"/>
      <c r="J78" s="3"/>
      <c r="K78" s="3"/>
      <c r="L78" s="3"/>
      <c r="M78" s="3"/>
    </row>
    <row r="79" spans="1:13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29.25" customHeight="1">
      <c r="A80" s="25" t="s">
        <v>66</v>
      </c>
      <c r="B80" s="25"/>
      <c r="C80" s="25"/>
      <c r="D80" s="25"/>
      <c r="E80" s="25"/>
      <c r="F80" s="25"/>
      <c r="G80" s="25"/>
      <c r="H80" s="3"/>
      <c r="I80" s="3"/>
      <c r="J80" s="3"/>
      <c r="K80" s="3"/>
      <c r="L80" s="3"/>
      <c r="M80" s="3"/>
    </row>
    <row r="81" spans="1:13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 hidden="1">
      <c r="A82" s="3" t="s">
        <v>67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63.75" hidden="1">
      <c r="A84" s="38" t="s">
        <v>68</v>
      </c>
      <c r="B84" s="10" t="s">
        <v>69</v>
      </c>
      <c r="C84" s="14" t="s">
        <v>54</v>
      </c>
      <c r="D84" s="10" t="s">
        <v>70</v>
      </c>
      <c r="E84" s="39" t="s">
        <v>71</v>
      </c>
      <c r="F84" s="14" t="s">
        <v>26</v>
      </c>
      <c r="G84" s="14" t="s">
        <v>28</v>
      </c>
      <c r="H84" s="3"/>
      <c r="I84" s="3"/>
      <c r="J84" s="3"/>
      <c r="K84" s="3"/>
      <c r="L84" s="3"/>
      <c r="M84" s="3"/>
    </row>
    <row r="85" spans="1:13" ht="12.75" hidden="1">
      <c r="A85" s="40" t="s">
        <v>72</v>
      </c>
      <c r="B85" s="41">
        <v>1</v>
      </c>
      <c r="C85" s="42">
        <f aca="true" t="shared" si="9" ref="C85:C86">E85/D85/B85</f>
        <v>0</v>
      </c>
      <c r="D85" s="43">
        <v>12</v>
      </c>
      <c r="E85" s="44">
        <v>0</v>
      </c>
      <c r="F85" s="19">
        <f aca="true" t="shared" si="10" ref="F85:F88">E85/$B$40</f>
        <v>0</v>
      </c>
      <c r="G85" s="19" t="e">
        <f aca="true" t="shared" si="11" ref="G85:G87">(0/E85)</f>
        <v>#DIV/0!</v>
      </c>
      <c r="H85" s="3"/>
      <c r="I85" s="3"/>
      <c r="J85" s="3"/>
      <c r="K85" s="3"/>
      <c r="L85" s="3"/>
      <c r="M85" s="3"/>
    </row>
    <row r="86" spans="1:13" ht="12.75" hidden="1">
      <c r="A86" s="40" t="s">
        <v>73</v>
      </c>
      <c r="B86" s="39">
        <v>1</v>
      </c>
      <c r="C86" s="42">
        <f t="shared" si="9"/>
        <v>0</v>
      </c>
      <c r="D86" s="43">
        <v>12</v>
      </c>
      <c r="E86" s="44">
        <v>0</v>
      </c>
      <c r="F86" s="19">
        <f t="shared" si="10"/>
        <v>0</v>
      </c>
      <c r="G86" s="19" t="e">
        <f t="shared" si="11"/>
        <v>#DIV/0!</v>
      </c>
      <c r="H86" s="3"/>
      <c r="I86" s="3"/>
      <c r="J86" s="3"/>
      <c r="K86" s="3"/>
      <c r="L86" s="3"/>
      <c r="M86" s="3"/>
    </row>
    <row r="87" spans="1:13" ht="12.75" hidden="1">
      <c r="A87" s="40" t="s">
        <v>74</v>
      </c>
      <c r="B87" s="41"/>
      <c r="C87" s="41"/>
      <c r="D87" s="43"/>
      <c r="E87" s="44">
        <v>0</v>
      </c>
      <c r="F87" s="19">
        <f t="shared" si="10"/>
        <v>0</v>
      </c>
      <c r="G87" s="19" t="e">
        <f t="shared" si="11"/>
        <v>#DIV/0!</v>
      </c>
      <c r="H87" s="3"/>
      <c r="I87" s="3"/>
      <c r="J87" s="3"/>
      <c r="K87" s="3"/>
      <c r="L87" s="3"/>
      <c r="M87" s="3"/>
    </row>
    <row r="88" spans="1:13" ht="12.75" hidden="1">
      <c r="A88" s="45" t="s">
        <v>75</v>
      </c>
      <c r="B88" s="46"/>
      <c r="C88" s="46"/>
      <c r="D88" s="46"/>
      <c r="E88" s="47">
        <f>E85+E86+E87</f>
        <v>0</v>
      </c>
      <c r="F88" s="23">
        <f t="shared" si="10"/>
        <v>0</v>
      </c>
      <c r="G88" s="23" t="e">
        <f>0/E88</f>
        <v>#DIV/0!</v>
      </c>
      <c r="H88" s="3"/>
      <c r="I88" s="3"/>
      <c r="J88" s="3"/>
      <c r="K88" s="3"/>
      <c r="L88" s="3"/>
      <c r="M88" s="3"/>
    </row>
    <row r="89" spans="1:13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24.75" customHeight="1" hidden="1">
      <c r="A90" s="25" t="s">
        <v>164</v>
      </c>
      <c r="B90" s="25"/>
      <c r="C90" s="25"/>
      <c r="D90" s="25"/>
      <c r="E90" s="25"/>
      <c r="F90" s="25"/>
      <c r="G90" s="25"/>
      <c r="H90" s="3"/>
      <c r="I90" s="3"/>
      <c r="J90" s="3"/>
      <c r="K90" s="3"/>
      <c r="L90" s="3"/>
      <c r="M90" s="3"/>
    </row>
    <row r="91" spans="1:1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45" customHeight="1">
      <c r="A92" s="12" t="s">
        <v>77</v>
      </c>
      <c r="B92" s="12"/>
      <c r="C92" s="12"/>
      <c r="D92" s="12"/>
      <c r="E92" s="12"/>
      <c r="F92" s="12"/>
      <c r="G92" s="12"/>
      <c r="H92" s="13"/>
      <c r="I92" s="13"/>
      <c r="J92" s="13"/>
      <c r="K92" s="3"/>
      <c r="L92" s="3"/>
      <c r="M92" s="3"/>
    </row>
    <row r="93" spans="1:1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63.75">
      <c r="A94" s="14" t="s">
        <v>38</v>
      </c>
      <c r="B94" s="39" t="s">
        <v>71</v>
      </c>
      <c r="C94" s="14" t="s">
        <v>26</v>
      </c>
      <c r="D94" s="14" t="s">
        <v>28</v>
      </c>
      <c r="E94" s="48" t="s">
        <v>78</v>
      </c>
      <c r="F94" s="16" t="s">
        <v>79</v>
      </c>
      <c r="G94" s="3"/>
      <c r="H94" s="3"/>
      <c r="I94" s="3"/>
      <c r="J94" s="3"/>
      <c r="K94" s="3"/>
      <c r="L94" s="3"/>
      <c r="M94" s="3"/>
    </row>
    <row r="95" spans="1:13" ht="12.75">
      <c r="A95" s="49" t="s">
        <v>80</v>
      </c>
      <c r="B95" s="36">
        <v>728066</v>
      </c>
      <c r="C95" s="23">
        <f>B95/$B$40</f>
        <v>9579.815789473685</v>
      </c>
      <c r="D95" s="23">
        <f>518228/B95</f>
        <v>0.7117871182008224</v>
      </c>
      <c r="E95" s="18">
        <f>B95*D95</f>
        <v>518227.99999999994</v>
      </c>
      <c r="F95" s="18">
        <f>E95-B95</f>
        <v>-209838.00000000006</v>
      </c>
      <c r="G95" s="3"/>
      <c r="H95" s="3"/>
      <c r="I95" s="3"/>
      <c r="J95" s="3"/>
      <c r="K95" s="3"/>
      <c r="L95" s="3"/>
      <c r="M95" s="3"/>
    </row>
    <row r="96" spans="1:1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34.5" customHeight="1">
      <c r="A97" s="25" t="s">
        <v>81</v>
      </c>
      <c r="B97" s="25"/>
      <c r="C97" s="25"/>
      <c r="D97" s="25"/>
      <c r="E97" s="25"/>
      <c r="F97" s="25"/>
      <c r="G97" s="25"/>
      <c r="H97" s="3"/>
      <c r="I97" s="3"/>
      <c r="J97" s="3"/>
      <c r="K97" s="3"/>
      <c r="L97" s="3"/>
      <c r="M97" s="3"/>
    </row>
    <row r="98" spans="1:1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48.75" customHeight="1">
      <c r="A99" s="50" t="s">
        <v>170</v>
      </c>
      <c r="B99" s="50"/>
      <c r="C99" s="50"/>
      <c r="D99" s="50"/>
      <c r="E99" s="50"/>
      <c r="F99" s="50"/>
      <c r="G99" s="50"/>
      <c r="H99" s="3"/>
      <c r="I99" s="3"/>
      <c r="J99" s="3"/>
      <c r="K99" s="3"/>
      <c r="L99" s="3"/>
      <c r="M99" s="3"/>
    </row>
    <row r="100" spans="1:13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4.25">
      <c r="A101" s="3" t="s">
        <v>83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>
      <c r="A103" s="3" t="s">
        <v>84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>
      <c r="A105" s="3" t="s">
        <v>85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7.25" customHeight="1">
      <c r="A107" s="4" t="s">
        <v>86</v>
      </c>
      <c r="B107" s="4"/>
      <c r="C107" s="4"/>
      <c r="D107" s="4"/>
      <c r="E107" s="4"/>
      <c r="F107" s="4"/>
      <c r="G107" s="4"/>
      <c r="H107" s="3"/>
      <c r="I107" s="3"/>
      <c r="J107" s="3"/>
      <c r="K107" s="3"/>
      <c r="L107" s="3"/>
      <c r="M107" s="3"/>
    </row>
    <row r="108" spans="1:13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>
      <c r="A109" s="3" t="s">
        <v>87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3.5" customHeight="1">
      <c r="A111" s="4" t="s">
        <v>88</v>
      </c>
      <c r="B111" s="4"/>
      <c r="C111" s="4"/>
      <c r="D111" s="4"/>
      <c r="E111" s="4"/>
      <c r="F111" s="4"/>
      <c r="G111" s="4"/>
      <c r="H111" s="3"/>
      <c r="I111" s="3"/>
      <c r="J111" s="3"/>
      <c r="K111" s="3"/>
      <c r="L111" s="3"/>
      <c r="M111" s="3"/>
    </row>
    <row r="112" spans="1:1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>
      <c r="A113" s="3" t="s">
        <v>5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14.75">
      <c r="A115" s="14" t="s">
        <v>89</v>
      </c>
      <c r="B115" s="14" t="s">
        <v>90</v>
      </c>
      <c r="C115" s="39" t="s">
        <v>91</v>
      </c>
      <c r="D115" s="14" t="s">
        <v>92</v>
      </c>
      <c r="E115" s="14" t="s">
        <v>93</v>
      </c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36">
        <f>C42</f>
        <v>45657.36842105263</v>
      </c>
      <c r="B116" s="36">
        <f>E42</f>
        <v>0.998672607177028</v>
      </c>
      <c r="C116" s="23">
        <f>C95</f>
        <v>9579.815789473685</v>
      </c>
      <c r="D116" s="23">
        <f>D95</f>
        <v>0.7117871182008224</v>
      </c>
      <c r="E116" s="36">
        <f>(A116*B116+C116*D116)*F18</f>
        <v>3983582.0000000005</v>
      </c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11" customHeight="1">
      <c r="A118" s="12" t="s">
        <v>171</v>
      </c>
      <c r="B118" s="12"/>
      <c r="C118" s="12"/>
      <c r="D118" s="12"/>
      <c r="E118" s="12"/>
      <c r="F118" s="12"/>
      <c r="G118" s="12"/>
      <c r="H118" s="3"/>
      <c r="I118" s="3"/>
      <c r="J118" s="3"/>
      <c r="K118" s="3"/>
      <c r="L118" s="3"/>
      <c r="M118" s="3"/>
    </row>
    <row r="119" spans="1:13" ht="12.75">
      <c r="A119" s="3"/>
      <c r="B119" s="3"/>
      <c r="C119" s="3"/>
      <c r="D119" s="3" t="s">
        <v>95</v>
      </c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>
      <c r="A121" s="3" t="s">
        <v>96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>
      <c r="A123" s="3" t="s">
        <v>97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>
      <c r="A125" s="3" t="s">
        <v>98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>
      <c r="A127" s="3" t="s">
        <v>99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40.25">
      <c r="A129" s="51" t="s">
        <v>100</v>
      </c>
      <c r="B129" s="52" t="s">
        <v>101</v>
      </c>
      <c r="C129" s="51" t="s">
        <v>102</v>
      </c>
      <c r="D129" s="51" t="s">
        <v>103</v>
      </c>
      <c r="E129" s="53"/>
      <c r="F129" s="53"/>
      <c r="G129" s="53"/>
      <c r="H129" s="3"/>
      <c r="I129" s="3"/>
      <c r="J129" s="3"/>
      <c r="K129" s="3"/>
      <c r="L129" s="3"/>
      <c r="M129" s="3"/>
    </row>
    <row r="130" spans="1:13" ht="12.75">
      <c r="A130" s="65">
        <f>5715367+850+19618+72074+33466+13322</f>
        <v>5854697</v>
      </c>
      <c r="B130" s="65">
        <f>648000+195696</f>
        <v>843696</v>
      </c>
      <c r="C130" s="66">
        <f>396000+119592</f>
        <v>515592</v>
      </c>
      <c r="D130" s="67">
        <f>A130+B130+C130</f>
        <v>7213985</v>
      </c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>
      <c r="A131" s="58"/>
      <c r="B131" s="58"/>
      <c r="C131" s="58"/>
      <c r="D131" s="58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>
      <c r="A132" s="58"/>
      <c r="B132" s="58"/>
      <c r="C132" s="58"/>
      <c r="D132" s="58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>
      <c r="A133" s="68" t="s">
        <v>107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16" t="s">
        <v>108</v>
      </c>
      <c r="B135" s="16">
        <v>0</v>
      </c>
      <c r="C135" s="16"/>
      <c r="D135" s="18">
        <v>583679</v>
      </c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>
      <c r="A136" s="16" t="s">
        <v>109</v>
      </c>
      <c r="B136" s="16">
        <v>0</v>
      </c>
      <c r="C136" s="16"/>
      <c r="D136" s="18">
        <v>176271</v>
      </c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21" t="s">
        <v>50</v>
      </c>
      <c r="B137" s="21">
        <f>B135+B136</f>
        <v>0</v>
      </c>
      <c r="C137" s="21"/>
      <c r="D137" s="22">
        <f>D135+D136</f>
        <v>759950</v>
      </c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6:13" ht="12.75">
      <c r="F366" s="3"/>
      <c r="G366" s="3"/>
      <c r="H366" s="3"/>
      <c r="I366" s="3"/>
      <c r="J366" s="3"/>
      <c r="K366" s="3"/>
      <c r="L366" s="3"/>
      <c r="M366" s="3"/>
    </row>
  </sheetData>
  <sheetProtection selectLockedCells="1" selectUnlockedCells="1"/>
  <mergeCells count="19">
    <mergeCell ref="A2:G2"/>
    <mergeCell ref="A4:G4"/>
    <mergeCell ref="A5:A6"/>
    <mergeCell ref="B5:C5"/>
    <mergeCell ref="D5:D6"/>
    <mergeCell ref="B6:C6"/>
    <mergeCell ref="A11:G11"/>
    <mergeCell ref="A20:G20"/>
    <mergeCell ref="A44:G44"/>
    <mergeCell ref="A55:G55"/>
    <mergeCell ref="A71:G71"/>
    <mergeCell ref="A80:G80"/>
    <mergeCell ref="A90:G90"/>
    <mergeCell ref="A92:G92"/>
    <mergeCell ref="A97:G97"/>
    <mergeCell ref="A99:G99"/>
    <mergeCell ref="A107:G107"/>
    <mergeCell ref="A111:G111"/>
    <mergeCell ref="A118:G118"/>
  </mergeCells>
  <printOptions/>
  <pageMargins left="0.7083333333333334" right="0.7083333333333334" top="0.7479166666666667" bottom="0.7479166666666667" header="0.5118055555555555" footer="0.5118055555555555"/>
  <pageSetup fitToHeight="3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M366"/>
  <sheetViews>
    <sheetView workbookViewId="0" topLeftCell="A121">
      <selection activeCell="A130" sqref="A130"/>
    </sheetView>
  </sheetViews>
  <sheetFormatPr defaultColWidth="8.00390625" defaultRowHeight="12.75"/>
  <cols>
    <col min="1" max="1" width="18.00390625" style="0" customWidth="1"/>
    <col min="2" max="2" width="13.625" style="0" customWidth="1"/>
    <col min="3" max="3" width="13.00390625" style="0" customWidth="1"/>
    <col min="4" max="4" width="12.375" style="0" customWidth="1"/>
    <col min="5" max="5" width="15.625" style="0" customWidth="1"/>
    <col min="6" max="6" width="12.75390625" style="0" customWidth="1"/>
    <col min="7" max="7" width="13.625" style="0" customWidth="1"/>
    <col min="8" max="16384" width="9.00390625" style="0" customWidth="1"/>
  </cols>
  <sheetData>
    <row r="2" spans="1:13" ht="59.25" customHeight="1">
      <c r="A2" s="1" t="s">
        <v>172</v>
      </c>
      <c r="B2" s="1"/>
      <c r="C2" s="1"/>
      <c r="D2" s="1"/>
      <c r="E2" s="1"/>
      <c r="F2" s="1"/>
      <c r="G2" s="1"/>
      <c r="H2" s="2"/>
      <c r="I2" s="2"/>
      <c r="J2" s="2"/>
      <c r="K2" s="3"/>
      <c r="L2" s="3"/>
      <c r="M2" s="3"/>
    </row>
    <row r="3" spans="1:1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40.5" customHeight="1">
      <c r="A4" s="4" t="s">
        <v>1</v>
      </c>
      <c r="B4" s="4"/>
      <c r="C4" s="4"/>
      <c r="D4" s="4"/>
      <c r="E4" s="4"/>
      <c r="F4" s="4"/>
      <c r="G4" s="4"/>
      <c r="H4" s="3"/>
      <c r="I4" s="3"/>
      <c r="J4" s="3"/>
      <c r="K4" s="3"/>
      <c r="L4" s="3"/>
      <c r="M4" s="3"/>
    </row>
    <row r="5" spans="1:13" ht="12.75" customHeight="1">
      <c r="A5" s="5" t="s">
        <v>2</v>
      </c>
      <c r="B5" s="6" t="s">
        <v>3</v>
      </c>
      <c r="C5" s="6"/>
      <c r="D5" s="7" t="s">
        <v>4</v>
      </c>
      <c r="E5" s="3"/>
      <c r="F5" s="3"/>
      <c r="G5" s="3"/>
      <c r="H5" s="3"/>
      <c r="I5" s="3"/>
      <c r="J5" s="3"/>
      <c r="K5" s="3"/>
      <c r="L5" s="3"/>
      <c r="M5" s="3"/>
    </row>
    <row r="6" spans="1:13" ht="12.75" customHeight="1">
      <c r="A6" s="5"/>
      <c r="B6" s="8">
        <v>12</v>
      </c>
      <c r="C6" s="8"/>
      <c r="D6" s="7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 s="3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 s="3" t="s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42" customHeight="1">
      <c r="A11" s="4" t="s">
        <v>7</v>
      </c>
      <c r="B11" s="4"/>
      <c r="C11" s="4"/>
      <c r="D11" s="4"/>
      <c r="E11" s="4"/>
      <c r="F11" s="4"/>
      <c r="G11" s="4"/>
      <c r="H11" s="3"/>
      <c r="I11" s="3"/>
      <c r="J11" s="3"/>
      <c r="K11" s="3"/>
      <c r="L11" s="3"/>
      <c r="M11" s="3"/>
    </row>
    <row r="12" spans="1:1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 s="3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3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99" customHeight="1">
      <c r="A17" s="9" t="s">
        <v>10</v>
      </c>
      <c r="B17" s="9" t="s">
        <v>173</v>
      </c>
      <c r="C17" s="10" t="s">
        <v>12</v>
      </c>
      <c r="D17" s="9" t="s">
        <v>13</v>
      </c>
      <c r="E17" s="9" t="s">
        <v>14</v>
      </c>
      <c r="F17" s="9" t="s">
        <v>15</v>
      </c>
      <c r="G17" s="3"/>
      <c r="H17" s="3"/>
      <c r="I17" s="3"/>
      <c r="J17" s="3"/>
      <c r="K17" s="3"/>
      <c r="L17" s="3"/>
      <c r="M17" s="3"/>
    </row>
    <row r="18" spans="1:13" ht="29.25" customHeight="1">
      <c r="A18" s="9">
        <v>63</v>
      </c>
      <c r="B18" s="10">
        <v>0</v>
      </c>
      <c r="C18" s="9">
        <v>21</v>
      </c>
      <c r="D18" s="9">
        <v>2</v>
      </c>
      <c r="E18" s="11">
        <v>0</v>
      </c>
      <c r="F18" s="11">
        <v>50</v>
      </c>
      <c r="G18" s="3"/>
      <c r="H18" s="3"/>
      <c r="I18" s="3"/>
      <c r="J18" s="3"/>
      <c r="K18" s="3"/>
      <c r="L18" s="3"/>
      <c r="M18" s="3"/>
    </row>
    <row r="19" spans="1:1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27" customHeight="1">
      <c r="A20" s="12" t="s">
        <v>16</v>
      </c>
      <c r="B20" s="12"/>
      <c r="C20" s="12"/>
      <c r="D20" s="12"/>
      <c r="E20" s="12"/>
      <c r="F20" s="12"/>
      <c r="G20" s="12"/>
      <c r="H20" s="13"/>
      <c r="I20" s="13"/>
      <c r="J20" s="13"/>
      <c r="K20" s="3"/>
      <c r="L20" s="3"/>
      <c r="M20" s="3"/>
    </row>
    <row r="21" spans="1:13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 s="3" t="s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3" t="s">
        <v>18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3" t="s">
        <v>19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 s="3" t="s">
        <v>20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 t="s">
        <v>21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 s="3" t="s">
        <v>22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s="3" t="s">
        <v>23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63.75" customHeight="1">
      <c r="A36" s="14" t="s">
        <v>24</v>
      </c>
      <c r="B36" s="15" t="s">
        <v>25</v>
      </c>
      <c r="C36" s="14" t="s">
        <v>26</v>
      </c>
      <c r="D36" s="14" t="s">
        <v>27</v>
      </c>
      <c r="E36" s="14" t="s">
        <v>28</v>
      </c>
      <c r="F36" s="14" t="s">
        <v>29</v>
      </c>
      <c r="G36" s="3"/>
      <c r="H36" s="3"/>
      <c r="I36" s="3"/>
      <c r="J36" s="3"/>
      <c r="K36" s="3"/>
      <c r="L36" s="3"/>
      <c r="M36" s="3"/>
    </row>
    <row r="37" spans="1:13" ht="12.75">
      <c r="A37" s="16" t="s">
        <v>30</v>
      </c>
      <c r="B37" s="17">
        <f>F18</f>
        <v>50</v>
      </c>
      <c r="C37" s="18">
        <f>F53</f>
        <v>5989.139999999999</v>
      </c>
      <c r="D37" s="18">
        <f>E53</f>
        <v>299457</v>
      </c>
      <c r="E37" s="19">
        <f>G53</f>
        <v>0.9018222983600317</v>
      </c>
      <c r="F37" s="18">
        <f aca="true" t="shared" si="0" ref="F37:F40">D37*E37</f>
        <v>270057</v>
      </c>
      <c r="G37" s="3"/>
      <c r="H37" s="3"/>
      <c r="I37" s="3"/>
      <c r="J37" s="3"/>
      <c r="K37" s="3"/>
      <c r="L37" s="3"/>
      <c r="M37" s="3"/>
    </row>
    <row r="38" spans="1:13" ht="12.75">
      <c r="A38" s="16" t="s">
        <v>31</v>
      </c>
      <c r="B38" s="17">
        <f aca="true" t="shared" si="1" ref="B38:B41">B37</f>
        <v>50</v>
      </c>
      <c r="C38" s="18">
        <f>F69</f>
        <v>20431.62</v>
      </c>
      <c r="D38" s="18">
        <f>E69</f>
        <v>1021581</v>
      </c>
      <c r="E38" s="19">
        <f>G69</f>
        <v>0.735161480098005</v>
      </c>
      <c r="F38" s="18">
        <f t="shared" si="0"/>
        <v>751027</v>
      </c>
      <c r="G38" s="3"/>
      <c r="H38" s="3"/>
      <c r="I38" s="3"/>
      <c r="J38" s="3"/>
      <c r="K38" s="3"/>
      <c r="L38" s="3"/>
      <c r="M38" s="3"/>
    </row>
    <row r="39" spans="1:13" ht="12.75">
      <c r="A39" s="16" t="s">
        <v>32</v>
      </c>
      <c r="B39" s="17">
        <f t="shared" si="1"/>
        <v>50</v>
      </c>
      <c r="C39" s="18">
        <f>C78</f>
        <v>1468.16</v>
      </c>
      <c r="D39" s="18">
        <f>B78</f>
        <v>73408</v>
      </c>
      <c r="E39" s="19">
        <f>D78</f>
        <v>0.711775283347864</v>
      </c>
      <c r="F39" s="18">
        <f t="shared" si="0"/>
        <v>52250</v>
      </c>
      <c r="G39" s="3"/>
      <c r="H39" s="3"/>
      <c r="I39" s="3"/>
      <c r="J39" s="3"/>
      <c r="K39" s="3"/>
      <c r="L39" s="3"/>
      <c r="M39" s="3"/>
    </row>
    <row r="40" spans="1:13" ht="12.75">
      <c r="A40" s="16" t="s">
        <v>33</v>
      </c>
      <c r="B40" s="17">
        <f t="shared" si="1"/>
        <v>50</v>
      </c>
      <c r="C40" s="18">
        <f>F88</f>
        <v>0</v>
      </c>
      <c r="D40" s="18">
        <f>E88</f>
        <v>0</v>
      </c>
      <c r="E40" s="19">
        <v>0</v>
      </c>
      <c r="F40" s="18">
        <f t="shared" si="0"/>
        <v>0</v>
      </c>
      <c r="G40" s="3"/>
      <c r="H40" s="3"/>
      <c r="I40" s="3"/>
      <c r="J40" s="3"/>
      <c r="K40" s="3"/>
      <c r="L40" s="3"/>
      <c r="M40" s="3"/>
    </row>
    <row r="41" spans="1:13" ht="12.75">
      <c r="A41" s="16" t="s">
        <v>34</v>
      </c>
      <c r="B41" s="17">
        <f t="shared" si="1"/>
        <v>50</v>
      </c>
      <c r="C41" s="18">
        <v>0</v>
      </c>
      <c r="D41" s="18">
        <v>0</v>
      </c>
      <c r="E41" s="19">
        <v>1</v>
      </c>
      <c r="F41" s="18">
        <f>D137</f>
        <v>472583</v>
      </c>
      <c r="G41" s="3"/>
      <c r="H41" s="3"/>
      <c r="I41" s="3"/>
      <c r="J41" s="3"/>
      <c r="K41" s="3"/>
      <c r="L41" s="3"/>
      <c r="M41" s="3"/>
    </row>
    <row r="42" spans="1:13" ht="12.75">
      <c r="A42" s="20" t="s">
        <v>35</v>
      </c>
      <c r="B42" s="21"/>
      <c r="C42" s="22">
        <f>D42/B40</f>
        <v>27888.92</v>
      </c>
      <c r="D42" s="22">
        <f>SUM(D37:D40)</f>
        <v>1394446</v>
      </c>
      <c r="E42" s="23">
        <f>F42/D42</f>
        <v>1.1086245003392028</v>
      </c>
      <c r="F42" s="18">
        <f>F37+F38+F39+F40+F41</f>
        <v>1545917</v>
      </c>
      <c r="G42" s="24">
        <f>F42+E95</f>
        <v>1975997</v>
      </c>
      <c r="H42" s="3"/>
      <c r="I42" s="3"/>
      <c r="J42" s="3"/>
      <c r="K42" s="3"/>
      <c r="L42" s="3"/>
      <c r="M42" s="3"/>
    </row>
    <row r="43" spans="1:13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30.75" customHeight="1">
      <c r="A44" s="25" t="s">
        <v>174</v>
      </c>
      <c r="B44" s="25"/>
      <c r="C44" s="25"/>
      <c r="D44" s="25"/>
      <c r="E44" s="25"/>
      <c r="F44" s="25"/>
      <c r="G44" s="25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3" t="s">
        <v>37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63.75">
      <c r="A48" s="14" t="s">
        <v>38</v>
      </c>
      <c r="B48" s="14" t="s">
        <v>39</v>
      </c>
      <c r="C48" s="14" t="s">
        <v>40</v>
      </c>
      <c r="D48" s="14" t="s">
        <v>41</v>
      </c>
      <c r="E48" s="14" t="s">
        <v>42</v>
      </c>
      <c r="F48" s="14" t="s">
        <v>26</v>
      </c>
      <c r="G48" s="14" t="s">
        <v>28</v>
      </c>
      <c r="H48" s="3"/>
      <c r="I48" s="3"/>
      <c r="J48" s="3"/>
      <c r="K48" s="3"/>
      <c r="L48" s="3"/>
      <c r="M48" s="3"/>
    </row>
    <row r="49" spans="1:13" ht="25.5">
      <c r="A49" s="26" t="s">
        <v>43</v>
      </c>
      <c r="B49" s="27" t="s">
        <v>44</v>
      </c>
      <c r="C49" s="19">
        <v>0</v>
      </c>
      <c r="D49" s="19">
        <v>0</v>
      </c>
      <c r="E49" s="19">
        <v>0</v>
      </c>
      <c r="F49" s="19">
        <f aca="true" t="shared" si="2" ref="F49:F52">E49/$B$40</f>
        <v>0</v>
      </c>
      <c r="G49" s="19">
        <v>0</v>
      </c>
      <c r="H49" s="3"/>
      <c r="I49" s="3"/>
      <c r="J49" s="3"/>
      <c r="K49" s="3"/>
      <c r="L49" s="3"/>
      <c r="M49" s="3"/>
    </row>
    <row r="50" spans="1:13" ht="25.5">
      <c r="A50" s="26" t="s">
        <v>45</v>
      </c>
      <c r="B50" s="27" t="s">
        <v>46</v>
      </c>
      <c r="C50" s="19">
        <f>15621/2</f>
        <v>7810.5</v>
      </c>
      <c r="D50" s="19">
        <f aca="true" t="shared" si="3" ref="D50:D52">E50/C50</f>
        <v>7.768132641956341</v>
      </c>
      <c r="E50" s="19">
        <f>121346/2</f>
        <v>60673</v>
      </c>
      <c r="F50" s="19">
        <f t="shared" si="2"/>
        <v>1213.46</v>
      </c>
      <c r="G50" s="19">
        <f>(121346/2/E50)</f>
        <v>1</v>
      </c>
      <c r="H50" s="3"/>
      <c r="I50" s="3"/>
      <c r="J50" s="3"/>
      <c r="K50" s="3"/>
      <c r="L50" s="3"/>
      <c r="M50" s="3"/>
    </row>
    <row r="51" spans="1:13" ht="25.5">
      <c r="A51" s="26" t="s">
        <v>47</v>
      </c>
      <c r="B51" s="27" t="s">
        <v>48</v>
      </c>
      <c r="C51" s="19">
        <f>5400*90%</f>
        <v>4860</v>
      </c>
      <c r="D51" s="19">
        <f t="shared" si="3"/>
        <v>41.06666666666667</v>
      </c>
      <c r="E51" s="19">
        <f>221760*90%</f>
        <v>199584</v>
      </c>
      <c r="F51" s="19">
        <f t="shared" si="2"/>
        <v>3991.68</v>
      </c>
      <c r="G51" s="19">
        <f>(221760*90%/E51)</f>
        <v>1</v>
      </c>
      <c r="H51" s="3"/>
      <c r="I51" s="3"/>
      <c r="J51" s="3"/>
      <c r="K51" s="3"/>
      <c r="L51" s="3"/>
      <c r="M51" s="3"/>
    </row>
    <row r="52" spans="1:13" ht="25.5">
      <c r="A52" s="26" t="s">
        <v>49</v>
      </c>
      <c r="B52" s="27" t="s">
        <v>46</v>
      </c>
      <c r="C52" s="19">
        <v>1000</v>
      </c>
      <c r="D52" s="19">
        <f t="shared" si="3"/>
        <v>39.2</v>
      </c>
      <c r="E52" s="19">
        <v>39200</v>
      </c>
      <c r="F52" s="19">
        <f t="shared" si="2"/>
        <v>784</v>
      </c>
      <c r="G52" s="19">
        <f>(9800/E52)</f>
        <v>0.25</v>
      </c>
      <c r="H52" s="3"/>
      <c r="I52" s="3"/>
      <c r="J52" s="3"/>
      <c r="K52" s="3"/>
      <c r="L52" s="3"/>
      <c r="M52" s="3"/>
    </row>
    <row r="53" spans="1:13" ht="20.25" customHeight="1">
      <c r="A53" s="28" t="s">
        <v>50</v>
      </c>
      <c r="B53" s="29"/>
      <c r="C53" s="23"/>
      <c r="D53" s="23"/>
      <c r="E53" s="23">
        <f>E49+E50+E51+E52</f>
        <v>299457</v>
      </c>
      <c r="F53" s="23">
        <f>F49+F50+F51+F52</f>
        <v>5989.139999999999</v>
      </c>
      <c r="G53" s="23">
        <f>(121346/2+221760*90%+9800)/E53</f>
        <v>0.9018222983600317</v>
      </c>
      <c r="H53" s="3"/>
      <c r="I53" s="3"/>
      <c r="J53" s="3"/>
      <c r="K53" s="3"/>
      <c r="L53" s="3"/>
      <c r="M53" s="3"/>
    </row>
    <row r="54" spans="1:13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27.75" customHeight="1">
      <c r="A55" s="25" t="s">
        <v>175</v>
      </c>
      <c r="B55" s="25"/>
      <c r="C55" s="25"/>
      <c r="D55" s="25"/>
      <c r="E55" s="25"/>
      <c r="F55" s="25"/>
      <c r="G55" s="25"/>
      <c r="H55" s="3"/>
      <c r="I55" s="3"/>
      <c r="J55" s="3"/>
      <c r="K55" s="3"/>
      <c r="L55" s="3"/>
      <c r="M55" s="3"/>
    </row>
    <row r="56" spans="1:1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75">
      <c r="A57" s="3" t="s">
        <v>52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63.75">
      <c r="A59" s="14" t="s">
        <v>38</v>
      </c>
      <c r="B59" s="14" t="s">
        <v>39</v>
      </c>
      <c r="C59" s="14" t="s">
        <v>53</v>
      </c>
      <c r="D59" s="14" t="s">
        <v>54</v>
      </c>
      <c r="E59" s="14" t="s">
        <v>42</v>
      </c>
      <c r="F59" s="14" t="s">
        <v>26</v>
      </c>
      <c r="G59" s="14" t="s">
        <v>28</v>
      </c>
      <c r="H59" s="3"/>
      <c r="I59" s="3"/>
      <c r="J59" s="3"/>
      <c r="K59" s="3"/>
      <c r="L59" s="3"/>
      <c r="M59" s="3"/>
    </row>
    <row r="60" spans="1:13" ht="45.75" customHeight="1">
      <c r="A60" s="26" t="s">
        <v>55</v>
      </c>
      <c r="B60" s="30"/>
      <c r="C60" s="19"/>
      <c r="D60" s="19"/>
      <c r="E60" s="19">
        <v>98468</v>
      </c>
      <c r="F60" s="19">
        <f aca="true" t="shared" si="4" ref="F60:F68">E60/$B$40</f>
        <v>1969.36</v>
      </c>
      <c r="G60" s="19">
        <f>(70088/E60)</f>
        <v>0.7117845391396189</v>
      </c>
      <c r="H60" s="3"/>
      <c r="I60" s="3"/>
      <c r="J60" s="3"/>
      <c r="K60" s="3"/>
      <c r="L60" s="3"/>
      <c r="M60" s="3"/>
    </row>
    <row r="61" spans="1:13" ht="25.5">
      <c r="A61" s="26" t="s">
        <v>56</v>
      </c>
      <c r="B61" s="30" t="s">
        <v>57</v>
      </c>
      <c r="C61" s="19">
        <v>1</v>
      </c>
      <c r="D61" s="19">
        <f>E61/C61</f>
        <v>0</v>
      </c>
      <c r="E61" s="19">
        <v>0</v>
      </c>
      <c r="F61" s="19">
        <f t="shared" si="4"/>
        <v>0</v>
      </c>
      <c r="G61" s="19" t="e">
        <f aca="true" t="shared" si="5" ref="G61:G62">(0/E61)</f>
        <v>#DIV/0!</v>
      </c>
      <c r="H61" s="3"/>
      <c r="I61" s="3"/>
      <c r="J61" s="3"/>
      <c r="K61" s="3"/>
      <c r="L61" s="3"/>
      <c r="M61" s="3"/>
    </row>
    <row r="62" spans="1:13" ht="18" customHeight="1">
      <c r="A62" s="26" t="s">
        <v>58</v>
      </c>
      <c r="B62" s="30"/>
      <c r="C62" s="19"/>
      <c r="D62" s="19"/>
      <c r="E62" s="19">
        <v>0</v>
      </c>
      <c r="F62" s="19">
        <f t="shared" si="4"/>
        <v>0</v>
      </c>
      <c r="G62" s="19" t="e">
        <f t="shared" si="5"/>
        <v>#DIV/0!</v>
      </c>
      <c r="H62" s="3"/>
      <c r="I62" s="3"/>
      <c r="J62" s="3"/>
      <c r="K62" s="3"/>
      <c r="L62" s="3"/>
      <c r="M62" s="3"/>
    </row>
    <row r="63" spans="1:13" ht="18" customHeight="1">
      <c r="A63" s="26" t="s">
        <v>59</v>
      </c>
      <c r="B63" s="30"/>
      <c r="C63" s="19"/>
      <c r="D63" s="19"/>
      <c r="E63" s="19">
        <v>809640</v>
      </c>
      <c r="F63" s="19">
        <f t="shared" si="4"/>
        <v>16192.8</v>
      </c>
      <c r="G63" s="19">
        <f>(576292/E63)</f>
        <v>0.7117879551405563</v>
      </c>
      <c r="H63" s="3"/>
      <c r="I63" s="3"/>
      <c r="J63" s="3"/>
      <c r="K63" s="3"/>
      <c r="L63" s="3"/>
      <c r="M63" s="3"/>
    </row>
    <row r="64" spans="1:13" ht="25.5">
      <c r="A64" s="26" t="s">
        <v>43</v>
      </c>
      <c r="B64" s="27" t="s">
        <v>44</v>
      </c>
      <c r="C64" s="19">
        <v>0</v>
      </c>
      <c r="D64" s="19">
        <v>0</v>
      </c>
      <c r="E64" s="19">
        <v>0</v>
      </c>
      <c r="F64" s="19">
        <f t="shared" si="4"/>
        <v>0</v>
      </c>
      <c r="G64" s="19">
        <v>0</v>
      </c>
      <c r="H64" s="3"/>
      <c r="I64" s="3"/>
      <c r="J64" s="3"/>
      <c r="K64" s="3"/>
      <c r="L64" s="3"/>
      <c r="M64" s="3"/>
    </row>
    <row r="65" spans="1:13" ht="25.5">
      <c r="A65" s="26" t="s">
        <v>45</v>
      </c>
      <c r="B65" s="27" t="s">
        <v>46</v>
      </c>
      <c r="C65" s="19">
        <f>15621/2</f>
        <v>7810.5</v>
      </c>
      <c r="D65" s="19">
        <f aca="true" t="shared" si="6" ref="D65:D66">E65/C65</f>
        <v>7.768132641956341</v>
      </c>
      <c r="E65" s="19">
        <f>121346/2</f>
        <v>60673</v>
      </c>
      <c r="F65" s="19">
        <f t="shared" si="4"/>
        <v>1213.46</v>
      </c>
      <c r="G65" s="19">
        <f>(121346/2/E65)</f>
        <v>1</v>
      </c>
      <c r="H65" s="3"/>
      <c r="I65" s="3"/>
      <c r="J65" s="3"/>
      <c r="K65" s="3"/>
      <c r="L65" s="3"/>
      <c r="M65" s="3"/>
    </row>
    <row r="66" spans="1:13" ht="25.5">
      <c r="A66" s="26" t="s">
        <v>47</v>
      </c>
      <c r="B66" s="27" t="s">
        <v>48</v>
      </c>
      <c r="C66" s="19">
        <f>5400*10%</f>
        <v>540</v>
      </c>
      <c r="D66" s="19">
        <f t="shared" si="6"/>
        <v>41.06666666666667</v>
      </c>
      <c r="E66" s="19">
        <f>221760*10%</f>
        <v>22176</v>
      </c>
      <c r="F66" s="19">
        <f t="shared" si="4"/>
        <v>443.52</v>
      </c>
      <c r="G66" s="19">
        <f>(221760*10%/E66)</f>
        <v>1</v>
      </c>
      <c r="H66" s="3"/>
      <c r="I66" s="3"/>
      <c r="J66" s="3"/>
      <c r="K66" s="3"/>
      <c r="L66" s="3"/>
      <c r="M66" s="3"/>
    </row>
    <row r="67" spans="1:13" ht="25.5" customHeight="1">
      <c r="A67" s="26" t="s">
        <v>60</v>
      </c>
      <c r="B67" s="30"/>
      <c r="C67" s="19"/>
      <c r="D67" s="19"/>
      <c r="E67" s="19">
        <v>10192</v>
      </c>
      <c r="F67" s="19">
        <f t="shared" si="4"/>
        <v>203.84</v>
      </c>
      <c r="G67" s="19">
        <f>(7255/E67)</f>
        <v>0.7118328100470958</v>
      </c>
      <c r="H67" s="3"/>
      <c r="I67" s="3"/>
      <c r="J67" s="3"/>
      <c r="K67" s="3"/>
      <c r="L67" s="3"/>
      <c r="M67" s="3"/>
    </row>
    <row r="68" spans="1:13" ht="12.75">
      <c r="A68" s="26" t="s">
        <v>61</v>
      </c>
      <c r="B68" s="30"/>
      <c r="C68" s="19"/>
      <c r="D68" s="19"/>
      <c r="E68" s="19">
        <v>20432</v>
      </c>
      <c r="F68" s="19">
        <f t="shared" si="4"/>
        <v>408.64</v>
      </c>
      <c r="G68" s="19">
        <f>(14543/E68)</f>
        <v>0.711775646045419</v>
      </c>
      <c r="H68" s="3"/>
      <c r="I68" s="3"/>
      <c r="J68" s="3"/>
      <c r="K68" s="3"/>
      <c r="L68" s="3"/>
      <c r="M68" s="3"/>
    </row>
    <row r="69" spans="1:13" ht="24.75" customHeight="1">
      <c r="A69" s="28" t="s">
        <v>50</v>
      </c>
      <c r="B69" s="31"/>
      <c r="C69" s="23"/>
      <c r="D69" s="23"/>
      <c r="E69" s="23">
        <f>SUM(E60:E68)</f>
        <v>1021581</v>
      </c>
      <c r="F69" s="23">
        <f>SUM(F60:F68)</f>
        <v>20431.62</v>
      </c>
      <c r="G69" s="23">
        <f>(70088+576292+121346/2+221760*10%+14543+7255)/E69</f>
        <v>0.735161480098005</v>
      </c>
      <c r="H69" s="3"/>
      <c r="I69" s="3"/>
      <c r="J69" s="3"/>
      <c r="K69" s="3"/>
      <c r="L69" s="3"/>
      <c r="M69" s="3"/>
    </row>
    <row r="70" spans="1:13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27" customHeight="1">
      <c r="A71" s="25" t="s">
        <v>62</v>
      </c>
      <c r="B71" s="25"/>
      <c r="C71" s="25"/>
      <c r="D71" s="25"/>
      <c r="E71" s="25"/>
      <c r="F71" s="25"/>
      <c r="G71" s="25"/>
      <c r="H71" s="3"/>
      <c r="I71" s="3"/>
      <c r="J71" s="3"/>
      <c r="K71" s="3"/>
      <c r="L71" s="3"/>
      <c r="M71" s="3"/>
    </row>
    <row r="72" spans="1:13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>
      <c r="A73" s="3" t="s">
        <v>63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63.75">
      <c r="A75" s="14" t="s">
        <v>38</v>
      </c>
      <c r="B75" s="14" t="s">
        <v>42</v>
      </c>
      <c r="C75" s="14" t="s">
        <v>26</v>
      </c>
      <c r="D75" s="14" t="s">
        <v>28</v>
      </c>
      <c r="E75" s="32"/>
      <c r="F75" s="32"/>
      <c r="G75" s="32"/>
      <c r="H75" s="3"/>
      <c r="I75" s="3"/>
      <c r="J75" s="3"/>
      <c r="K75" s="3"/>
      <c r="L75" s="3"/>
      <c r="M75" s="3"/>
    </row>
    <row r="76" spans="1:13" ht="51">
      <c r="A76" s="26" t="s">
        <v>64</v>
      </c>
      <c r="B76" s="33">
        <v>1147</v>
      </c>
      <c r="C76" s="19">
        <f aca="true" t="shared" si="7" ref="C76:C77">B76/$B$40</f>
        <v>22.94</v>
      </c>
      <c r="D76" s="19">
        <f>(816/B76)</f>
        <v>0.7114210985178727</v>
      </c>
      <c r="E76" s="34"/>
      <c r="F76" s="35"/>
      <c r="G76" s="35"/>
      <c r="H76" s="3"/>
      <c r="I76" s="3"/>
      <c r="J76" s="3"/>
      <c r="K76" s="3"/>
      <c r="L76" s="3"/>
      <c r="M76" s="3"/>
    </row>
    <row r="77" spans="1:13" ht="19.5" customHeight="1">
      <c r="A77" s="26" t="s">
        <v>65</v>
      </c>
      <c r="B77" s="33">
        <f>54806+17455</f>
        <v>72261</v>
      </c>
      <c r="C77" s="19">
        <f t="shared" si="7"/>
        <v>1445.22</v>
      </c>
      <c r="D77" s="19">
        <f>(39010+12424)/B77</f>
        <v>0.7117809053292924</v>
      </c>
      <c r="E77" s="34"/>
      <c r="F77" s="35"/>
      <c r="G77" s="35"/>
      <c r="H77" s="3"/>
      <c r="I77" s="3"/>
      <c r="J77" s="3"/>
      <c r="K77" s="3"/>
      <c r="L77" s="3"/>
      <c r="M77" s="3"/>
    </row>
    <row r="78" spans="1:13" ht="27" customHeight="1">
      <c r="A78" s="28" t="s">
        <v>50</v>
      </c>
      <c r="B78" s="36">
        <f>SUM(B76:B77)</f>
        <v>73408</v>
      </c>
      <c r="C78" s="36">
        <f>SUM(C76:C77)</f>
        <v>1468.16</v>
      </c>
      <c r="D78" s="36">
        <f>(39010+12424+816)/B78</f>
        <v>0.711775283347864</v>
      </c>
      <c r="E78" s="37"/>
      <c r="F78" s="37"/>
      <c r="G78" s="37"/>
      <c r="H78" s="3"/>
      <c r="I78" s="3"/>
      <c r="J78" s="3"/>
      <c r="K78" s="3"/>
      <c r="L78" s="3"/>
      <c r="M78" s="3"/>
    </row>
    <row r="79" spans="1:13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29.25" customHeight="1">
      <c r="A80" s="25" t="s">
        <v>163</v>
      </c>
      <c r="B80" s="25"/>
      <c r="C80" s="25"/>
      <c r="D80" s="25"/>
      <c r="E80" s="25"/>
      <c r="F80" s="25"/>
      <c r="G80" s="25"/>
      <c r="H80" s="3"/>
      <c r="I80" s="3"/>
      <c r="J80" s="3"/>
      <c r="K80" s="3"/>
      <c r="L80" s="3"/>
      <c r="M80" s="3"/>
    </row>
    <row r="81" spans="1:13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 hidden="1">
      <c r="A82" s="3" t="s">
        <v>67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63.75" hidden="1">
      <c r="A84" s="38" t="s">
        <v>68</v>
      </c>
      <c r="B84" s="10" t="s">
        <v>69</v>
      </c>
      <c r="C84" s="14" t="s">
        <v>54</v>
      </c>
      <c r="D84" s="10" t="s">
        <v>70</v>
      </c>
      <c r="E84" s="39" t="s">
        <v>71</v>
      </c>
      <c r="F84" s="14" t="s">
        <v>26</v>
      </c>
      <c r="G84" s="14" t="s">
        <v>28</v>
      </c>
      <c r="H84" s="3"/>
      <c r="I84" s="3"/>
      <c r="J84" s="3"/>
      <c r="K84" s="3"/>
      <c r="L84" s="3"/>
      <c r="M84" s="3"/>
    </row>
    <row r="85" spans="1:13" ht="12.75" hidden="1">
      <c r="A85" s="40" t="s">
        <v>72</v>
      </c>
      <c r="B85" s="41">
        <v>1</v>
      </c>
      <c r="C85" s="42">
        <f aca="true" t="shared" si="8" ref="C85:C86">E85/D85/B85</f>
        <v>0</v>
      </c>
      <c r="D85" s="43">
        <v>12</v>
      </c>
      <c r="E85" s="44">
        <v>0</v>
      </c>
      <c r="F85" s="19">
        <f aca="true" t="shared" si="9" ref="F85:F88">E85/$B$40</f>
        <v>0</v>
      </c>
      <c r="G85" s="19" t="e">
        <f aca="true" t="shared" si="10" ref="G85:G87">(0/E85)</f>
        <v>#DIV/0!</v>
      </c>
      <c r="H85" s="3"/>
      <c r="I85" s="3"/>
      <c r="J85" s="3"/>
      <c r="K85" s="3"/>
      <c r="L85" s="3"/>
      <c r="M85" s="3"/>
    </row>
    <row r="86" spans="1:13" ht="12.75" hidden="1">
      <c r="A86" s="40" t="s">
        <v>73</v>
      </c>
      <c r="B86" s="39">
        <v>1</v>
      </c>
      <c r="C86" s="42">
        <f t="shared" si="8"/>
        <v>0</v>
      </c>
      <c r="D86" s="43">
        <v>12</v>
      </c>
      <c r="E86" s="44">
        <v>0</v>
      </c>
      <c r="F86" s="19">
        <f t="shared" si="9"/>
        <v>0</v>
      </c>
      <c r="G86" s="19" t="e">
        <f t="shared" si="10"/>
        <v>#DIV/0!</v>
      </c>
      <c r="H86" s="3"/>
      <c r="I86" s="3"/>
      <c r="J86" s="3"/>
      <c r="K86" s="3"/>
      <c r="L86" s="3"/>
      <c r="M86" s="3"/>
    </row>
    <row r="87" spans="1:13" ht="12.75" hidden="1">
      <c r="A87" s="40" t="s">
        <v>74</v>
      </c>
      <c r="B87" s="41"/>
      <c r="C87" s="41"/>
      <c r="D87" s="43"/>
      <c r="E87" s="44">
        <v>0</v>
      </c>
      <c r="F87" s="19">
        <f t="shared" si="9"/>
        <v>0</v>
      </c>
      <c r="G87" s="19" t="e">
        <f t="shared" si="10"/>
        <v>#DIV/0!</v>
      </c>
      <c r="H87" s="3"/>
      <c r="I87" s="3"/>
      <c r="J87" s="3"/>
      <c r="K87" s="3"/>
      <c r="L87" s="3"/>
      <c r="M87" s="3"/>
    </row>
    <row r="88" spans="1:13" ht="12.75" hidden="1">
      <c r="A88" s="45" t="s">
        <v>75</v>
      </c>
      <c r="B88" s="46"/>
      <c r="C88" s="46"/>
      <c r="D88" s="46"/>
      <c r="E88" s="47">
        <f>E85+E86+E87</f>
        <v>0</v>
      </c>
      <c r="F88" s="23">
        <f t="shared" si="9"/>
        <v>0</v>
      </c>
      <c r="G88" s="23" t="e">
        <f>0/E88</f>
        <v>#DIV/0!</v>
      </c>
      <c r="H88" s="3"/>
      <c r="I88" s="3"/>
      <c r="J88" s="3"/>
      <c r="K88" s="3"/>
      <c r="L88" s="3"/>
      <c r="M88" s="3"/>
    </row>
    <row r="89" spans="1:13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27" customHeight="1" hidden="1">
      <c r="A90" s="25" t="s">
        <v>151</v>
      </c>
      <c r="B90" s="25"/>
      <c r="C90" s="25"/>
      <c r="D90" s="25"/>
      <c r="E90" s="25"/>
      <c r="F90" s="25"/>
      <c r="G90" s="25"/>
      <c r="H90" s="3"/>
      <c r="I90" s="3"/>
      <c r="J90" s="3"/>
      <c r="K90" s="3"/>
      <c r="L90" s="3"/>
      <c r="M90" s="3"/>
    </row>
    <row r="91" spans="1:1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45" customHeight="1">
      <c r="A92" s="12" t="s">
        <v>77</v>
      </c>
      <c r="B92" s="12"/>
      <c r="C92" s="12"/>
      <c r="D92" s="12"/>
      <c r="E92" s="12"/>
      <c r="F92" s="12"/>
      <c r="G92" s="12"/>
      <c r="H92" s="13"/>
      <c r="I92" s="13"/>
      <c r="J92" s="13"/>
      <c r="K92" s="3"/>
      <c r="L92" s="3"/>
      <c r="M92" s="3"/>
    </row>
    <row r="93" spans="1:1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63.75">
      <c r="A94" s="14" t="s">
        <v>38</v>
      </c>
      <c r="B94" s="39" t="s">
        <v>71</v>
      </c>
      <c r="C94" s="14" t="s">
        <v>26</v>
      </c>
      <c r="D94" s="14" t="s">
        <v>28</v>
      </c>
      <c r="E94" s="48" t="s">
        <v>78</v>
      </c>
      <c r="F94" s="16" t="s">
        <v>79</v>
      </c>
      <c r="G94" s="3"/>
      <c r="H94" s="3"/>
      <c r="I94" s="3"/>
      <c r="J94" s="3"/>
      <c r="K94" s="3"/>
      <c r="L94" s="3"/>
      <c r="M94" s="3"/>
    </row>
    <row r="95" spans="1:13" ht="12.75">
      <c r="A95" s="49" t="s">
        <v>80</v>
      </c>
      <c r="B95" s="36">
        <v>604255</v>
      </c>
      <c r="C95" s="23">
        <f>B95/$B$40</f>
        <v>12085.1</v>
      </c>
      <c r="D95" s="23">
        <f>430080/B95</f>
        <v>0.7117524886016665</v>
      </c>
      <c r="E95" s="18">
        <f>B95*D95</f>
        <v>430080</v>
      </c>
      <c r="F95" s="18">
        <f>E95-B95</f>
        <v>-174175</v>
      </c>
      <c r="G95" s="3"/>
      <c r="H95" s="3"/>
      <c r="I95" s="3"/>
      <c r="J95" s="3"/>
      <c r="K95" s="3"/>
      <c r="L95" s="3"/>
      <c r="M95" s="3"/>
    </row>
    <row r="96" spans="1:1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34.5" customHeight="1">
      <c r="A97" s="25" t="s">
        <v>81</v>
      </c>
      <c r="B97" s="25"/>
      <c r="C97" s="25"/>
      <c r="D97" s="25"/>
      <c r="E97" s="25"/>
      <c r="F97" s="25"/>
      <c r="G97" s="25"/>
      <c r="H97" s="3"/>
      <c r="I97" s="3"/>
      <c r="J97" s="3"/>
      <c r="K97" s="3"/>
      <c r="L97" s="3"/>
      <c r="M97" s="3"/>
    </row>
    <row r="98" spans="1:1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48.75" customHeight="1">
      <c r="A99" s="50" t="s">
        <v>176</v>
      </c>
      <c r="B99" s="50"/>
      <c r="C99" s="50"/>
      <c r="D99" s="50"/>
      <c r="E99" s="50"/>
      <c r="F99" s="50"/>
      <c r="G99" s="50"/>
      <c r="H99" s="3"/>
      <c r="I99" s="3"/>
      <c r="J99" s="3"/>
      <c r="K99" s="3"/>
      <c r="L99" s="3"/>
      <c r="M99" s="3"/>
    </row>
    <row r="100" spans="1:13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4.25">
      <c r="A101" s="3" t="s">
        <v>83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>
      <c r="A103" s="3" t="s">
        <v>84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>
      <c r="A105" s="3" t="s">
        <v>85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7.25" customHeight="1">
      <c r="A107" s="4" t="s">
        <v>86</v>
      </c>
      <c r="B107" s="4"/>
      <c r="C107" s="4"/>
      <c r="D107" s="4"/>
      <c r="E107" s="4"/>
      <c r="F107" s="4"/>
      <c r="G107" s="4"/>
      <c r="H107" s="3"/>
      <c r="I107" s="3"/>
      <c r="J107" s="3"/>
      <c r="K107" s="3"/>
      <c r="L107" s="3"/>
      <c r="M107" s="3"/>
    </row>
    <row r="108" spans="1:13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>
      <c r="A109" s="3" t="s">
        <v>87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3.5" customHeight="1">
      <c r="A111" s="4" t="s">
        <v>88</v>
      </c>
      <c r="B111" s="4"/>
      <c r="C111" s="4"/>
      <c r="D111" s="4"/>
      <c r="E111" s="4"/>
      <c r="F111" s="4"/>
      <c r="G111" s="4"/>
      <c r="H111" s="3"/>
      <c r="I111" s="3"/>
      <c r="J111" s="3"/>
      <c r="K111" s="3"/>
      <c r="L111" s="3"/>
      <c r="M111" s="3"/>
    </row>
    <row r="112" spans="1:1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>
      <c r="A113" s="3" t="s">
        <v>5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14.75">
      <c r="A115" s="14" t="s">
        <v>89</v>
      </c>
      <c r="B115" s="14" t="s">
        <v>90</v>
      </c>
      <c r="C115" s="39" t="s">
        <v>91</v>
      </c>
      <c r="D115" s="14" t="s">
        <v>92</v>
      </c>
      <c r="E115" s="14" t="s">
        <v>93</v>
      </c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36">
        <f>C42</f>
        <v>27888.92</v>
      </c>
      <c r="B116" s="36">
        <f>E42</f>
        <v>1.1086245003392028</v>
      </c>
      <c r="C116" s="23">
        <f>C95</f>
        <v>12085.1</v>
      </c>
      <c r="D116" s="23">
        <f>D95</f>
        <v>0.7117524886016665</v>
      </c>
      <c r="E116" s="36">
        <f>(A116*B116+C116*D116)*F18</f>
        <v>1975996.9999999998</v>
      </c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94.5" customHeight="1">
      <c r="A118" s="12" t="s">
        <v>177</v>
      </c>
      <c r="B118" s="12"/>
      <c r="C118" s="12"/>
      <c r="D118" s="12"/>
      <c r="E118" s="12"/>
      <c r="F118" s="12"/>
      <c r="G118" s="12"/>
      <c r="H118" s="3"/>
      <c r="I118" s="3"/>
      <c r="J118" s="3"/>
      <c r="K118" s="3"/>
      <c r="L118" s="3"/>
      <c r="M118" s="3"/>
    </row>
    <row r="119" spans="1:13" ht="12.75">
      <c r="A119" s="3"/>
      <c r="B119" s="3"/>
      <c r="C119" s="3"/>
      <c r="D119" s="3" t="s">
        <v>95</v>
      </c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>
      <c r="A121" s="3" t="s">
        <v>96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>
      <c r="A123" s="3" t="s">
        <v>97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>
      <c r="A125" s="3" t="s">
        <v>98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>
      <c r="A127" s="3" t="s">
        <v>99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40.25">
      <c r="A129" s="51" t="s">
        <v>100</v>
      </c>
      <c r="B129" s="52" t="s">
        <v>101</v>
      </c>
      <c r="C129" s="51" t="s">
        <v>102</v>
      </c>
      <c r="D129" s="51" t="s">
        <v>103</v>
      </c>
      <c r="E129" s="53"/>
      <c r="F129" s="53"/>
      <c r="G129" s="53"/>
      <c r="H129" s="3"/>
      <c r="I129" s="3"/>
      <c r="J129" s="3"/>
      <c r="K129" s="3"/>
      <c r="L129" s="3"/>
      <c r="M129" s="3"/>
    </row>
    <row r="130" spans="1:13" ht="12.75">
      <c r="A130" s="65">
        <f>4258767+26573+55474+7544</f>
        <v>4348358</v>
      </c>
      <c r="B130" s="65">
        <f>432000+130464</f>
        <v>562464</v>
      </c>
      <c r="C130" s="66">
        <f>288000+86976</f>
        <v>374976</v>
      </c>
      <c r="D130" s="67">
        <f>A130+B130+C130</f>
        <v>5285798</v>
      </c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>
      <c r="A131" s="58"/>
      <c r="B131" s="58"/>
      <c r="C131" s="58"/>
      <c r="D131" s="58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>
      <c r="A132" s="58"/>
      <c r="B132" s="58"/>
      <c r="C132" s="58"/>
      <c r="D132" s="58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>
      <c r="A133" s="68" t="s">
        <v>107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16" t="s">
        <v>108</v>
      </c>
      <c r="B135" s="16">
        <v>0</v>
      </c>
      <c r="C135" s="16"/>
      <c r="D135" s="18">
        <v>362967</v>
      </c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>
      <c r="A136" s="16" t="s">
        <v>109</v>
      </c>
      <c r="B136" s="16">
        <v>0</v>
      </c>
      <c r="C136" s="16"/>
      <c r="D136" s="18">
        <v>109616</v>
      </c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21" t="s">
        <v>50</v>
      </c>
      <c r="B137" s="21">
        <f>B135+B136</f>
        <v>0</v>
      </c>
      <c r="C137" s="21"/>
      <c r="D137" s="22">
        <f>D135+D136</f>
        <v>472583</v>
      </c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6:13" ht="12.75">
      <c r="F366" s="3"/>
      <c r="G366" s="3"/>
      <c r="H366" s="3"/>
      <c r="I366" s="3"/>
      <c r="J366" s="3"/>
      <c r="K366" s="3"/>
      <c r="L366" s="3"/>
      <c r="M366" s="3"/>
    </row>
  </sheetData>
  <sheetProtection selectLockedCells="1" selectUnlockedCells="1"/>
  <mergeCells count="19">
    <mergeCell ref="A2:G2"/>
    <mergeCell ref="A4:G4"/>
    <mergeCell ref="A5:A6"/>
    <mergeCell ref="B5:C5"/>
    <mergeCell ref="D5:D6"/>
    <mergeCell ref="B6:C6"/>
    <mergeCell ref="A11:G11"/>
    <mergeCell ref="A20:G20"/>
    <mergeCell ref="A44:G44"/>
    <mergeCell ref="A55:G55"/>
    <mergeCell ref="A71:G71"/>
    <mergeCell ref="A80:G80"/>
    <mergeCell ref="A90:G90"/>
    <mergeCell ref="A92:G92"/>
    <mergeCell ref="A97:G97"/>
    <mergeCell ref="A99:G99"/>
    <mergeCell ref="A107:G107"/>
    <mergeCell ref="A111:G111"/>
    <mergeCell ref="A118:G118"/>
  </mergeCells>
  <printOptions/>
  <pageMargins left="0.7083333333333334" right="0.7083333333333334" top="0.7479166666666667" bottom="0.7479166666666667" header="0.5118055555555555" footer="0.5118055555555555"/>
  <pageSetup fitToHeight="3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M366"/>
  <sheetViews>
    <sheetView workbookViewId="0" topLeftCell="A121">
      <selection activeCell="A130" sqref="A130"/>
    </sheetView>
  </sheetViews>
  <sheetFormatPr defaultColWidth="8.00390625" defaultRowHeight="12.75"/>
  <cols>
    <col min="1" max="1" width="18.00390625" style="0" customWidth="1"/>
    <col min="2" max="2" width="13.625" style="0" customWidth="1"/>
    <col min="3" max="3" width="13.00390625" style="0" customWidth="1"/>
    <col min="4" max="4" width="12.375" style="0" customWidth="1"/>
    <col min="5" max="5" width="15.625" style="0" customWidth="1"/>
    <col min="6" max="6" width="12.75390625" style="0" customWidth="1"/>
    <col min="7" max="7" width="13.625" style="0" customWidth="1"/>
    <col min="8" max="16384" width="9.00390625" style="0" customWidth="1"/>
  </cols>
  <sheetData>
    <row r="2" spans="1:13" ht="59.25" customHeight="1">
      <c r="A2" s="1" t="s">
        <v>178</v>
      </c>
      <c r="B2" s="1"/>
      <c r="C2" s="1"/>
      <c r="D2" s="1"/>
      <c r="E2" s="1"/>
      <c r="F2" s="1"/>
      <c r="G2" s="1"/>
      <c r="H2" s="2"/>
      <c r="I2" s="2"/>
      <c r="J2" s="2"/>
      <c r="K2" s="3"/>
      <c r="L2" s="3"/>
      <c r="M2" s="3"/>
    </row>
    <row r="3" spans="1:1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40.5" customHeight="1">
      <c r="A4" s="4" t="s">
        <v>1</v>
      </c>
      <c r="B4" s="4"/>
      <c r="C4" s="4"/>
      <c r="D4" s="4"/>
      <c r="E4" s="4"/>
      <c r="F4" s="4"/>
      <c r="G4" s="4"/>
      <c r="H4" s="3"/>
      <c r="I4" s="3"/>
      <c r="J4" s="3"/>
      <c r="K4" s="3"/>
      <c r="L4" s="3"/>
      <c r="M4" s="3"/>
    </row>
    <row r="5" spans="1:13" ht="12.75" customHeight="1">
      <c r="A5" s="5" t="s">
        <v>2</v>
      </c>
      <c r="B5" s="6" t="s">
        <v>3</v>
      </c>
      <c r="C5" s="6"/>
      <c r="D5" s="7" t="s">
        <v>4</v>
      </c>
      <c r="E5" s="3"/>
      <c r="F5" s="3"/>
      <c r="G5" s="3"/>
      <c r="H5" s="3"/>
      <c r="I5" s="3"/>
      <c r="J5" s="3"/>
      <c r="K5" s="3"/>
      <c r="L5" s="3"/>
      <c r="M5" s="3"/>
    </row>
    <row r="6" spans="1:13" ht="12.75" customHeight="1">
      <c r="A6" s="5"/>
      <c r="B6" s="8">
        <v>12</v>
      </c>
      <c r="C6" s="8"/>
      <c r="D6" s="7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 s="3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 s="3" t="s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42" customHeight="1">
      <c r="A11" s="4" t="s">
        <v>7</v>
      </c>
      <c r="B11" s="4"/>
      <c r="C11" s="4"/>
      <c r="D11" s="4"/>
      <c r="E11" s="4"/>
      <c r="F11" s="4"/>
      <c r="G11" s="4"/>
      <c r="H11" s="3"/>
      <c r="I11" s="3"/>
      <c r="J11" s="3"/>
      <c r="K11" s="3"/>
      <c r="L11" s="3"/>
      <c r="M11" s="3"/>
    </row>
    <row r="12" spans="1:1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 s="3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3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99" customHeight="1">
      <c r="A17" s="9" t="s">
        <v>10</v>
      </c>
      <c r="B17" s="9" t="s">
        <v>119</v>
      </c>
      <c r="C17" s="10" t="s">
        <v>12</v>
      </c>
      <c r="D17" s="9" t="s">
        <v>13</v>
      </c>
      <c r="E17" s="9" t="s">
        <v>14</v>
      </c>
      <c r="F17" s="9" t="s">
        <v>15</v>
      </c>
      <c r="G17" s="3"/>
      <c r="H17" s="3"/>
      <c r="I17" s="3"/>
      <c r="J17" s="3"/>
      <c r="K17" s="3"/>
      <c r="L17" s="3"/>
      <c r="M17" s="3"/>
    </row>
    <row r="18" spans="1:13" ht="29.25" customHeight="1">
      <c r="A18" s="9">
        <v>121</v>
      </c>
      <c r="B18" s="10">
        <v>0</v>
      </c>
      <c r="C18" s="9">
        <v>26</v>
      </c>
      <c r="D18" s="9">
        <v>17</v>
      </c>
      <c r="E18" s="11">
        <v>18</v>
      </c>
      <c r="F18" s="11">
        <v>112</v>
      </c>
      <c r="G18" s="3"/>
      <c r="H18" s="3"/>
      <c r="I18" s="3"/>
      <c r="J18" s="3"/>
      <c r="K18" s="3"/>
      <c r="L18" s="3"/>
      <c r="M18" s="3"/>
    </row>
    <row r="19" spans="1:1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27" customHeight="1">
      <c r="A20" s="12" t="s">
        <v>16</v>
      </c>
      <c r="B20" s="12"/>
      <c r="C20" s="12"/>
      <c r="D20" s="12"/>
      <c r="E20" s="12"/>
      <c r="F20" s="12"/>
      <c r="G20" s="12"/>
      <c r="H20" s="13"/>
      <c r="I20" s="13"/>
      <c r="J20" s="13"/>
      <c r="K20" s="3"/>
      <c r="L20" s="3"/>
      <c r="M20" s="3"/>
    </row>
    <row r="21" spans="1:13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 s="3" t="s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3" t="s">
        <v>18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3" t="s">
        <v>19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 s="3" t="s">
        <v>20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 t="s">
        <v>21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 s="3" t="s">
        <v>22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s="3" t="s">
        <v>23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63.75" customHeight="1">
      <c r="A36" s="14" t="s">
        <v>24</v>
      </c>
      <c r="B36" s="15" t="s">
        <v>25</v>
      </c>
      <c r="C36" s="14" t="s">
        <v>26</v>
      </c>
      <c r="D36" s="14" t="s">
        <v>27</v>
      </c>
      <c r="E36" s="14" t="s">
        <v>28</v>
      </c>
      <c r="F36" s="14" t="s">
        <v>29</v>
      </c>
      <c r="G36" s="3"/>
      <c r="H36" s="3"/>
      <c r="I36" s="3"/>
      <c r="J36" s="3"/>
      <c r="K36" s="3"/>
      <c r="L36" s="3"/>
      <c r="M36" s="3"/>
    </row>
    <row r="37" spans="1:13" ht="12.75">
      <c r="A37" s="16" t="s">
        <v>30</v>
      </c>
      <c r="B37" s="17">
        <f>F18</f>
        <v>112</v>
      </c>
      <c r="C37" s="18">
        <f>F53</f>
        <v>7551.6</v>
      </c>
      <c r="D37" s="18">
        <f>E53</f>
        <v>845779.2</v>
      </c>
      <c r="E37" s="19">
        <f>G53</f>
        <v>0.7100442999780557</v>
      </c>
      <c r="F37" s="18">
        <f aca="true" t="shared" si="0" ref="F37:F40">D37*E37</f>
        <v>600540.7</v>
      </c>
      <c r="G37" s="3"/>
      <c r="H37" s="3"/>
      <c r="I37" s="3"/>
      <c r="J37" s="3"/>
      <c r="K37" s="3"/>
      <c r="L37" s="3"/>
      <c r="M37" s="3"/>
    </row>
    <row r="38" spans="1:13" ht="12.75">
      <c r="A38" s="16" t="s">
        <v>31</v>
      </c>
      <c r="B38" s="17">
        <f aca="true" t="shared" si="1" ref="B38:B41">B37</f>
        <v>112</v>
      </c>
      <c r="C38" s="18">
        <f>F69</f>
        <v>10115.739285714286</v>
      </c>
      <c r="D38" s="18">
        <f>E69</f>
        <v>1132962.8</v>
      </c>
      <c r="E38" s="19">
        <f>G69</f>
        <v>0.681170026059108</v>
      </c>
      <c r="F38" s="18">
        <f t="shared" si="0"/>
        <v>771740.3</v>
      </c>
      <c r="G38" s="3"/>
      <c r="H38" s="3"/>
      <c r="I38" s="3"/>
      <c r="J38" s="3"/>
      <c r="K38" s="3"/>
      <c r="L38" s="3"/>
      <c r="M38" s="3"/>
    </row>
    <row r="39" spans="1:13" ht="12.75">
      <c r="A39" s="16" t="s">
        <v>32</v>
      </c>
      <c r="B39" s="17">
        <f t="shared" si="1"/>
        <v>112</v>
      </c>
      <c r="C39" s="18">
        <f>C78</f>
        <v>753.3214285714287</v>
      </c>
      <c r="D39" s="18">
        <f>B78</f>
        <v>84372</v>
      </c>
      <c r="E39" s="19">
        <f>D78</f>
        <v>0.711788270990376</v>
      </c>
      <c r="F39" s="18">
        <f t="shared" si="0"/>
        <v>60055.00000000001</v>
      </c>
      <c r="G39" s="3"/>
      <c r="H39" s="3"/>
      <c r="I39" s="3"/>
      <c r="J39" s="3"/>
      <c r="K39" s="3"/>
      <c r="L39" s="3"/>
      <c r="M39" s="3"/>
    </row>
    <row r="40" spans="1:13" ht="12.75">
      <c r="A40" s="16" t="s">
        <v>33</v>
      </c>
      <c r="B40" s="17">
        <f t="shared" si="1"/>
        <v>112</v>
      </c>
      <c r="C40" s="18">
        <f>F88</f>
        <v>0</v>
      </c>
      <c r="D40" s="18">
        <f>E88</f>
        <v>0</v>
      </c>
      <c r="E40" s="19">
        <v>0</v>
      </c>
      <c r="F40" s="18">
        <f t="shared" si="0"/>
        <v>0</v>
      </c>
      <c r="G40" s="3"/>
      <c r="H40" s="3"/>
      <c r="I40" s="3"/>
      <c r="J40" s="3"/>
      <c r="K40" s="3"/>
      <c r="L40" s="3"/>
      <c r="M40" s="3"/>
    </row>
    <row r="41" spans="1:13" ht="12.75">
      <c r="A41" s="16" t="s">
        <v>34</v>
      </c>
      <c r="B41" s="17">
        <f t="shared" si="1"/>
        <v>112</v>
      </c>
      <c r="C41" s="18">
        <v>0</v>
      </c>
      <c r="D41" s="18">
        <v>0</v>
      </c>
      <c r="E41" s="19">
        <v>1</v>
      </c>
      <c r="F41" s="18">
        <f>D137</f>
        <v>822065</v>
      </c>
      <c r="G41" s="3"/>
      <c r="H41" s="3"/>
      <c r="I41" s="3"/>
      <c r="J41" s="3"/>
      <c r="K41" s="3"/>
      <c r="L41" s="3"/>
      <c r="M41" s="3"/>
    </row>
    <row r="42" spans="1:13" ht="12.75">
      <c r="A42" s="20" t="s">
        <v>35</v>
      </c>
      <c r="B42" s="21"/>
      <c r="C42" s="22">
        <f>D42/B40</f>
        <v>18420.660714285714</v>
      </c>
      <c r="D42" s="22">
        <f>SUM(D37:D40)</f>
        <v>2063114</v>
      </c>
      <c r="E42" s="23">
        <f>F42/D42</f>
        <v>1.0927176103695675</v>
      </c>
      <c r="F42" s="18">
        <f>F37+F38+F39+F40+F41</f>
        <v>2254401</v>
      </c>
      <c r="G42" s="24">
        <f>F42+E95</f>
        <v>3211678</v>
      </c>
      <c r="H42" s="3"/>
      <c r="I42" s="3"/>
      <c r="J42" s="3"/>
      <c r="K42" s="3"/>
      <c r="L42" s="3"/>
      <c r="M42" s="3"/>
    </row>
    <row r="43" spans="1:13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30.75" customHeight="1">
      <c r="A44" s="25" t="s">
        <v>179</v>
      </c>
      <c r="B44" s="25"/>
      <c r="C44" s="25"/>
      <c r="D44" s="25"/>
      <c r="E44" s="25"/>
      <c r="F44" s="25"/>
      <c r="G44" s="25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3" t="s">
        <v>37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63.75">
      <c r="A48" s="14" t="s">
        <v>38</v>
      </c>
      <c r="B48" s="14" t="s">
        <v>39</v>
      </c>
      <c r="C48" s="14" t="s">
        <v>40</v>
      </c>
      <c r="D48" s="14" t="s">
        <v>41</v>
      </c>
      <c r="E48" s="14" t="s">
        <v>42</v>
      </c>
      <c r="F48" s="14" t="s">
        <v>26</v>
      </c>
      <c r="G48" s="14" t="s">
        <v>28</v>
      </c>
      <c r="H48" s="3"/>
      <c r="I48" s="3"/>
      <c r="J48" s="3"/>
      <c r="K48" s="3"/>
      <c r="L48" s="3"/>
      <c r="M48" s="3"/>
    </row>
    <row r="49" spans="1:13" ht="25.5">
      <c r="A49" s="26" t="s">
        <v>43</v>
      </c>
      <c r="B49" s="27" t="s">
        <v>44</v>
      </c>
      <c r="C49" s="19">
        <f>90.1/2</f>
        <v>45.05</v>
      </c>
      <c r="D49" s="19">
        <f>E49/C49</f>
        <v>3919.37846836848</v>
      </c>
      <c r="E49" s="19">
        <f>353136/2</f>
        <v>176568</v>
      </c>
      <c r="F49" s="19">
        <f aca="true" t="shared" si="2" ref="F49:F52">E49/$B$40</f>
        <v>1576.5</v>
      </c>
      <c r="G49" s="19">
        <f>(151451/2/E49)</f>
        <v>0.42887442798242037</v>
      </c>
      <c r="H49" s="3"/>
      <c r="I49" s="3"/>
      <c r="J49" s="3"/>
      <c r="K49" s="3"/>
      <c r="L49" s="3"/>
      <c r="M49" s="3"/>
    </row>
    <row r="50" spans="1:13" ht="25.5">
      <c r="A50" s="26" t="s">
        <v>45</v>
      </c>
      <c r="B50" s="27" t="s">
        <v>46</v>
      </c>
      <c r="C50" s="19">
        <v>0</v>
      </c>
      <c r="D50" s="19">
        <v>0</v>
      </c>
      <c r="E50" s="19">
        <v>0</v>
      </c>
      <c r="F50" s="19">
        <f t="shared" si="2"/>
        <v>0</v>
      </c>
      <c r="G50" s="19">
        <v>0</v>
      </c>
      <c r="H50" s="3"/>
      <c r="I50" s="3"/>
      <c r="J50" s="3"/>
      <c r="K50" s="3"/>
      <c r="L50" s="3"/>
      <c r="M50" s="3"/>
    </row>
    <row r="51" spans="1:13" ht="25.5">
      <c r="A51" s="26" t="s">
        <v>47</v>
      </c>
      <c r="B51" s="27" t="s">
        <v>48</v>
      </c>
      <c r="C51" s="19">
        <f>39000*90%</f>
        <v>35100</v>
      </c>
      <c r="D51" s="19">
        <f aca="true" t="shared" si="3" ref="D51:D52">E51/C51</f>
        <v>13.580717948717949</v>
      </c>
      <c r="E51" s="19">
        <f>529648*90%</f>
        <v>476683.2</v>
      </c>
      <c r="F51" s="19">
        <f t="shared" si="2"/>
        <v>4256.1</v>
      </c>
      <c r="G51" s="19">
        <f>(529648*90%/E51)</f>
        <v>1</v>
      </c>
      <c r="H51" s="3"/>
      <c r="I51" s="3"/>
      <c r="J51" s="3"/>
      <c r="K51" s="3"/>
      <c r="L51" s="3"/>
      <c r="M51" s="3"/>
    </row>
    <row r="52" spans="1:13" ht="25.5">
      <c r="A52" s="26" t="s">
        <v>49</v>
      </c>
      <c r="B52" s="27" t="s">
        <v>46</v>
      </c>
      <c r="C52" s="19">
        <f>1600+1510</f>
        <v>3110</v>
      </c>
      <c r="D52" s="19">
        <f t="shared" si="3"/>
        <v>61.906109324758845</v>
      </c>
      <c r="E52" s="19">
        <v>192528</v>
      </c>
      <c r="F52" s="19">
        <f t="shared" si="2"/>
        <v>1719</v>
      </c>
      <c r="G52" s="19">
        <f>(48132/E52)</f>
        <v>0.25</v>
      </c>
      <c r="H52" s="3"/>
      <c r="I52" s="3"/>
      <c r="J52" s="3"/>
      <c r="K52" s="3"/>
      <c r="L52" s="3"/>
      <c r="M52" s="3"/>
    </row>
    <row r="53" spans="1:13" ht="20.25" customHeight="1">
      <c r="A53" s="28" t="s">
        <v>50</v>
      </c>
      <c r="B53" s="29"/>
      <c r="C53" s="23"/>
      <c r="D53" s="23"/>
      <c r="E53" s="23">
        <f>E49+E50+E51+E52</f>
        <v>845779.2</v>
      </c>
      <c r="F53" s="23">
        <f>F49+F50+F51+F52</f>
        <v>7551.6</v>
      </c>
      <c r="G53" s="23">
        <f>(151451/2+529648*90%+48132)/E53</f>
        <v>0.7100442999780557</v>
      </c>
      <c r="H53" s="3"/>
      <c r="I53" s="3"/>
      <c r="J53" s="3"/>
      <c r="K53" s="3"/>
      <c r="L53" s="3"/>
      <c r="M53" s="3"/>
    </row>
    <row r="54" spans="1:13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31.5" customHeight="1">
      <c r="A55" s="25" t="s">
        <v>180</v>
      </c>
      <c r="B55" s="25"/>
      <c r="C55" s="25"/>
      <c r="D55" s="25"/>
      <c r="E55" s="25"/>
      <c r="F55" s="25"/>
      <c r="G55" s="25"/>
      <c r="H55" s="3"/>
      <c r="I55" s="3"/>
      <c r="J55" s="3"/>
      <c r="K55" s="3"/>
      <c r="L55" s="3"/>
      <c r="M55" s="3"/>
    </row>
    <row r="56" spans="1:1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75">
      <c r="A57" s="3" t="s">
        <v>52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63.75">
      <c r="A59" s="14" t="s">
        <v>38</v>
      </c>
      <c r="B59" s="14" t="s">
        <v>39</v>
      </c>
      <c r="C59" s="14" t="s">
        <v>53</v>
      </c>
      <c r="D59" s="14" t="s">
        <v>54</v>
      </c>
      <c r="E59" s="14" t="s">
        <v>42</v>
      </c>
      <c r="F59" s="14" t="s">
        <v>26</v>
      </c>
      <c r="G59" s="14" t="s">
        <v>28</v>
      </c>
      <c r="H59" s="3"/>
      <c r="I59" s="3"/>
      <c r="J59" s="3"/>
      <c r="K59" s="3"/>
      <c r="L59" s="3"/>
      <c r="M59" s="3"/>
    </row>
    <row r="60" spans="1:13" ht="45.75" customHeight="1">
      <c r="A60" s="26" t="s">
        <v>55</v>
      </c>
      <c r="B60" s="30"/>
      <c r="C60" s="19"/>
      <c r="D60" s="19"/>
      <c r="E60" s="19">
        <v>80502</v>
      </c>
      <c r="F60" s="19">
        <f aca="true" t="shared" si="4" ref="F60:F68">E60/$B$40</f>
        <v>718.7678571428571</v>
      </c>
      <c r="G60" s="19">
        <f>(57300/E60)</f>
        <v>0.7117835581724677</v>
      </c>
      <c r="H60" s="3"/>
      <c r="I60" s="3"/>
      <c r="J60" s="3"/>
      <c r="K60" s="3"/>
      <c r="L60" s="3"/>
      <c r="M60" s="3"/>
    </row>
    <row r="61" spans="1:13" ht="25.5">
      <c r="A61" s="26" t="s">
        <v>56</v>
      </c>
      <c r="B61" s="30" t="s">
        <v>57</v>
      </c>
      <c r="C61" s="19">
        <v>4</v>
      </c>
      <c r="D61" s="19">
        <f>E61/C61</f>
        <v>0</v>
      </c>
      <c r="E61" s="19">
        <v>0</v>
      </c>
      <c r="F61" s="19">
        <f t="shared" si="4"/>
        <v>0</v>
      </c>
      <c r="G61" s="19" t="e">
        <f aca="true" t="shared" si="5" ref="G61:G62">(0/E61)</f>
        <v>#DIV/0!</v>
      </c>
      <c r="H61" s="3"/>
      <c r="I61" s="3"/>
      <c r="J61" s="3"/>
      <c r="K61" s="3"/>
      <c r="L61" s="3"/>
      <c r="M61" s="3"/>
    </row>
    <row r="62" spans="1:13" ht="18" customHeight="1">
      <c r="A62" s="26" t="s">
        <v>58</v>
      </c>
      <c r="B62" s="30"/>
      <c r="C62" s="19"/>
      <c r="D62" s="19"/>
      <c r="E62" s="19">
        <v>0</v>
      </c>
      <c r="F62" s="19">
        <f t="shared" si="4"/>
        <v>0</v>
      </c>
      <c r="G62" s="19" t="e">
        <f t="shared" si="5"/>
        <v>#DIV/0!</v>
      </c>
      <c r="H62" s="3"/>
      <c r="I62" s="3"/>
      <c r="J62" s="3"/>
      <c r="K62" s="3"/>
      <c r="L62" s="3"/>
      <c r="M62" s="3"/>
    </row>
    <row r="63" spans="1:13" ht="18" customHeight="1">
      <c r="A63" s="26" t="s">
        <v>59</v>
      </c>
      <c r="B63" s="30"/>
      <c r="C63" s="19"/>
      <c r="D63" s="19"/>
      <c r="E63" s="19">
        <v>809640</v>
      </c>
      <c r="F63" s="19">
        <f t="shared" si="4"/>
        <v>7228.928571428572</v>
      </c>
      <c r="G63" s="19">
        <f>(576292/E63)</f>
        <v>0.7117879551405563</v>
      </c>
      <c r="H63" s="3"/>
      <c r="I63" s="3"/>
      <c r="J63" s="3"/>
      <c r="K63" s="3"/>
      <c r="L63" s="3"/>
      <c r="M63" s="3"/>
    </row>
    <row r="64" spans="1:13" ht="25.5">
      <c r="A64" s="26" t="s">
        <v>43</v>
      </c>
      <c r="B64" s="27" t="s">
        <v>44</v>
      </c>
      <c r="C64" s="19">
        <f>90.1/2</f>
        <v>45.05</v>
      </c>
      <c r="D64" s="19">
        <f>E64/C64</f>
        <v>3919.37846836848</v>
      </c>
      <c r="E64" s="19">
        <f>353136/2</f>
        <v>176568</v>
      </c>
      <c r="F64" s="19">
        <f t="shared" si="4"/>
        <v>1576.5</v>
      </c>
      <c r="G64" s="19">
        <f>(151451/2/E64)</f>
        <v>0.42887442798242037</v>
      </c>
      <c r="H64" s="3"/>
      <c r="I64" s="3"/>
      <c r="J64" s="3"/>
      <c r="K64" s="3"/>
      <c r="L64" s="3"/>
      <c r="M64" s="3"/>
    </row>
    <row r="65" spans="1:13" ht="25.5">
      <c r="A65" s="26" t="s">
        <v>45</v>
      </c>
      <c r="B65" s="27" t="s">
        <v>46</v>
      </c>
      <c r="C65" s="19">
        <v>0</v>
      </c>
      <c r="D65" s="19">
        <v>0</v>
      </c>
      <c r="E65" s="19">
        <v>0</v>
      </c>
      <c r="F65" s="19">
        <f t="shared" si="4"/>
        <v>0</v>
      </c>
      <c r="G65" s="19">
        <v>0</v>
      </c>
      <c r="H65" s="3"/>
      <c r="I65" s="3"/>
      <c r="J65" s="3"/>
      <c r="K65" s="3"/>
      <c r="L65" s="3"/>
      <c r="M65" s="3"/>
    </row>
    <row r="66" spans="1:13" ht="25.5">
      <c r="A66" s="26" t="s">
        <v>47</v>
      </c>
      <c r="B66" s="27" t="s">
        <v>48</v>
      </c>
      <c r="C66" s="19">
        <f>39000*10%</f>
        <v>3900</v>
      </c>
      <c r="D66" s="19">
        <f>E66/C66</f>
        <v>13.58071794871795</v>
      </c>
      <c r="E66" s="19">
        <f>529648*10%</f>
        <v>52964.8</v>
      </c>
      <c r="F66" s="19">
        <f t="shared" si="4"/>
        <v>472.90000000000003</v>
      </c>
      <c r="G66" s="19">
        <f>(529648*10%/E66)</f>
        <v>1</v>
      </c>
      <c r="H66" s="3"/>
      <c r="I66" s="3"/>
      <c r="J66" s="3"/>
      <c r="K66" s="3"/>
      <c r="L66" s="3"/>
      <c r="M66" s="3"/>
    </row>
    <row r="67" spans="1:13" ht="25.5" customHeight="1">
      <c r="A67" s="26" t="s">
        <v>60</v>
      </c>
      <c r="B67" s="30"/>
      <c r="C67" s="19"/>
      <c r="D67" s="19"/>
      <c r="E67" s="19">
        <v>10420</v>
      </c>
      <c r="F67" s="19">
        <f t="shared" si="4"/>
        <v>93.03571428571429</v>
      </c>
      <c r="G67" s="19">
        <f>(7417/E67)</f>
        <v>0.7118042226487524</v>
      </c>
      <c r="H67" s="3"/>
      <c r="I67" s="3"/>
      <c r="J67" s="3"/>
      <c r="K67" s="3"/>
      <c r="L67" s="3"/>
      <c r="M67" s="3"/>
    </row>
    <row r="68" spans="1:13" ht="12.75">
      <c r="A68" s="26" t="s">
        <v>61</v>
      </c>
      <c r="B68" s="30"/>
      <c r="C68" s="19"/>
      <c r="D68" s="19"/>
      <c r="E68" s="19">
        <v>2868</v>
      </c>
      <c r="F68" s="19">
        <f t="shared" si="4"/>
        <v>25.607142857142858</v>
      </c>
      <c r="G68" s="19">
        <f>(2041/E68)</f>
        <v>0.7116457461645747</v>
      </c>
      <c r="H68" s="3"/>
      <c r="I68" s="3"/>
      <c r="J68" s="3"/>
      <c r="K68" s="3"/>
      <c r="L68" s="3"/>
      <c r="M68" s="3"/>
    </row>
    <row r="69" spans="1:13" ht="24.75" customHeight="1">
      <c r="A69" s="28" t="s">
        <v>50</v>
      </c>
      <c r="B69" s="31"/>
      <c r="C69" s="23"/>
      <c r="D69" s="23"/>
      <c r="E69" s="23">
        <f>SUM(E60:E68)</f>
        <v>1132962.8</v>
      </c>
      <c r="F69" s="23">
        <f>SUM(F60:F68)</f>
        <v>10115.739285714286</v>
      </c>
      <c r="G69" s="23">
        <f>(57300+576292+151451/2+529648*10%+2041+7417)/E69</f>
        <v>0.681170026059108</v>
      </c>
      <c r="H69" s="3"/>
      <c r="I69" s="3"/>
      <c r="J69" s="3"/>
      <c r="K69" s="3"/>
      <c r="L69" s="3"/>
      <c r="M69" s="3"/>
    </row>
    <row r="70" spans="1:13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23.25" customHeight="1">
      <c r="A71" s="25" t="s">
        <v>130</v>
      </c>
      <c r="B71" s="25"/>
      <c r="C71" s="25"/>
      <c r="D71" s="25"/>
      <c r="E71" s="25"/>
      <c r="F71" s="25"/>
      <c r="G71" s="25"/>
      <c r="H71" s="3"/>
      <c r="I71" s="3"/>
      <c r="J71" s="3"/>
      <c r="K71" s="3"/>
      <c r="L71" s="3"/>
      <c r="M71" s="3"/>
    </row>
    <row r="72" spans="1:13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>
      <c r="A73" s="3" t="s">
        <v>63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63.75">
      <c r="A75" s="14" t="s">
        <v>38</v>
      </c>
      <c r="B75" s="14" t="s">
        <v>42</v>
      </c>
      <c r="C75" s="14" t="s">
        <v>26</v>
      </c>
      <c r="D75" s="14" t="s">
        <v>28</v>
      </c>
      <c r="E75" s="32"/>
      <c r="F75" s="32"/>
      <c r="G75" s="32"/>
      <c r="H75" s="3"/>
      <c r="I75" s="3"/>
      <c r="J75" s="3"/>
      <c r="K75" s="3"/>
      <c r="L75" s="3"/>
      <c r="M75" s="3"/>
    </row>
    <row r="76" spans="1:13" ht="51">
      <c r="A76" s="26" t="s">
        <v>64</v>
      </c>
      <c r="B76" s="33">
        <v>900</v>
      </c>
      <c r="C76" s="19">
        <f aca="true" t="shared" si="6" ref="C76:C77">B76/$B$40</f>
        <v>8.035714285714286</v>
      </c>
      <c r="D76" s="19">
        <f>(641/B76)</f>
        <v>0.7122222222222222</v>
      </c>
      <c r="E76" s="34"/>
      <c r="F76" s="35"/>
      <c r="G76" s="35"/>
      <c r="H76" s="3"/>
      <c r="I76" s="3"/>
      <c r="J76" s="3"/>
      <c r="K76" s="3"/>
      <c r="L76" s="3"/>
      <c r="M76" s="3"/>
    </row>
    <row r="77" spans="1:13" ht="19.5" customHeight="1">
      <c r="A77" s="26" t="s">
        <v>65</v>
      </c>
      <c r="B77" s="33">
        <f>66017+17455</f>
        <v>83472</v>
      </c>
      <c r="C77" s="19">
        <f t="shared" si="6"/>
        <v>745.2857142857143</v>
      </c>
      <c r="D77" s="19">
        <f>(46990+12424)/B77</f>
        <v>0.711783592102741</v>
      </c>
      <c r="E77" s="34"/>
      <c r="F77" s="35"/>
      <c r="G77" s="35"/>
      <c r="H77" s="3"/>
      <c r="I77" s="3"/>
      <c r="J77" s="3"/>
      <c r="K77" s="3"/>
      <c r="L77" s="3"/>
      <c r="M77" s="3"/>
    </row>
    <row r="78" spans="1:13" ht="27" customHeight="1">
      <c r="A78" s="28" t="s">
        <v>50</v>
      </c>
      <c r="B78" s="36">
        <f>SUM(B76:B77)</f>
        <v>84372</v>
      </c>
      <c r="C78" s="36">
        <f>SUM(C76:C77)</f>
        <v>753.3214285714287</v>
      </c>
      <c r="D78" s="36">
        <f>(46990+12424+641)/B78</f>
        <v>0.711788270990376</v>
      </c>
      <c r="E78" s="37"/>
      <c r="F78" s="37"/>
      <c r="G78" s="37"/>
      <c r="H78" s="3"/>
      <c r="I78" s="3"/>
      <c r="J78" s="3"/>
      <c r="K78" s="3"/>
      <c r="L78" s="3"/>
      <c r="M78" s="3"/>
    </row>
    <row r="79" spans="1:13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29.25" customHeight="1">
      <c r="A80" s="25" t="s">
        <v>66</v>
      </c>
      <c r="B80" s="25"/>
      <c r="C80" s="25"/>
      <c r="D80" s="25"/>
      <c r="E80" s="25"/>
      <c r="F80" s="25"/>
      <c r="G80" s="25"/>
      <c r="H80" s="3"/>
      <c r="I80" s="3"/>
      <c r="J80" s="3"/>
      <c r="K80" s="3"/>
      <c r="L80" s="3"/>
      <c r="M80" s="3"/>
    </row>
    <row r="81" spans="1:13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 hidden="1">
      <c r="A82" s="3" t="s">
        <v>67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63.75" hidden="1">
      <c r="A84" s="38" t="s">
        <v>68</v>
      </c>
      <c r="B84" s="10" t="s">
        <v>69</v>
      </c>
      <c r="C84" s="14" t="s">
        <v>54</v>
      </c>
      <c r="D84" s="10" t="s">
        <v>70</v>
      </c>
      <c r="E84" s="39" t="s">
        <v>71</v>
      </c>
      <c r="F84" s="14" t="s">
        <v>26</v>
      </c>
      <c r="G84" s="14" t="s">
        <v>28</v>
      </c>
      <c r="H84" s="3"/>
      <c r="I84" s="3"/>
      <c r="J84" s="3"/>
      <c r="K84" s="3"/>
      <c r="L84" s="3"/>
      <c r="M84" s="3"/>
    </row>
    <row r="85" spans="1:13" ht="12.75" hidden="1">
      <c r="A85" s="40" t="s">
        <v>72</v>
      </c>
      <c r="B85" s="41">
        <v>1</v>
      </c>
      <c r="C85" s="42">
        <f aca="true" t="shared" si="7" ref="C85:C86">E85/D85/B85</f>
        <v>0</v>
      </c>
      <c r="D85" s="43">
        <v>12</v>
      </c>
      <c r="E85" s="44">
        <v>0</v>
      </c>
      <c r="F85" s="19">
        <f aca="true" t="shared" si="8" ref="F85:F88">E85/$B$40</f>
        <v>0</v>
      </c>
      <c r="G85" s="19" t="e">
        <f aca="true" t="shared" si="9" ref="G85:G87">(0/E85)</f>
        <v>#DIV/0!</v>
      </c>
      <c r="H85" s="3"/>
      <c r="I85" s="3"/>
      <c r="J85" s="3"/>
      <c r="K85" s="3"/>
      <c r="L85" s="3"/>
      <c r="M85" s="3"/>
    </row>
    <row r="86" spans="1:13" ht="12.75" hidden="1">
      <c r="A86" s="40" t="s">
        <v>73</v>
      </c>
      <c r="B86" s="39">
        <v>1</v>
      </c>
      <c r="C86" s="42">
        <f t="shared" si="7"/>
        <v>0</v>
      </c>
      <c r="D86" s="43">
        <v>12</v>
      </c>
      <c r="E86" s="44">
        <v>0</v>
      </c>
      <c r="F86" s="19">
        <f t="shared" si="8"/>
        <v>0</v>
      </c>
      <c r="G86" s="19" t="e">
        <f t="shared" si="9"/>
        <v>#DIV/0!</v>
      </c>
      <c r="H86" s="3"/>
      <c r="I86" s="3"/>
      <c r="J86" s="3"/>
      <c r="K86" s="3"/>
      <c r="L86" s="3"/>
      <c r="M86" s="3"/>
    </row>
    <row r="87" spans="1:13" ht="12.75" hidden="1">
      <c r="A87" s="40" t="s">
        <v>74</v>
      </c>
      <c r="B87" s="41"/>
      <c r="C87" s="41"/>
      <c r="D87" s="43"/>
      <c r="E87" s="44">
        <v>0</v>
      </c>
      <c r="F87" s="19">
        <f t="shared" si="8"/>
        <v>0</v>
      </c>
      <c r="G87" s="19" t="e">
        <f t="shared" si="9"/>
        <v>#DIV/0!</v>
      </c>
      <c r="H87" s="3"/>
      <c r="I87" s="3"/>
      <c r="J87" s="3"/>
      <c r="K87" s="3"/>
      <c r="L87" s="3"/>
      <c r="M87" s="3"/>
    </row>
    <row r="88" spans="1:13" ht="12.75" hidden="1">
      <c r="A88" s="45" t="s">
        <v>75</v>
      </c>
      <c r="B88" s="46"/>
      <c r="C88" s="46"/>
      <c r="D88" s="46"/>
      <c r="E88" s="47">
        <f>E85+E86+E87</f>
        <v>0</v>
      </c>
      <c r="F88" s="23">
        <f t="shared" si="8"/>
        <v>0</v>
      </c>
      <c r="G88" s="23" t="e">
        <f>0/E88</f>
        <v>#DIV/0!</v>
      </c>
      <c r="H88" s="3"/>
      <c r="I88" s="3"/>
      <c r="J88" s="3"/>
      <c r="K88" s="3"/>
      <c r="L88" s="3"/>
      <c r="M88" s="3"/>
    </row>
    <row r="89" spans="1:13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24" customHeight="1" hidden="1">
      <c r="A90" s="25" t="s">
        <v>131</v>
      </c>
      <c r="B90" s="25"/>
      <c r="C90" s="25"/>
      <c r="D90" s="25"/>
      <c r="E90" s="25"/>
      <c r="F90" s="25"/>
      <c r="G90" s="25"/>
      <c r="H90" s="3"/>
      <c r="I90" s="3"/>
      <c r="J90" s="3"/>
      <c r="K90" s="3"/>
      <c r="L90" s="3"/>
      <c r="M90" s="3"/>
    </row>
    <row r="91" spans="1:1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45" customHeight="1">
      <c r="A92" s="12" t="s">
        <v>77</v>
      </c>
      <c r="B92" s="12"/>
      <c r="C92" s="12"/>
      <c r="D92" s="12"/>
      <c r="E92" s="12"/>
      <c r="F92" s="12"/>
      <c r="G92" s="12"/>
      <c r="H92" s="13"/>
      <c r="I92" s="13"/>
      <c r="J92" s="13"/>
      <c r="K92" s="3"/>
      <c r="L92" s="3"/>
      <c r="M92" s="3"/>
    </row>
    <row r="93" spans="1:1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63.75">
      <c r="A94" s="14" t="s">
        <v>38</v>
      </c>
      <c r="B94" s="39" t="s">
        <v>71</v>
      </c>
      <c r="C94" s="14" t="s">
        <v>26</v>
      </c>
      <c r="D94" s="14" t="s">
        <v>28</v>
      </c>
      <c r="E94" s="48" t="s">
        <v>78</v>
      </c>
      <c r="F94" s="16" t="s">
        <v>79</v>
      </c>
      <c r="G94" s="3"/>
      <c r="H94" s="3"/>
      <c r="I94" s="3"/>
      <c r="J94" s="3"/>
      <c r="K94" s="3"/>
      <c r="L94" s="3"/>
      <c r="M94" s="3"/>
    </row>
    <row r="95" spans="1:13" ht="12.75">
      <c r="A95" s="49" t="s">
        <v>80</v>
      </c>
      <c r="B95" s="36">
        <v>1344891</v>
      </c>
      <c r="C95" s="23">
        <f>B95/$B$40</f>
        <v>12007.955357142857</v>
      </c>
      <c r="D95" s="23">
        <f>957277/B95</f>
        <v>0.7117877954421585</v>
      </c>
      <c r="E95" s="18">
        <f>B95*D95</f>
        <v>957277</v>
      </c>
      <c r="F95" s="18">
        <f>E95-B95</f>
        <v>-387614</v>
      </c>
      <c r="G95" s="3"/>
      <c r="H95" s="3"/>
      <c r="I95" s="3"/>
      <c r="J95" s="3"/>
      <c r="K95" s="3"/>
      <c r="L95" s="3"/>
      <c r="M95" s="3"/>
    </row>
    <row r="96" spans="1:1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34.5" customHeight="1">
      <c r="A97" s="25" t="s">
        <v>81</v>
      </c>
      <c r="B97" s="25"/>
      <c r="C97" s="25"/>
      <c r="D97" s="25"/>
      <c r="E97" s="25"/>
      <c r="F97" s="25"/>
      <c r="G97" s="25"/>
      <c r="H97" s="3"/>
      <c r="I97" s="3"/>
      <c r="J97" s="3"/>
      <c r="K97" s="3"/>
      <c r="L97" s="3"/>
      <c r="M97" s="3"/>
    </row>
    <row r="98" spans="1:1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48.75" customHeight="1">
      <c r="A99" s="50" t="s">
        <v>181</v>
      </c>
      <c r="B99" s="50"/>
      <c r="C99" s="50"/>
      <c r="D99" s="50"/>
      <c r="E99" s="50"/>
      <c r="F99" s="50"/>
      <c r="G99" s="50"/>
      <c r="H99" s="3"/>
      <c r="I99" s="3"/>
      <c r="J99" s="3"/>
      <c r="K99" s="3"/>
      <c r="L99" s="3"/>
      <c r="M99" s="3"/>
    </row>
    <row r="100" spans="1:13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4.25">
      <c r="A101" s="3" t="s">
        <v>83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>
      <c r="A103" s="3" t="s">
        <v>84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>
      <c r="A105" s="3" t="s">
        <v>85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7.25" customHeight="1">
      <c r="A107" s="4" t="s">
        <v>86</v>
      </c>
      <c r="B107" s="4"/>
      <c r="C107" s="4"/>
      <c r="D107" s="4"/>
      <c r="E107" s="4"/>
      <c r="F107" s="4"/>
      <c r="G107" s="4"/>
      <c r="H107" s="3"/>
      <c r="I107" s="3"/>
      <c r="J107" s="3"/>
      <c r="K107" s="3"/>
      <c r="L107" s="3"/>
      <c r="M107" s="3"/>
    </row>
    <row r="108" spans="1:13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>
      <c r="A109" s="3" t="s">
        <v>87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3.5" customHeight="1">
      <c r="A111" s="4" t="s">
        <v>88</v>
      </c>
      <c r="B111" s="4"/>
      <c r="C111" s="4"/>
      <c r="D111" s="4"/>
      <c r="E111" s="4"/>
      <c r="F111" s="4"/>
      <c r="G111" s="4"/>
      <c r="H111" s="3"/>
      <c r="I111" s="3"/>
      <c r="J111" s="3"/>
      <c r="K111" s="3"/>
      <c r="L111" s="3"/>
      <c r="M111" s="3"/>
    </row>
    <row r="112" spans="1:1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>
      <c r="A113" s="3" t="s">
        <v>5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14.75">
      <c r="A115" s="14" t="s">
        <v>89</v>
      </c>
      <c r="B115" s="14" t="s">
        <v>90</v>
      </c>
      <c r="C115" s="39" t="s">
        <v>91</v>
      </c>
      <c r="D115" s="14" t="s">
        <v>92</v>
      </c>
      <c r="E115" s="14" t="s">
        <v>93</v>
      </c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36">
        <f>C42</f>
        <v>18420.660714285714</v>
      </c>
      <c r="B116" s="36">
        <f>E42</f>
        <v>1.0927176103695675</v>
      </c>
      <c r="C116" s="23">
        <f>C95</f>
        <v>12007.955357142857</v>
      </c>
      <c r="D116" s="23">
        <f>D95</f>
        <v>0.7117877954421585</v>
      </c>
      <c r="E116" s="36">
        <f>(A116*B116+C116*D116)*F18</f>
        <v>3211678</v>
      </c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97.5" customHeight="1">
      <c r="A118" s="12" t="s">
        <v>182</v>
      </c>
      <c r="B118" s="12"/>
      <c r="C118" s="12"/>
      <c r="D118" s="12"/>
      <c r="E118" s="12"/>
      <c r="F118" s="12"/>
      <c r="G118" s="12"/>
      <c r="H118" s="3"/>
      <c r="I118" s="3"/>
      <c r="J118" s="3"/>
      <c r="K118" s="3"/>
      <c r="L118" s="3"/>
      <c r="M118" s="3"/>
    </row>
    <row r="119" spans="1:13" ht="12.75">
      <c r="A119" s="3"/>
      <c r="B119" s="3"/>
      <c r="C119" s="3"/>
      <c r="D119" s="3" t="s">
        <v>95</v>
      </c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>
      <c r="A121" s="3" t="s">
        <v>96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>
      <c r="A123" s="3" t="s">
        <v>97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>
      <c r="A125" s="3" t="s">
        <v>98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>
      <c r="A127" s="3" t="s">
        <v>99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40.25">
      <c r="A129" s="51" t="s">
        <v>100</v>
      </c>
      <c r="B129" s="52" t="s">
        <v>101</v>
      </c>
      <c r="C129" s="51" t="s">
        <v>102</v>
      </c>
      <c r="D129" s="51" t="s">
        <v>103</v>
      </c>
      <c r="E129" s="53"/>
      <c r="F129" s="53"/>
      <c r="G129" s="53"/>
      <c r="H129" s="3"/>
      <c r="I129" s="3"/>
      <c r="J129" s="3"/>
      <c r="K129" s="3"/>
      <c r="L129" s="3"/>
      <c r="M129" s="3"/>
    </row>
    <row r="130" spans="1:13" ht="12.75">
      <c r="A130" s="65">
        <f>6856560+1200+28545+111602+61915</f>
        <v>7059822</v>
      </c>
      <c r="B130" s="65">
        <f>828000+250056</f>
        <v>1078056</v>
      </c>
      <c r="C130" s="66">
        <f>504000+152208</f>
        <v>656208</v>
      </c>
      <c r="D130" s="67">
        <f>A130+B130+C130</f>
        <v>8794086</v>
      </c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>
      <c r="A131" s="58"/>
      <c r="B131" s="58"/>
      <c r="C131" s="58"/>
      <c r="D131" s="58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>
      <c r="A132" s="58"/>
      <c r="B132" s="58"/>
      <c r="C132" s="58"/>
      <c r="D132" s="58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>
      <c r="A133" s="68" t="s">
        <v>107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16" t="s">
        <v>108</v>
      </c>
      <c r="B135" s="16">
        <v>0</v>
      </c>
      <c r="C135" s="16"/>
      <c r="D135" s="18">
        <v>631386</v>
      </c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>
      <c r="A136" s="16" t="s">
        <v>109</v>
      </c>
      <c r="B136" s="16">
        <v>0</v>
      </c>
      <c r="C136" s="16"/>
      <c r="D136" s="18">
        <v>190679</v>
      </c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21" t="s">
        <v>50</v>
      </c>
      <c r="B137" s="21">
        <f>B135+B136</f>
        <v>0</v>
      </c>
      <c r="C137" s="21"/>
      <c r="D137" s="22">
        <f>D135+D136</f>
        <v>822065</v>
      </c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6:13" ht="12.75">
      <c r="F366" s="3"/>
      <c r="G366" s="3"/>
      <c r="H366" s="3"/>
      <c r="I366" s="3"/>
      <c r="J366" s="3"/>
      <c r="K366" s="3"/>
      <c r="L366" s="3"/>
      <c r="M366" s="3"/>
    </row>
  </sheetData>
  <sheetProtection selectLockedCells="1" selectUnlockedCells="1"/>
  <mergeCells count="19">
    <mergeCell ref="A2:G2"/>
    <mergeCell ref="A4:G4"/>
    <mergeCell ref="A5:A6"/>
    <mergeCell ref="B5:C5"/>
    <mergeCell ref="D5:D6"/>
    <mergeCell ref="B6:C6"/>
    <mergeCell ref="A11:G11"/>
    <mergeCell ref="A20:G20"/>
    <mergeCell ref="A44:G44"/>
    <mergeCell ref="A55:G55"/>
    <mergeCell ref="A71:G71"/>
    <mergeCell ref="A80:G80"/>
    <mergeCell ref="A90:G90"/>
    <mergeCell ref="A92:G92"/>
    <mergeCell ref="A97:G97"/>
    <mergeCell ref="A99:G99"/>
    <mergeCell ref="A107:G107"/>
    <mergeCell ref="A111:G111"/>
    <mergeCell ref="A118:G118"/>
  </mergeCells>
  <printOptions/>
  <pageMargins left="0.7083333333333334" right="0.7083333333333334" top="0.7479166666666667" bottom="0.7479166666666667" header="0.5118055555555555" footer="0.5118055555555555"/>
  <pageSetup fitToHeight="3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M366"/>
  <sheetViews>
    <sheetView workbookViewId="0" topLeftCell="A124">
      <selection activeCell="D135" sqref="D135"/>
    </sheetView>
  </sheetViews>
  <sheetFormatPr defaultColWidth="8.00390625" defaultRowHeight="12.75"/>
  <cols>
    <col min="1" max="1" width="18.00390625" style="0" customWidth="1"/>
    <col min="2" max="2" width="13.625" style="0" customWidth="1"/>
    <col min="3" max="3" width="13.00390625" style="0" customWidth="1"/>
    <col min="4" max="4" width="12.375" style="0" customWidth="1"/>
    <col min="5" max="5" width="15.625" style="0" customWidth="1"/>
    <col min="6" max="6" width="12.75390625" style="0" customWidth="1"/>
    <col min="7" max="7" width="13.625" style="0" customWidth="1"/>
    <col min="8" max="16384" width="9.00390625" style="0" customWidth="1"/>
  </cols>
  <sheetData>
    <row r="2" spans="1:13" ht="59.25" customHeight="1">
      <c r="A2" s="1" t="s">
        <v>183</v>
      </c>
      <c r="B2" s="1"/>
      <c r="C2" s="1"/>
      <c r="D2" s="1"/>
      <c r="E2" s="1"/>
      <c r="F2" s="1"/>
      <c r="G2" s="1"/>
      <c r="H2" s="2"/>
      <c r="I2" s="2"/>
      <c r="J2" s="2"/>
      <c r="K2" s="3"/>
      <c r="L2" s="3"/>
      <c r="M2" s="3"/>
    </row>
    <row r="3" spans="1:1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40.5" customHeight="1">
      <c r="A4" s="4" t="s">
        <v>1</v>
      </c>
      <c r="B4" s="4"/>
      <c r="C4" s="4"/>
      <c r="D4" s="4"/>
      <c r="E4" s="4"/>
      <c r="F4" s="4"/>
      <c r="G4" s="4"/>
      <c r="H4" s="3"/>
      <c r="I4" s="3"/>
      <c r="J4" s="3"/>
      <c r="K4" s="3"/>
      <c r="L4" s="3"/>
      <c r="M4" s="3"/>
    </row>
    <row r="5" spans="1:13" ht="12.75" customHeight="1">
      <c r="A5" s="5" t="s">
        <v>2</v>
      </c>
      <c r="B5" s="6" t="s">
        <v>3</v>
      </c>
      <c r="C5" s="6"/>
      <c r="D5" s="7" t="s">
        <v>4</v>
      </c>
      <c r="E5" s="3"/>
      <c r="F5" s="3"/>
      <c r="G5" s="3"/>
      <c r="H5" s="3"/>
      <c r="I5" s="3"/>
      <c r="J5" s="3"/>
      <c r="K5" s="3"/>
      <c r="L5" s="3"/>
      <c r="M5" s="3"/>
    </row>
    <row r="6" spans="1:13" ht="12.75" customHeight="1">
      <c r="A6" s="5"/>
      <c r="B6" s="8">
        <v>12</v>
      </c>
      <c r="C6" s="8"/>
      <c r="D6" s="7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 s="3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 s="3" t="s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42" customHeight="1">
      <c r="A11" s="4" t="s">
        <v>7</v>
      </c>
      <c r="B11" s="4"/>
      <c r="C11" s="4"/>
      <c r="D11" s="4"/>
      <c r="E11" s="4"/>
      <c r="F11" s="4"/>
      <c r="G11" s="4"/>
      <c r="H11" s="3"/>
      <c r="I11" s="3"/>
      <c r="J11" s="3"/>
      <c r="K11" s="3"/>
      <c r="L11" s="3"/>
      <c r="M11" s="3"/>
    </row>
    <row r="12" spans="1:1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 s="3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3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99" customHeight="1">
      <c r="A17" s="9" t="s">
        <v>10</v>
      </c>
      <c r="B17" s="9" t="s">
        <v>119</v>
      </c>
      <c r="C17" s="10" t="s">
        <v>184</v>
      </c>
      <c r="D17" s="9" t="s">
        <v>13</v>
      </c>
      <c r="E17" s="9" t="s">
        <v>111</v>
      </c>
      <c r="F17" s="9" t="s">
        <v>15</v>
      </c>
      <c r="G17" s="3"/>
      <c r="H17" s="3"/>
      <c r="I17" s="3"/>
      <c r="J17" s="3"/>
      <c r="K17" s="3"/>
      <c r="L17" s="3"/>
      <c r="M17" s="3"/>
    </row>
    <row r="18" spans="1:13" ht="29.25" customHeight="1">
      <c r="A18" s="9">
        <v>128</v>
      </c>
      <c r="B18" s="10">
        <v>0</v>
      </c>
      <c r="C18" s="9">
        <v>10</v>
      </c>
      <c r="D18" s="9">
        <v>33</v>
      </c>
      <c r="E18" s="11">
        <v>0</v>
      </c>
      <c r="F18" s="11">
        <v>132</v>
      </c>
      <c r="G18" s="3"/>
      <c r="H18" s="3"/>
      <c r="I18" s="3"/>
      <c r="J18" s="3"/>
      <c r="K18" s="3"/>
      <c r="L18" s="3"/>
      <c r="M18" s="3"/>
    </row>
    <row r="19" spans="1:1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27" customHeight="1">
      <c r="A20" s="12" t="s">
        <v>16</v>
      </c>
      <c r="B20" s="12"/>
      <c r="C20" s="12"/>
      <c r="D20" s="12"/>
      <c r="E20" s="12"/>
      <c r="F20" s="12"/>
      <c r="G20" s="12"/>
      <c r="H20" s="13"/>
      <c r="I20" s="13"/>
      <c r="J20" s="13"/>
      <c r="K20" s="3"/>
      <c r="L20" s="3"/>
      <c r="M20" s="3"/>
    </row>
    <row r="21" spans="1:13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 s="3" t="s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3" t="s">
        <v>18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3" t="s">
        <v>19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 s="3" t="s">
        <v>20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 t="s">
        <v>21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 s="3" t="s">
        <v>22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s="3" t="s">
        <v>23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63.75" customHeight="1">
      <c r="A36" s="14" t="s">
        <v>24</v>
      </c>
      <c r="B36" s="15" t="s">
        <v>25</v>
      </c>
      <c r="C36" s="14" t="s">
        <v>26</v>
      </c>
      <c r="D36" s="14" t="s">
        <v>27</v>
      </c>
      <c r="E36" s="14" t="s">
        <v>28</v>
      </c>
      <c r="F36" s="14" t="s">
        <v>29</v>
      </c>
      <c r="G36" s="3"/>
      <c r="H36" s="3"/>
      <c r="I36" s="3"/>
      <c r="J36" s="3"/>
      <c r="K36" s="3"/>
      <c r="L36" s="3"/>
      <c r="M36" s="3"/>
    </row>
    <row r="37" spans="1:13" ht="12.75">
      <c r="A37" s="16" t="s">
        <v>30</v>
      </c>
      <c r="B37" s="17">
        <f>F18</f>
        <v>132</v>
      </c>
      <c r="C37" s="18">
        <f>F53</f>
        <v>4162.563636363636</v>
      </c>
      <c r="D37" s="18">
        <f>E53</f>
        <v>549458.4</v>
      </c>
      <c r="E37" s="19">
        <f>G53</f>
        <v>0.932275127652976</v>
      </c>
      <c r="F37" s="18">
        <f aca="true" t="shared" si="0" ref="F37:F40">D37*E37</f>
        <v>512246.39999999997</v>
      </c>
      <c r="G37" s="3"/>
      <c r="H37" s="3"/>
      <c r="I37" s="3"/>
      <c r="J37" s="3"/>
      <c r="K37" s="3"/>
      <c r="L37" s="3"/>
      <c r="M37" s="3"/>
    </row>
    <row r="38" spans="1:13" ht="12.75">
      <c r="A38" s="16" t="s">
        <v>31</v>
      </c>
      <c r="B38" s="17">
        <f aca="true" t="shared" si="1" ref="B38:B41">B37</f>
        <v>132</v>
      </c>
      <c r="C38" s="18">
        <f>F69</f>
        <v>7879.345454545455</v>
      </c>
      <c r="D38" s="18">
        <f>E69</f>
        <v>1040073.6</v>
      </c>
      <c r="E38" s="19">
        <f>G69</f>
        <v>0.7442046409023362</v>
      </c>
      <c r="F38" s="18">
        <f t="shared" si="0"/>
        <v>774027.6</v>
      </c>
      <c r="G38" s="3"/>
      <c r="H38" s="3"/>
      <c r="I38" s="3"/>
      <c r="J38" s="3"/>
      <c r="K38" s="3"/>
      <c r="L38" s="3"/>
      <c r="M38" s="3"/>
    </row>
    <row r="39" spans="1:13" ht="12.75">
      <c r="A39" s="16" t="s">
        <v>32</v>
      </c>
      <c r="B39" s="17">
        <f t="shared" si="1"/>
        <v>132</v>
      </c>
      <c r="C39" s="18">
        <f>C78</f>
        <v>555.780303030303</v>
      </c>
      <c r="D39" s="18">
        <f>B78</f>
        <v>73363</v>
      </c>
      <c r="E39" s="19">
        <f>D78</f>
        <v>0.7117756907432902</v>
      </c>
      <c r="F39" s="18">
        <f t="shared" si="0"/>
        <v>52218</v>
      </c>
      <c r="G39" s="3"/>
      <c r="H39" s="3"/>
      <c r="I39" s="3"/>
      <c r="J39" s="3"/>
      <c r="K39" s="3"/>
      <c r="L39" s="3"/>
      <c r="M39" s="3"/>
    </row>
    <row r="40" spans="1:13" ht="12.75">
      <c r="A40" s="16" t="s">
        <v>33</v>
      </c>
      <c r="B40" s="17">
        <f t="shared" si="1"/>
        <v>132</v>
      </c>
      <c r="C40" s="18">
        <f>F88</f>
        <v>0</v>
      </c>
      <c r="D40" s="18">
        <f>E88</f>
        <v>0</v>
      </c>
      <c r="E40" s="19">
        <v>0</v>
      </c>
      <c r="F40" s="18">
        <f t="shared" si="0"/>
        <v>0</v>
      </c>
      <c r="G40" s="3"/>
      <c r="H40" s="3"/>
      <c r="I40" s="3"/>
      <c r="J40" s="3"/>
      <c r="K40" s="3"/>
      <c r="L40" s="3"/>
      <c r="M40" s="3"/>
    </row>
    <row r="41" spans="1:13" ht="12.75">
      <c r="A41" s="16" t="s">
        <v>34</v>
      </c>
      <c r="B41" s="17">
        <f t="shared" si="1"/>
        <v>132</v>
      </c>
      <c r="C41" s="18">
        <v>0</v>
      </c>
      <c r="D41" s="18">
        <v>0</v>
      </c>
      <c r="E41" s="19">
        <v>1</v>
      </c>
      <c r="F41" s="18">
        <f>D137</f>
        <v>1153457</v>
      </c>
      <c r="G41" s="3"/>
      <c r="H41" s="3"/>
      <c r="I41" s="3"/>
      <c r="J41" s="3"/>
      <c r="K41" s="3"/>
      <c r="L41" s="3"/>
      <c r="M41" s="3"/>
    </row>
    <row r="42" spans="1:13" ht="12.75">
      <c r="A42" s="20" t="s">
        <v>35</v>
      </c>
      <c r="B42" s="21"/>
      <c r="C42" s="22">
        <f>D42/B40</f>
        <v>12597.689393939394</v>
      </c>
      <c r="D42" s="22">
        <f>SUM(D37:D40)</f>
        <v>1662895</v>
      </c>
      <c r="E42" s="23">
        <f>F42/D42</f>
        <v>1.4985606427345082</v>
      </c>
      <c r="F42" s="18">
        <f>F37+F38+F39+F40+F41</f>
        <v>2491949</v>
      </c>
      <c r="G42" s="24">
        <f>F42+E95</f>
        <v>3431798</v>
      </c>
      <c r="H42" s="3"/>
      <c r="I42" s="3"/>
      <c r="J42" s="3"/>
      <c r="K42" s="3"/>
      <c r="L42" s="3"/>
      <c r="M42" s="3"/>
    </row>
    <row r="43" spans="1:13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30.75" customHeight="1">
      <c r="A44" s="25" t="s">
        <v>185</v>
      </c>
      <c r="B44" s="25"/>
      <c r="C44" s="25"/>
      <c r="D44" s="25"/>
      <c r="E44" s="25"/>
      <c r="F44" s="25"/>
      <c r="G44" s="25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3" t="s">
        <v>37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63.75">
      <c r="A48" s="14" t="s">
        <v>38</v>
      </c>
      <c r="B48" s="14" t="s">
        <v>39</v>
      </c>
      <c r="C48" s="14" t="s">
        <v>40</v>
      </c>
      <c r="D48" s="14" t="s">
        <v>41</v>
      </c>
      <c r="E48" s="14" t="s">
        <v>42</v>
      </c>
      <c r="F48" s="14" t="s">
        <v>26</v>
      </c>
      <c r="G48" s="14" t="s">
        <v>28</v>
      </c>
      <c r="H48" s="3"/>
      <c r="I48" s="3"/>
      <c r="J48" s="3"/>
      <c r="K48" s="3"/>
      <c r="L48" s="3"/>
      <c r="M48" s="3"/>
    </row>
    <row r="49" spans="1:13" ht="25.5">
      <c r="A49" s="26" t="s">
        <v>43</v>
      </c>
      <c r="B49" s="27" t="s">
        <v>44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3"/>
      <c r="I49" s="3"/>
      <c r="J49" s="3"/>
      <c r="K49" s="3"/>
      <c r="L49" s="3"/>
      <c r="M49" s="3"/>
    </row>
    <row r="50" spans="1:13" ht="25.5">
      <c r="A50" s="26" t="s">
        <v>45</v>
      </c>
      <c r="B50" s="27" t="s">
        <v>46</v>
      </c>
      <c r="C50" s="19">
        <f>30800/2</f>
        <v>15400</v>
      </c>
      <c r="D50" s="19">
        <f aca="true" t="shared" si="2" ref="D50:D52">E50/C50</f>
        <v>4.488571428571428</v>
      </c>
      <c r="E50" s="19">
        <f>138248/2</f>
        <v>69124</v>
      </c>
      <c r="F50" s="19">
        <f aca="true" t="shared" si="3" ref="F50:F52">E50/$B$40</f>
        <v>523.6666666666666</v>
      </c>
      <c r="G50" s="19">
        <f>(138248/2/E50)</f>
        <v>1</v>
      </c>
      <c r="H50" s="3"/>
      <c r="I50" s="3"/>
      <c r="J50" s="3"/>
      <c r="K50" s="3"/>
      <c r="L50" s="3"/>
      <c r="M50" s="3"/>
    </row>
    <row r="51" spans="1:13" ht="25.5">
      <c r="A51" s="26" t="s">
        <v>47</v>
      </c>
      <c r="B51" s="27" t="s">
        <v>48</v>
      </c>
      <c r="C51" s="19">
        <f>15400*90%</f>
        <v>13860</v>
      </c>
      <c r="D51" s="19">
        <f t="shared" si="2"/>
        <v>31.076363636363638</v>
      </c>
      <c r="E51" s="19">
        <f>478576*90%</f>
        <v>430718.4</v>
      </c>
      <c r="F51" s="19">
        <f t="shared" si="3"/>
        <v>3263.018181818182</v>
      </c>
      <c r="G51" s="19">
        <f>(478576*90%/E51)</f>
        <v>1</v>
      </c>
      <c r="H51" s="3"/>
      <c r="I51" s="3"/>
      <c r="J51" s="3"/>
      <c r="K51" s="3"/>
      <c r="L51" s="3"/>
      <c r="M51" s="3"/>
    </row>
    <row r="52" spans="1:13" ht="25.5">
      <c r="A52" s="26" t="s">
        <v>49</v>
      </c>
      <c r="B52" s="27" t="s">
        <v>46</v>
      </c>
      <c r="C52" s="19">
        <v>1260</v>
      </c>
      <c r="D52" s="19">
        <f t="shared" si="2"/>
        <v>39.37777777777778</v>
      </c>
      <c r="E52" s="19">
        <v>49616</v>
      </c>
      <c r="F52" s="19">
        <f t="shared" si="3"/>
        <v>375.8787878787879</v>
      </c>
      <c r="G52" s="19">
        <f>(12404/E52)</f>
        <v>0.25</v>
      </c>
      <c r="H52" s="3"/>
      <c r="I52" s="3"/>
      <c r="J52" s="3"/>
      <c r="K52" s="3"/>
      <c r="L52" s="3"/>
      <c r="M52" s="3"/>
    </row>
    <row r="53" spans="1:13" ht="20.25" customHeight="1">
      <c r="A53" s="28" t="s">
        <v>50</v>
      </c>
      <c r="B53" s="29"/>
      <c r="C53" s="23"/>
      <c r="D53" s="23"/>
      <c r="E53" s="23">
        <f>E49+E50+E51+E52</f>
        <v>549458.4</v>
      </c>
      <c r="F53" s="23">
        <f>F49+F50+F51+F52</f>
        <v>4162.563636363636</v>
      </c>
      <c r="G53" s="23">
        <f>(138248/2+478576*90%+12404)/E53</f>
        <v>0.932275127652976</v>
      </c>
      <c r="H53" s="3"/>
      <c r="I53" s="3"/>
      <c r="J53" s="3"/>
      <c r="K53" s="3"/>
      <c r="L53" s="3"/>
      <c r="M53" s="3"/>
    </row>
    <row r="54" spans="1:13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26.25" customHeight="1">
      <c r="A55" s="25" t="s">
        <v>169</v>
      </c>
      <c r="B55" s="25"/>
      <c r="C55" s="25"/>
      <c r="D55" s="25"/>
      <c r="E55" s="25"/>
      <c r="F55" s="25"/>
      <c r="G55" s="25"/>
      <c r="H55" s="3"/>
      <c r="I55" s="3"/>
      <c r="J55" s="3"/>
      <c r="K55" s="3"/>
      <c r="L55" s="3"/>
      <c r="M55" s="3"/>
    </row>
    <row r="56" spans="1:1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75">
      <c r="A57" s="3" t="s">
        <v>52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63.75">
      <c r="A59" s="14" t="s">
        <v>38</v>
      </c>
      <c r="B59" s="14" t="s">
        <v>39</v>
      </c>
      <c r="C59" s="14" t="s">
        <v>53</v>
      </c>
      <c r="D59" s="14" t="s">
        <v>54</v>
      </c>
      <c r="E59" s="14" t="s">
        <v>42</v>
      </c>
      <c r="F59" s="14" t="s">
        <v>26</v>
      </c>
      <c r="G59" s="14" t="s">
        <v>28</v>
      </c>
      <c r="H59" s="3"/>
      <c r="I59" s="3"/>
      <c r="J59" s="3"/>
      <c r="K59" s="3"/>
      <c r="L59" s="3"/>
      <c r="M59" s="3"/>
    </row>
    <row r="60" spans="1:13" ht="45.75" customHeight="1">
      <c r="A60" s="26" t="s">
        <v>55</v>
      </c>
      <c r="B60" s="30"/>
      <c r="C60" s="19"/>
      <c r="D60" s="19"/>
      <c r="E60" s="19">
        <v>100608</v>
      </c>
      <c r="F60" s="19">
        <f aca="true" t="shared" si="4" ref="F60:F63">E60/$B$40</f>
        <v>762.1818181818181</v>
      </c>
      <c r="G60" s="19">
        <f>(71612/E60)</f>
        <v>0.7117923027989822</v>
      </c>
      <c r="H60" s="3"/>
      <c r="I60" s="3"/>
      <c r="J60" s="3"/>
      <c r="K60" s="3"/>
      <c r="L60" s="3"/>
      <c r="M60" s="3"/>
    </row>
    <row r="61" spans="1:13" ht="25.5">
      <c r="A61" s="26" t="s">
        <v>56</v>
      </c>
      <c r="B61" s="30" t="s">
        <v>57</v>
      </c>
      <c r="C61" s="19">
        <v>1</v>
      </c>
      <c r="D61" s="19">
        <f>E61/C61</f>
        <v>0</v>
      </c>
      <c r="E61" s="19">
        <v>0</v>
      </c>
      <c r="F61" s="19">
        <f t="shared" si="4"/>
        <v>0</v>
      </c>
      <c r="G61" s="19" t="e">
        <f aca="true" t="shared" si="5" ref="G61:G62">(0/E61)</f>
        <v>#DIV/0!</v>
      </c>
      <c r="H61" s="3"/>
      <c r="I61" s="3"/>
      <c r="J61" s="3"/>
      <c r="K61" s="3"/>
      <c r="L61" s="3"/>
      <c r="M61" s="3"/>
    </row>
    <row r="62" spans="1:13" ht="18" customHeight="1">
      <c r="A62" s="26" t="s">
        <v>58</v>
      </c>
      <c r="B62" s="30"/>
      <c r="C62" s="19"/>
      <c r="D62" s="19"/>
      <c r="E62" s="19">
        <v>0</v>
      </c>
      <c r="F62" s="19">
        <f t="shared" si="4"/>
        <v>0</v>
      </c>
      <c r="G62" s="19" t="e">
        <f t="shared" si="5"/>
        <v>#DIV/0!</v>
      </c>
      <c r="H62" s="3"/>
      <c r="I62" s="3"/>
      <c r="J62" s="3"/>
      <c r="K62" s="3"/>
      <c r="L62" s="3"/>
      <c r="M62" s="3"/>
    </row>
    <row r="63" spans="1:13" ht="18" customHeight="1">
      <c r="A63" s="26" t="s">
        <v>59</v>
      </c>
      <c r="B63" s="30"/>
      <c r="C63" s="19"/>
      <c r="D63" s="19"/>
      <c r="E63" s="19">
        <v>809640</v>
      </c>
      <c r="F63" s="19">
        <f t="shared" si="4"/>
        <v>6133.636363636364</v>
      </c>
      <c r="G63" s="19">
        <f>(576292/E63)</f>
        <v>0.7117879551405563</v>
      </c>
      <c r="H63" s="3"/>
      <c r="I63" s="3"/>
      <c r="J63" s="3"/>
      <c r="K63" s="3"/>
      <c r="L63" s="3"/>
      <c r="M63" s="3"/>
    </row>
    <row r="64" spans="1:13" ht="25.5">
      <c r="A64" s="26" t="s">
        <v>43</v>
      </c>
      <c r="B64" s="27" t="s">
        <v>44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3"/>
      <c r="I64" s="3"/>
      <c r="J64" s="3"/>
      <c r="K64" s="3"/>
      <c r="L64" s="3"/>
      <c r="M64" s="3"/>
    </row>
    <row r="65" spans="1:13" ht="25.5">
      <c r="A65" s="26" t="s">
        <v>45</v>
      </c>
      <c r="B65" s="27" t="s">
        <v>46</v>
      </c>
      <c r="C65" s="19">
        <f>30800/2</f>
        <v>15400</v>
      </c>
      <c r="D65" s="19">
        <f aca="true" t="shared" si="6" ref="D65:D66">E65/C65</f>
        <v>4.488571428571428</v>
      </c>
      <c r="E65" s="19">
        <f>138248/2</f>
        <v>69124</v>
      </c>
      <c r="F65" s="19">
        <f aca="true" t="shared" si="7" ref="F65:F68">E65/$B$40</f>
        <v>523.6666666666666</v>
      </c>
      <c r="G65" s="19">
        <f>(138248/2/E65)</f>
        <v>1</v>
      </c>
      <c r="H65" s="3"/>
      <c r="I65" s="3"/>
      <c r="J65" s="3"/>
      <c r="K65" s="3"/>
      <c r="L65" s="3"/>
      <c r="M65" s="3"/>
    </row>
    <row r="66" spans="1:13" ht="25.5">
      <c r="A66" s="26" t="s">
        <v>47</v>
      </c>
      <c r="B66" s="27" t="s">
        <v>48</v>
      </c>
      <c r="C66" s="19">
        <f>15400*10%</f>
        <v>1540</v>
      </c>
      <c r="D66" s="19">
        <f t="shared" si="6"/>
        <v>31.07636363636364</v>
      </c>
      <c r="E66" s="19">
        <f>478576*10%</f>
        <v>47857.600000000006</v>
      </c>
      <c r="F66" s="19">
        <f t="shared" si="7"/>
        <v>362.5575757575758</v>
      </c>
      <c r="G66" s="19">
        <f>(478576*10%/E66)</f>
        <v>1</v>
      </c>
      <c r="H66" s="3"/>
      <c r="I66" s="3"/>
      <c r="J66" s="3"/>
      <c r="K66" s="3"/>
      <c r="L66" s="3"/>
      <c r="M66" s="3"/>
    </row>
    <row r="67" spans="1:13" ht="25.5" customHeight="1">
      <c r="A67" s="26" t="s">
        <v>60</v>
      </c>
      <c r="B67" s="30"/>
      <c r="C67" s="19"/>
      <c r="D67" s="19"/>
      <c r="E67" s="19">
        <v>12844</v>
      </c>
      <c r="F67" s="19">
        <f t="shared" si="7"/>
        <v>97.3030303030303</v>
      </c>
      <c r="G67" s="19">
        <f>(9142/E67)</f>
        <v>0.7117720336343818</v>
      </c>
      <c r="H67" s="3"/>
      <c r="I67" s="3"/>
      <c r="J67" s="3"/>
      <c r="K67" s="3"/>
      <c r="L67" s="3"/>
      <c r="M67" s="3"/>
    </row>
    <row r="68" spans="1:13" ht="12.75">
      <c r="A68" s="26" t="s">
        <v>61</v>
      </c>
      <c r="B68" s="30"/>
      <c r="C68" s="19"/>
      <c r="D68" s="19"/>
      <c r="E68" s="19">
        <v>0</v>
      </c>
      <c r="F68" s="19">
        <f t="shared" si="7"/>
        <v>0</v>
      </c>
      <c r="G68" s="19" t="e">
        <f>(0/E68)</f>
        <v>#DIV/0!</v>
      </c>
      <c r="H68" s="3"/>
      <c r="I68" s="3"/>
      <c r="J68" s="3"/>
      <c r="K68" s="3"/>
      <c r="L68" s="3"/>
      <c r="M68" s="3"/>
    </row>
    <row r="69" spans="1:13" ht="24.75" customHeight="1">
      <c r="A69" s="28" t="s">
        <v>50</v>
      </c>
      <c r="B69" s="31"/>
      <c r="C69" s="23"/>
      <c r="D69" s="23"/>
      <c r="E69" s="23">
        <f>SUM(E60:E68)</f>
        <v>1040073.6</v>
      </c>
      <c r="F69" s="23">
        <f>SUM(F60:F68)</f>
        <v>7879.345454545455</v>
      </c>
      <c r="G69" s="23">
        <f>(71612+576292+138248/2+478576*10%+9142)/E69</f>
        <v>0.7442046409023362</v>
      </c>
      <c r="H69" s="3"/>
      <c r="I69" s="3"/>
      <c r="J69" s="3"/>
      <c r="K69" s="3"/>
      <c r="L69" s="3"/>
      <c r="M69" s="3"/>
    </row>
    <row r="70" spans="1:13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23.25" customHeight="1">
      <c r="A71" s="25" t="s">
        <v>62</v>
      </c>
      <c r="B71" s="25"/>
      <c r="C71" s="25"/>
      <c r="D71" s="25"/>
      <c r="E71" s="25"/>
      <c r="F71" s="25"/>
      <c r="G71" s="25"/>
      <c r="H71" s="3"/>
      <c r="I71" s="3"/>
      <c r="J71" s="3"/>
      <c r="K71" s="3"/>
      <c r="L71" s="3"/>
      <c r="M71" s="3"/>
    </row>
    <row r="72" spans="1:13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>
      <c r="A73" s="3" t="s">
        <v>63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63.75">
      <c r="A75" s="14" t="s">
        <v>38</v>
      </c>
      <c r="B75" s="14" t="s">
        <v>42</v>
      </c>
      <c r="C75" s="14" t="s">
        <v>26</v>
      </c>
      <c r="D75" s="14" t="s">
        <v>28</v>
      </c>
      <c r="E75" s="32"/>
      <c r="F75" s="32"/>
      <c r="G75" s="32"/>
      <c r="H75" s="3"/>
      <c r="I75" s="3"/>
      <c r="J75" s="3"/>
      <c r="K75" s="3"/>
      <c r="L75" s="3"/>
      <c r="M75" s="3"/>
    </row>
    <row r="76" spans="1:13" ht="51">
      <c r="A76" s="26" t="s">
        <v>64</v>
      </c>
      <c r="B76" s="33">
        <v>1102</v>
      </c>
      <c r="C76" s="19">
        <f aca="true" t="shared" si="8" ref="C76:C77">B76/$B$40</f>
        <v>8.348484848484848</v>
      </c>
      <c r="D76" s="19">
        <f>(784/B76)</f>
        <v>0.7114337568058077</v>
      </c>
      <c r="E76" s="34"/>
      <c r="F76" s="35"/>
      <c r="G76" s="35"/>
      <c r="H76" s="3"/>
      <c r="I76" s="3"/>
      <c r="J76" s="3"/>
      <c r="K76" s="3"/>
      <c r="L76" s="3"/>
      <c r="M76" s="3"/>
    </row>
    <row r="77" spans="1:13" ht="19.5" customHeight="1">
      <c r="A77" s="26" t="s">
        <v>65</v>
      </c>
      <c r="B77" s="33">
        <f>54806+17455</f>
        <v>72261</v>
      </c>
      <c r="C77" s="19">
        <f t="shared" si="8"/>
        <v>547.4318181818181</v>
      </c>
      <c r="D77" s="19">
        <f>(39010+12424)/B77</f>
        <v>0.7117809053292924</v>
      </c>
      <c r="E77" s="34"/>
      <c r="F77" s="35"/>
      <c r="G77" s="35"/>
      <c r="H77" s="3"/>
      <c r="I77" s="3"/>
      <c r="J77" s="3"/>
      <c r="K77" s="3"/>
      <c r="L77" s="3"/>
      <c r="M77" s="3"/>
    </row>
    <row r="78" spans="1:13" ht="27" customHeight="1">
      <c r="A78" s="28" t="s">
        <v>50</v>
      </c>
      <c r="B78" s="36">
        <f>SUM(B76:B77)</f>
        <v>73363</v>
      </c>
      <c r="C78" s="36">
        <f>SUM(C76:C77)</f>
        <v>555.780303030303</v>
      </c>
      <c r="D78" s="36">
        <f>(39010+12424+784)/B78</f>
        <v>0.7117756907432902</v>
      </c>
      <c r="E78" s="37"/>
      <c r="F78" s="37"/>
      <c r="G78" s="37"/>
      <c r="H78" s="3"/>
      <c r="I78" s="3"/>
      <c r="J78" s="3"/>
      <c r="K78" s="3"/>
      <c r="L78" s="3"/>
      <c r="M78" s="3"/>
    </row>
    <row r="79" spans="1:13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29.25" customHeight="1">
      <c r="A80" s="25" t="s">
        <v>66</v>
      </c>
      <c r="B80" s="25"/>
      <c r="C80" s="25"/>
      <c r="D80" s="25"/>
      <c r="E80" s="25"/>
      <c r="F80" s="25"/>
      <c r="G80" s="25"/>
      <c r="H80" s="3"/>
      <c r="I80" s="3"/>
      <c r="J80" s="3"/>
      <c r="K80" s="3"/>
      <c r="L80" s="3"/>
      <c r="M80" s="3"/>
    </row>
    <row r="81" spans="1:13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 hidden="1">
      <c r="A82" s="3" t="s">
        <v>67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63.75" hidden="1">
      <c r="A84" s="38" t="s">
        <v>68</v>
      </c>
      <c r="B84" s="10" t="s">
        <v>69</v>
      </c>
      <c r="C84" s="14" t="s">
        <v>54</v>
      </c>
      <c r="D84" s="10" t="s">
        <v>70</v>
      </c>
      <c r="E84" s="39" t="s">
        <v>71</v>
      </c>
      <c r="F84" s="14" t="s">
        <v>26</v>
      </c>
      <c r="G84" s="14" t="s">
        <v>28</v>
      </c>
      <c r="H84" s="3"/>
      <c r="I84" s="3"/>
      <c r="J84" s="3"/>
      <c r="K84" s="3"/>
      <c r="L84" s="3"/>
      <c r="M84" s="3"/>
    </row>
    <row r="85" spans="1:13" ht="12.75" hidden="1">
      <c r="A85" s="40" t="s">
        <v>72</v>
      </c>
      <c r="B85" s="41">
        <v>1</v>
      </c>
      <c r="C85" s="42">
        <f aca="true" t="shared" si="9" ref="C85:C86">E85/D85/B85</f>
        <v>0</v>
      </c>
      <c r="D85" s="43">
        <v>12</v>
      </c>
      <c r="E85" s="44">
        <v>0</v>
      </c>
      <c r="F85" s="19">
        <f aca="true" t="shared" si="10" ref="F85:F88">E85/$B$40</f>
        <v>0</v>
      </c>
      <c r="G85" s="72" t="e">
        <f aca="true" t="shared" si="11" ref="G85:G87">(0/E85)</f>
        <v>#DIV/0!</v>
      </c>
      <c r="H85" s="3"/>
      <c r="I85" s="3"/>
      <c r="J85" s="3"/>
      <c r="K85" s="3"/>
      <c r="L85" s="3"/>
      <c r="M85" s="3"/>
    </row>
    <row r="86" spans="1:13" ht="12.75" hidden="1">
      <c r="A86" s="40" t="s">
        <v>73</v>
      </c>
      <c r="B86" s="39">
        <v>1</v>
      </c>
      <c r="C86" s="42">
        <f t="shared" si="9"/>
        <v>0</v>
      </c>
      <c r="D86" s="43">
        <v>12</v>
      </c>
      <c r="E86" s="44">
        <v>0</v>
      </c>
      <c r="F86" s="19">
        <f t="shared" si="10"/>
        <v>0</v>
      </c>
      <c r="G86" s="72" t="e">
        <f t="shared" si="11"/>
        <v>#DIV/0!</v>
      </c>
      <c r="H86" s="3"/>
      <c r="I86" s="3"/>
      <c r="J86" s="3"/>
      <c r="K86" s="3"/>
      <c r="L86" s="3"/>
      <c r="M86" s="3"/>
    </row>
    <row r="87" spans="1:13" ht="12.75" hidden="1">
      <c r="A87" s="40" t="s">
        <v>74</v>
      </c>
      <c r="B87" s="41"/>
      <c r="C87" s="41"/>
      <c r="D87" s="43"/>
      <c r="E87" s="44">
        <v>0</v>
      </c>
      <c r="F87" s="19">
        <f t="shared" si="10"/>
        <v>0</v>
      </c>
      <c r="G87" s="72" t="e">
        <f t="shared" si="11"/>
        <v>#DIV/0!</v>
      </c>
      <c r="H87" s="3"/>
      <c r="I87" s="3"/>
      <c r="J87" s="3"/>
      <c r="K87" s="3"/>
      <c r="L87" s="3"/>
      <c r="M87" s="3"/>
    </row>
    <row r="88" spans="1:13" ht="12.75" hidden="1">
      <c r="A88" s="45" t="s">
        <v>75</v>
      </c>
      <c r="B88" s="46"/>
      <c r="C88" s="46"/>
      <c r="D88" s="46"/>
      <c r="E88" s="47">
        <f>E85+E86+E87</f>
        <v>0</v>
      </c>
      <c r="F88" s="23">
        <f t="shared" si="10"/>
        <v>0</v>
      </c>
      <c r="G88" s="73" t="e">
        <f>0/E88</f>
        <v>#DIV/0!</v>
      </c>
      <c r="H88" s="3"/>
      <c r="I88" s="3"/>
      <c r="J88" s="3"/>
      <c r="K88" s="3"/>
      <c r="L88" s="3"/>
      <c r="M88" s="3"/>
    </row>
    <row r="89" spans="1:13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24" customHeight="1" hidden="1">
      <c r="A90" s="25" t="s">
        <v>131</v>
      </c>
      <c r="B90" s="25"/>
      <c r="C90" s="25"/>
      <c r="D90" s="25"/>
      <c r="E90" s="25"/>
      <c r="F90" s="25"/>
      <c r="G90" s="25"/>
      <c r="H90" s="3"/>
      <c r="I90" s="3"/>
      <c r="J90" s="3"/>
      <c r="K90" s="3"/>
      <c r="L90" s="3"/>
      <c r="M90" s="3"/>
    </row>
    <row r="91" spans="1:1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45" customHeight="1">
      <c r="A92" s="12" t="s">
        <v>77</v>
      </c>
      <c r="B92" s="12"/>
      <c r="C92" s="12"/>
      <c r="D92" s="12"/>
      <c r="E92" s="12"/>
      <c r="F92" s="12"/>
      <c r="G92" s="12"/>
      <c r="H92" s="13"/>
      <c r="I92" s="13"/>
      <c r="J92" s="13"/>
      <c r="K92" s="3"/>
      <c r="L92" s="3"/>
      <c r="M92" s="3"/>
    </row>
    <row r="93" spans="1:1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63.75">
      <c r="A94" s="14" t="s">
        <v>38</v>
      </c>
      <c r="B94" s="39" t="s">
        <v>71</v>
      </c>
      <c r="C94" s="14" t="s">
        <v>26</v>
      </c>
      <c r="D94" s="14" t="s">
        <v>28</v>
      </c>
      <c r="E94" s="48" t="s">
        <v>78</v>
      </c>
      <c r="F94" s="16" t="s">
        <v>79</v>
      </c>
      <c r="G94" s="3"/>
      <c r="H94" s="3"/>
      <c r="I94" s="3"/>
      <c r="J94" s="3"/>
      <c r="K94" s="3"/>
      <c r="L94" s="3"/>
      <c r="M94" s="3"/>
    </row>
    <row r="95" spans="1:13" ht="12.75">
      <c r="A95" s="49" t="s">
        <v>80</v>
      </c>
      <c r="B95" s="36">
        <v>1320407</v>
      </c>
      <c r="C95" s="23">
        <f>B95/$B$40</f>
        <v>10003.083333333334</v>
      </c>
      <c r="D95" s="23">
        <f>939849/B95</f>
        <v>0.7117873504154401</v>
      </c>
      <c r="E95" s="18">
        <f>B95*D95</f>
        <v>939849</v>
      </c>
      <c r="F95" s="18">
        <f>E95-B95</f>
        <v>-380558</v>
      </c>
      <c r="G95" s="3"/>
      <c r="H95" s="3"/>
      <c r="I95" s="3"/>
      <c r="J95" s="3"/>
      <c r="K95" s="3"/>
      <c r="L95" s="3"/>
      <c r="M95" s="3"/>
    </row>
    <row r="96" spans="1:1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34.5" customHeight="1">
      <c r="A97" s="25" t="s">
        <v>81</v>
      </c>
      <c r="B97" s="25"/>
      <c r="C97" s="25"/>
      <c r="D97" s="25"/>
      <c r="E97" s="25"/>
      <c r="F97" s="25"/>
      <c r="G97" s="25"/>
      <c r="H97" s="3"/>
      <c r="I97" s="3"/>
      <c r="J97" s="3"/>
      <c r="K97" s="3"/>
      <c r="L97" s="3"/>
      <c r="M97" s="3"/>
    </row>
    <row r="98" spans="1:1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48.75" customHeight="1">
      <c r="A99" s="50" t="s">
        <v>186</v>
      </c>
      <c r="B99" s="50"/>
      <c r="C99" s="50"/>
      <c r="D99" s="50"/>
      <c r="E99" s="50"/>
      <c r="F99" s="50"/>
      <c r="G99" s="50"/>
      <c r="H99" s="3"/>
      <c r="I99" s="3"/>
      <c r="J99" s="3"/>
      <c r="K99" s="3"/>
      <c r="L99" s="3"/>
      <c r="M99" s="3"/>
    </row>
    <row r="100" spans="1:13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4.25">
      <c r="A101" s="3" t="s">
        <v>83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>
      <c r="A103" s="3" t="s">
        <v>84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>
      <c r="A105" s="3" t="s">
        <v>85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7.25" customHeight="1">
      <c r="A107" s="4" t="s">
        <v>86</v>
      </c>
      <c r="B107" s="4"/>
      <c r="C107" s="4"/>
      <c r="D107" s="4"/>
      <c r="E107" s="4"/>
      <c r="F107" s="4"/>
      <c r="G107" s="4"/>
      <c r="H107" s="3"/>
      <c r="I107" s="3"/>
      <c r="J107" s="3"/>
      <c r="K107" s="3"/>
      <c r="L107" s="3"/>
      <c r="M107" s="3"/>
    </row>
    <row r="108" spans="1:13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>
      <c r="A109" s="3" t="s">
        <v>87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3.5" customHeight="1">
      <c r="A111" s="4" t="s">
        <v>88</v>
      </c>
      <c r="B111" s="4"/>
      <c r="C111" s="4"/>
      <c r="D111" s="4"/>
      <c r="E111" s="4"/>
      <c r="F111" s="4"/>
      <c r="G111" s="4"/>
      <c r="H111" s="3"/>
      <c r="I111" s="3"/>
      <c r="J111" s="3"/>
      <c r="K111" s="3"/>
      <c r="L111" s="3"/>
      <c r="M111" s="3"/>
    </row>
    <row r="112" spans="1:1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>
      <c r="A113" s="3" t="s">
        <v>5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14.75">
      <c r="A115" s="14" t="s">
        <v>89</v>
      </c>
      <c r="B115" s="14" t="s">
        <v>90</v>
      </c>
      <c r="C115" s="39" t="s">
        <v>91</v>
      </c>
      <c r="D115" s="14" t="s">
        <v>92</v>
      </c>
      <c r="E115" s="14" t="s">
        <v>93</v>
      </c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36">
        <f>C42</f>
        <v>12597.689393939394</v>
      </c>
      <c r="B116" s="36">
        <f>E42</f>
        <v>1.4985606427345082</v>
      </c>
      <c r="C116" s="23">
        <f>C95</f>
        <v>10003.083333333334</v>
      </c>
      <c r="D116" s="23">
        <f>D95</f>
        <v>0.7117873504154401</v>
      </c>
      <c r="E116" s="36">
        <f>(A116*B116+C116*D116)*F18</f>
        <v>3431798</v>
      </c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05" customHeight="1">
      <c r="A118" s="12" t="s">
        <v>187</v>
      </c>
      <c r="B118" s="12"/>
      <c r="C118" s="12"/>
      <c r="D118" s="12"/>
      <c r="E118" s="12"/>
      <c r="F118" s="12"/>
      <c r="G118" s="12"/>
      <c r="H118" s="3"/>
      <c r="I118" s="3"/>
      <c r="J118" s="3"/>
      <c r="K118" s="3"/>
      <c r="L118" s="3"/>
      <c r="M118" s="3"/>
    </row>
    <row r="119" spans="1:13" ht="12.75">
      <c r="A119" s="3"/>
      <c r="B119" s="3"/>
      <c r="C119" s="3"/>
      <c r="D119" s="3" t="s">
        <v>95</v>
      </c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>
      <c r="A121" s="3" t="s">
        <v>96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>
      <c r="A123" s="3" t="s">
        <v>97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>
      <c r="A125" s="3" t="s">
        <v>98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>
      <c r="A127" s="3" t="s">
        <v>99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40.25">
      <c r="A129" s="51" t="s">
        <v>100</v>
      </c>
      <c r="B129" s="52" t="s">
        <v>101</v>
      </c>
      <c r="C129" s="51" t="s">
        <v>102</v>
      </c>
      <c r="D129" s="51" t="s">
        <v>103</v>
      </c>
      <c r="E129" s="53"/>
      <c r="F129" s="53"/>
      <c r="G129" s="53"/>
      <c r="H129" s="3"/>
      <c r="I129" s="3"/>
      <c r="J129" s="3"/>
      <c r="K129" s="3"/>
      <c r="L129" s="3"/>
      <c r="M129" s="3"/>
    </row>
    <row r="130" spans="1:13" ht="12.75">
      <c r="A130" s="65">
        <f>8944571+26469+106994+99916+20000</f>
        <v>9197950</v>
      </c>
      <c r="B130" s="65">
        <f>990000+298980</f>
        <v>1288980</v>
      </c>
      <c r="C130" s="66">
        <f>666000+201132</f>
        <v>867132</v>
      </c>
      <c r="D130" s="67">
        <f>A130+B130+C130</f>
        <v>11354062</v>
      </c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>
      <c r="A131" s="58"/>
      <c r="B131" s="58"/>
      <c r="C131" s="58"/>
      <c r="D131" s="58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>
      <c r="A132" s="58"/>
      <c r="B132" s="58"/>
      <c r="C132" s="58"/>
      <c r="D132" s="58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>
      <c r="A133" s="68" t="s">
        <v>107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16" t="s">
        <v>108</v>
      </c>
      <c r="B135" s="16">
        <v>0</v>
      </c>
      <c r="C135" s="16"/>
      <c r="D135" s="18">
        <v>885912</v>
      </c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>
      <c r="A136" s="16" t="s">
        <v>109</v>
      </c>
      <c r="B136" s="16">
        <v>0</v>
      </c>
      <c r="C136" s="16"/>
      <c r="D136" s="18">
        <v>267545</v>
      </c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21" t="s">
        <v>50</v>
      </c>
      <c r="B137" s="21">
        <f>B135+B136</f>
        <v>0</v>
      </c>
      <c r="C137" s="21"/>
      <c r="D137" s="22">
        <f>D135+D136</f>
        <v>1153457</v>
      </c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6:13" ht="12.75">
      <c r="F366" s="3"/>
      <c r="G366" s="3"/>
      <c r="H366" s="3"/>
      <c r="I366" s="3"/>
      <c r="J366" s="3"/>
      <c r="K366" s="3"/>
      <c r="L366" s="3"/>
      <c r="M366" s="3"/>
    </row>
  </sheetData>
  <sheetProtection selectLockedCells="1" selectUnlockedCells="1"/>
  <mergeCells count="19">
    <mergeCell ref="A2:G2"/>
    <mergeCell ref="A4:G4"/>
    <mergeCell ref="A5:A6"/>
    <mergeCell ref="B5:C5"/>
    <mergeCell ref="D5:D6"/>
    <mergeCell ref="B6:C6"/>
    <mergeCell ref="A11:G11"/>
    <mergeCell ref="A20:G20"/>
    <mergeCell ref="A44:G44"/>
    <mergeCell ref="A55:G55"/>
    <mergeCell ref="A71:G71"/>
    <mergeCell ref="A80:G80"/>
    <mergeCell ref="A90:G90"/>
    <mergeCell ref="A92:G92"/>
    <mergeCell ref="A97:G97"/>
    <mergeCell ref="A99:G99"/>
    <mergeCell ref="A107:G107"/>
    <mergeCell ref="A111:G111"/>
    <mergeCell ref="A118:G118"/>
  </mergeCells>
  <printOptions/>
  <pageMargins left="0.7083333333333334" right="0.7083333333333334" top="0.7479166666666667" bottom="0.7479166666666667" header="0.5118055555555555" footer="0.5118055555555555"/>
  <pageSetup fitToHeight="3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M366"/>
  <sheetViews>
    <sheetView workbookViewId="0" topLeftCell="A124">
      <selection activeCell="E134" sqref="E134"/>
    </sheetView>
  </sheetViews>
  <sheetFormatPr defaultColWidth="8.00390625" defaultRowHeight="12.75"/>
  <cols>
    <col min="1" max="1" width="18.00390625" style="0" customWidth="1"/>
    <col min="2" max="2" width="13.625" style="0" customWidth="1"/>
    <col min="3" max="3" width="13.00390625" style="0" customWidth="1"/>
    <col min="4" max="4" width="12.375" style="0" customWidth="1"/>
    <col min="5" max="5" width="15.625" style="0" customWidth="1"/>
    <col min="6" max="6" width="12.75390625" style="0" customWidth="1"/>
    <col min="7" max="7" width="13.625" style="0" customWidth="1"/>
    <col min="8" max="16384" width="9.00390625" style="0" customWidth="1"/>
  </cols>
  <sheetData>
    <row r="2" spans="1:13" ht="59.25" customHeight="1">
      <c r="A2" s="1" t="s">
        <v>188</v>
      </c>
      <c r="B2" s="1"/>
      <c r="C2" s="1"/>
      <c r="D2" s="1"/>
      <c r="E2" s="1"/>
      <c r="F2" s="1"/>
      <c r="G2" s="1"/>
      <c r="H2" s="2"/>
      <c r="I2" s="2"/>
      <c r="J2" s="2"/>
      <c r="K2" s="3"/>
      <c r="L2" s="3"/>
      <c r="M2" s="3"/>
    </row>
    <row r="3" spans="1:1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40.5" customHeight="1">
      <c r="A4" s="4" t="s">
        <v>1</v>
      </c>
      <c r="B4" s="4"/>
      <c r="C4" s="4"/>
      <c r="D4" s="4"/>
      <c r="E4" s="4"/>
      <c r="F4" s="4"/>
      <c r="G4" s="4"/>
      <c r="H4" s="3"/>
      <c r="I4" s="3"/>
      <c r="J4" s="3"/>
      <c r="K4" s="3"/>
      <c r="L4" s="3"/>
      <c r="M4" s="3"/>
    </row>
    <row r="5" spans="1:13" ht="12.75" customHeight="1">
      <c r="A5" s="5" t="s">
        <v>2</v>
      </c>
      <c r="B5" s="6" t="s">
        <v>3</v>
      </c>
      <c r="C5" s="6"/>
      <c r="D5" s="7" t="s">
        <v>4</v>
      </c>
      <c r="E5" s="3"/>
      <c r="F5" s="3"/>
      <c r="G5" s="3"/>
      <c r="H5" s="3"/>
      <c r="I5" s="3"/>
      <c r="J5" s="3"/>
      <c r="K5" s="3"/>
      <c r="L5" s="3"/>
      <c r="M5" s="3"/>
    </row>
    <row r="6" spans="1:13" ht="12.75" customHeight="1">
      <c r="A6" s="5"/>
      <c r="B6" s="8">
        <v>12</v>
      </c>
      <c r="C6" s="8"/>
      <c r="D6" s="7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 s="3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 s="3" t="s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42" customHeight="1">
      <c r="A11" s="4" t="s">
        <v>7</v>
      </c>
      <c r="B11" s="4"/>
      <c r="C11" s="4"/>
      <c r="D11" s="4"/>
      <c r="E11" s="4"/>
      <c r="F11" s="4"/>
      <c r="G11" s="4"/>
      <c r="H11" s="3"/>
      <c r="I11" s="3"/>
      <c r="J11" s="3"/>
      <c r="K11" s="3"/>
      <c r="L11" s="3"/>
      <c r="M11" s="3"/>
    </row>
    <row r="12" spans="1:1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 s="3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3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99" customHeight="1">
      <c r="A17" s="9" t="s">
        <v>10</v>
      </c>
      <c r="B17" s="9" t="s">
        <v>11</v>
      </c>
      <c r="C17" s="10" t="s">
        <v>12</v>
      </c>
      <c r="D17" s="9" t="s">
        <v>13</v>
      </c>
      <c r="E17" s="9" t="s">
        <v>111</v>
      </c>
      <c r="F17" s="9" t="s">
        <v>15</v>
      </c>
      <c r="G17" s="3"/>
      <c r="H17" s="3"/>
      <c r="I17" s="3"/>
      <c r="J17" s="3"/>
      <c r="K17" s="3"/>
      <c r="L17" s="3"/>
      <c r="M17" s="3"/>
    </row>
    <row r="18" spans="1:13" ht="29.25" customHeight="1">
      <c r="A18" s="9">
        <v>61</v>
      </c>
      <c r="B18" s="10">
        <v>0</v>
      </c>
      <c r="C18" s="9">
        <v>10</v>
      </c>
      <c r="D18" s="9">
        <v>5</v>
      </c>
      <c r="E18" s="11">
        <v>0</v>
      </c>
      <c r="F18" s="11">
        <v>56</v>
      </c>
      <c r="G18" s="3"/>
      <c r="H18" s="3"/>
      <c r="I18" s="3"/>
      <c r="J18" s="3"/>
      <c r="K18" s="3"/>
      <c r="L18" s="3"/>
      <c r="M18" s="3"/>
    </row>
    <row r="19" spans="1:1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27" customHeight="1">
      <c r="A20" s="12" t="s">
        <v>16</v>
      </c>
      <c r="B20" s="12"/>
      <c r="C20" s="12"/>
      <c r="D20" s="12"/>
      <c r="E20" s="12"/>
      <c r="F20" s="12"/>
      <c r="G20" s="12"/>
      <c r="H20" s="13"/>
      <c r="I20" s="13"/>
      <c r="J20" s="13"/>
      <c r="K20" s="3"/>
      <c r="L20" s="3"/>
      <c r="M20" s="3"/>
    </row>
    <row r="21" spans="1:13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 s="3" t="s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3" t="s">
        <v>18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3" t="s">
        <v>19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 s="3" t="s">
        <v>20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 t="s">
        <v>21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 s="3" t="s">
        <v>22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s="3" t="s">
        <v>23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63.75" customHeight="1">
      <c r="A36" s="14" t="s">
        <v>24</v>
      </c>
      <c r="B36" s="15" t="s">
        <v>25</v>
      </c>
      <c r="C36" s="14" t="s">
        <v>26</v>
      </c>
      <c r="D36" s="14" t="s">
        <v>27</v>
      </c>
      <c r="E36" s="14" t="s">
        <v>28</v>
      </c>
      <c r="F36" s="14" t="s">
        <v>29</v>
      </c>
      <c r="G36" s="3"/>
      <c r="H36" s="3"/>
      <c r="I36" s="3"/>
      <c r="J36" s="3"/>
      <c r="K36" s="3"/>
      <c r="L36" s="3"/>
      <c r="M36" s="3"/>
    </row>
    <row r="37" spans="1:13" ht="12.75">
      <c r="A37" s="16" t="s">
        <v>30</v>
      </c>
      <c r="B37" s="17">
        <f>F18</f>
        <v>56</v>
      </c>
      <c r="C37" s="18">
        <f>F53</f>
        <v>6449.898214285715</v>
      </c>
      <c r="D37" s="18">
        <f>E53</f>
        <v>361194.3</v>
      </c>
      <c r="E37" s="19">
        <f>G53</f>
        <v>0.9344175697124788</v>
      </c>
      <c r="F37" s="18">
        <f aca="true" t="shared" si="0" ref="F37:F40">D37*E37</f>
        <v>337506.3</v>
      </c>
      <c r="G37" s="3"/>
      <c r="H37" s="3"/>
      <c r="I37" s="3"/>
      <c r="J37" s="3"/>
      <c r="K37" s="3"/>
      <c r="L37" s="3"/>
      <c r="M37" s="3"/>
    </row>
    <row r="38" spans="1:13" ht="12.75">
      <c r="A38" s="16" t="s">
        <v>31</v>
      </c>
      <c r="B38" s="17">
        <f aca="true" t="shared" si="1" ref="B38:B41">B37</f>
        <v>56</v>
      </c>
      <c r="C38" s="18">
        <f>F69</f>
        <v>16949.423214285714</v>
      </c>
      <c r="D38" s="18">
        <f>E69</f>
        <v>949167.7</v>
      </c>
      <c r="E38" s="19">
        <f>G69</f>
        <v>0.7358022191442039</v>
      </c>
      <c r="F38" s="18">
        <f t="shared" si="0"/>
        <v>698399.7</v>
      </c>
      <c r="G38" s="3"/>
      <c r="H38" s="3"/>
      <c r="I38" s="3"/>
      <c r="J38" s="3"/>
      <c r="K38" s="3"/>
      <c r="L38" s="3"/>
      <c r="M38" s="3"/>
    </row>
    <row r="39" spans="1:13" ht="12.75">
      <c r="A39" s="16" t="s">
        <v>32</v>
      </c>
      <c r="B39" s="17">
        <f t="shared" si="1"/>
        <v>56</v>
      </c>
      <c r="C39" s="18">
        <f>C78</f>
        <v>1146.25</v>
      </c>
      <c r="D39" s="18">
        <f>B78</f>
        <v>64190</v>
      </c>
      <c r="E39" s="19">
        <f>D78</f>
        <v>0.7117775354416576</v>
      </c>
      <c r="F39" s="18">
        <f t="shared" si="0"/>
        <v>45689</v>
      </c>
      <c r="G39" s="3"/>
      <c r="H39" s="3"/>
      <c r="I39" s="3"/>
      <c r="J39" s="3"/>
      <c r="K39" s="3"/>
      <c r="L39" s="3"/>
      <c r="M39" s="3"/>
    </row>
    <row r="40" spans="1:13" ht="12.75">
      <c r="A40" s="16" t="s">
        <v>33</v>
      </c>
      <c r="B40" s="17">
        <f t="shared" si="1"/>
        <v>56</v>
      </c>
      <c r="C40" s="18">
        <f>F88</f>
        <v>0</v>
      </c>
      <c r="D40" s="18">
        <f>E88</f>
        <v>0</v>
      </c>
      <c r="E40" s="19">
        <v>0</v>
      </c>
      <c r="F40" s="18">
        <f t="shared" si="0"/>
        <v>0</v>
      </c>
      <c r="G40" s="3"/>
      <c r="H40" s="3"/>
      <c r="I40" s="3"/>
      <c r="J40" s="3"/>
      <c r="K40" s="3"/>
      <c r="L40" s="3"/>
      <c r="M40" s="3"/>
    </row>
    <row r="41" spans="1:13" ht="12.75">
      <c r="A41" s="16" t="s">
        <v>34</v>
      </c>
      <c r="B41" s="17">
        <f t="shared" si="1"/>
        <v>56</v>
      </c>
      <c r="C41" s="18">
        <v>0</v>
      </c>
      <c r="D41" s="18">
        <v>0</v>
      </c>
      <c r="E41" s="19">
        <v>1</v>
      </c>
      <c r="F41" s="18">
        <f>D137</f>
        <v>584927</v>
      </c>
      <c r="G41" s="3"/>
      <c r="H41" s="3"/>
      <c r="I41" s="3"/>
      <c r="J41" s="3"/>
      <c r="K41" s="3"/>
      <c r="L41" s="3"/>
      <c r="M41" s="3"/>
    </row>
    <row r="42" spans="1:13" ht="12.75">
      <c r="A42" s="20" t="s">
        <v>35</v>
      </c>
      <c r="B42" s="21"/>
      <c r="C42" s="22">
        <f>D42/B40</f>
        <v>24545.571428571428</v>
      </c>
      <c r="D42" s="22">
        <f>SUM(D37:D40)</f>
        <v>1374552</v>
      </c>
      <c r="E42" s="23">
        <f>F42/D42</f>
        <v>1.212411025555963</v>
      </c>
      <c r="F42" s="18">
        <f>F37+F38+F39+F40+F41</f>
        <v>1666522</v>
      </c>
      <c r="G42" s="24">
        <f>F42+E95</f>
        <v>2122054</v>
      </c>
      <c r="H42" s="3"/>
      <c r="I42" s="3"/>
      <c r="J42" s="3"/>
      <c r="K42" s="3"/>
      <c r="L42" s="3"/>
      <c r="M42" s="3"/>
    </row>
    <row r="43" spans="1:13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30.75" customHeight="1">
      <c r="A44" s="25" t="s">
        <v>189</v>
      </c>
      <c r="B44" s="25"/>
      <c r="C44" s="25"/>
      <c r="D44" s="25"/>
      <c r="E44" s="25"/>
      <c r="F44" s="25"/>
      <c r="G44" s="25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3" t="s">
        <v>37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63.75">
      <c r="A48" s="14" t="s">
        <v>38</v>
      </c>
      <c r="B48" s="14" t="s">
        <v>39</v>
      </c>
      <c r="C48" s="14" t="s">
        <v>40</v>
      </c>
      <c r="D48" s="14" t="s">
        <v>41</v>
      </c>
      <c r="E48" s="14" t="s">
        <v>42</v>
      </c>
      <c r="F48" s="14" t="s">
        <v>26</v>
      </c>
      <c r="G48" s="14" t="s">
        <v>28</v>
      </c>
      <c r="H48" s="3"/>
      <c r="I48" s="3"/>
      <c r="J48" s="3"/>
      <c r="K48" s="3"/>
      <c r="L48" s="3"/>
      <c r="M48" s="3"/>
    </row>
    <row r="49" spans="1:13" ht="25.5">
      <c r="A49" s="26" t="s">
        <v>43</v>
      </c>
      <c r="B49" s="27" t="s">
        <v>44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3"/>
      <c r="I49" s="3"/>
      <c r="J49" s="3"/>
      <c r="K49" s="3"/>
      <c r="L49" s="3"/>
      <c r="M49" s="3"/>
    </row>
    <row r="50" spans="1:13" ht="25.5">
      <c r="A50" s="26" t="s">
        <v>45</v>
      </c>
      <c r="B50" s="27" t="s">
        <v>46</v>
      </c>
      <c r="C50" s="19">
        <f>16728/2</f>
        <v>8364</v>
      </c>
      <c r="D50" s="19">
        <f aca="true" t="shared" si="2" ref="D50:D52">E50/C50</f>
        <v>5.711800573888092</v>
      </c>
      <c r="E50" s="19">
        <f>95547/2</f>
        <v>47773.5</v>
      </c>
      <c r="F50" s="19">
        <f aca="true" t="shared" si="3" ref="F50:F52">E50/$B$40</f>
        <v>853.0982142857143</v>
      </c>
      <c r="G50" s="19">
        <f>(95547/2/E50)</f>
        <v>1</v>
      </c>
      <c r="H50" s="3"/>
      <c r="I50" s="3"/>
      <c r="J50" s="3"/>
      <c r="K50" s="3"/>
      <c r="L50" s="3"/>
      <c r="M50" s="3"/>
    </row>
    <row r="51" spans="1:13" ht="25.5">
      <c r="A51" s="26" t="s">
        <v>47</v>
      </c>
      <c r="B51" s="27" t="s">
        <v>48</v>
      </c>
      <c r="C51" s="19">
        <f>23100*90%</f>
        <v>20790</v>
      </c>
      <c r="D51" s="19">
        <f t="shared" si="2"/>
        <v>13.556363636363637</v>
      </c>
      <c r="E51" s="19">
        <f>313152*90%</f>
        <v>281836.8</v>
      </c>
      <c r="F51" s="19">
        <f t="shared" si="3"/>
        <v>5032.8</v>
      </c>
      <c r="G51" s="19">
        <f>(313152*90%/E51)</f>
        <v>1</v>
      </c>
      <c r="H51" s="3"/>
      <c r="I51" s="3"/>
      <c r="J51" s="3"/>
      <c r="K51" s="3"/>
      <c r="L51" s="3"/>
      <c r="M51" s="3"/>
    </row>
    <row r="52" spans="1:13" ht="25.5">
      <c r="A52" s="26" t="s">
        <v>49</v>
      </c>
      <c r="B52" s="27" t="s">
        <v>46</v>
      </c>
      <c r="C52" s="19">
        <v>400</v>
      </c>
      <c r="D52" s="19">
        <f t="shared" si="2"/>
        <v>78.96</v>
      </c>
      <c r="E52" s="19">
        <v>31584</v>
      </c>
      <c r="F52" s="19">
        <f t="shared" si="3"/>
        <v>564</v>
      </c>
      <c r="G52" s="19">
        <f>(7896/E52)</f>
        <v>0.25</v>
      </c>
      <c r="H52" s="3"/>
      <c r="I52" s="3"/>
      <c r="J52" s="3"/>
      <c r="K52" s="3"/>
      <c r="L52" s="3"/>
      <c r="M52" s="3"/>
    </row>
    <row r="53" spans="1:13" ht="20.25" customHeight="1">
      <c r="A53" s="28" t="s">
        <v>50</v>
      </c>
      <c r="B53" s="29"/>
      <c r="C53" s="23"/>
      <c r="D53" s="23"/>
      <c r="E53" s="23">
        <f>E49+E50+E51+E52</f>
        <v>361194.3</v>
      </c>
      <c r="F53" s="23">
        <f>F49+F50+F51+F52</f>
        <v>6449.898214285715</v>
      </c>
      <c r="G53" s="23">
        <f>(95547/2+313152*90%+7896)/E53</f>
        <v>0.9344175697124788</v>
      </c>
      <c r="H53" s="3"/>
      <c r="I53" s="3"/>
      <c r="J53" s="3"/>
      <c r="K53" s="3"/>
      <c r="L53" s="3"/>
      <c r="M53" s="3"/>
    </row>
    <row r="54" spans="1:13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27" customHeight="1">
      <c r="A55" s="25" t="s">
        <v>169</v>
      </c>
      <c r="B55" s="25"/>
      <c r="C55" s="25"/>
      <c r="D55" s="25"/>
      <c r="E55" s="25"/>
      <c r="F55" s="25"/>
      <c r="G55" s="25"/>
      <c r="H55" s="3"/>
      <c r="I55" s="3"/>
      <c r="J55" s="3"/>
      <c r="K55" s="3"/>
      <c r="L55" s="3"/>
      <c r="M55" s="3"/>
    </row>
    <row r="56" spans="1:1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75">
      <c r="A57" s="3" t="s">
        <v>52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63.75">
      <c r="A59" s="14" t="s">
        <v>38</v>
      </c>
      <c r="B59" s="14" t="s">
        <v>39</v>
      </c>
      <c r="C59" s="14" t="s">
        <v>53</v>
      </c>
      <c r="D59" s="14" t="s">
        <v>54</v>
      </c>
      <c r="E59" s="14" t="s">
        <v>42</v>
      </c>
      <c r="F59" s="14" t="s">
        <v>26</v>
      </c>
      <c r="G59" s="14" t="s">
        <v>28</v>
      </c>
      <c r="H59" s="3"/>
      <c r="I59" s="3"/>
      <c r="J59" s="3"/>
      <c r="K59" s="3"/>
      <c r="L59" s="3"/>
      <c r="M59" s="3"/>
    </row>
    <row r="60" spans="1:13" ht="45.75" customHeight="1">
      <c r="A60" s="26" t="s">
        <v>55</v>
      </c>
      <c r="B60" s="30"/>
      <c r="C60" s="19"/>
      <c r="D60" s="19"/>
      <c r="E60" s="19">
        <v>52911</v>
      </c>
      <c r="F60" s="19">
        <f aca="true" t="shared" si="4" ref="F60:F63">E60/$B$40</f>
        <v>944.8392857142857</v>
      </c>
      <c r="G60" s="19">
        <f>(37661/E60)</f>
        <v>0.7117801591351515</v>
      </c>
      <c r="H60" s="3"/>
      <c r="I60" s="3"/>
      <c r="J60" s="3"/>
      <c r="K60" s="3"/>
      <c r="L60" s="3"/>
      <c r="M60" s="3"/>
    </row>
    <row r="61" spans="1:13" ht="25.5">
      <c r="A61" s="26" t="s">
        <v>56</v>
      </c>
      <c r="B61" s="30" t="s">
        <v>57</v>
      </c>
      <c r="C61" s="19">
        <v>1</v>
      </c>
      <c r="D61" s="19">
        <f>E61/C61</f>
        <v>0</v>
      </c>
      <c r="E61" s="19">
        <v>0</v>
      </c>
      <c r="F61" s="19">
        <f t="shared" si="4"/>
        <v>0</v>
      </c>
      <c r="G61" s="19" t="e">
        <f aca="true" t="shared" si="5" ref="G61:G62">(0/E61)</f>
        <v>#DIV/0!</v>
      </c>
      <c r="H61" s="3"/>
      <c r="I61" s="3"/>
      <c r="J61" s="3"/>
      <c r="K61" s="3"/>
      <c r="L61" s="3"/>
      <c r="M61" s="3"/>
    </row>
    <row r="62" spans="1:13" ht="18" customHeight="1">
      <c r="A62" s="26" t="s">
        <v>58</v>
      </c>
      <c r="B62" s="30"/>
      <c r="C62" s="19"/>
      <c r="D62" s="19"/>
      <c r="E62" s="19">
        <v>0</v>
      </c>
      <c r="F62" s="19">
        <f t="shared" si="4"/>
        <v>0</v>
      </c>
      <c r="G62" s="19" t="e">
        <f t="shared" si="5"/>
        <v>#DIV/0!</v>
      </c>
      <c r="H62" s="3"/>
      <c r="I62" s="3"/>
      <c r="J62" s="3"/>
      <c r="K62" s="3"/>
      <c r="L62" s="3"/>
      <c r="M62" s="3"/>
    </row>
    <row r="63" spans="1:13" ht="18" customHeight="1">
      <c r="A63" s="26" t="s">
        <v>59</v>
      </c>
      <c r="B63" s="30"/>
      <c r="C63" s="19"/>
      <c r="D63" s="19"/>
      <c r="E63" s="19">
        <v>809640</v>
      </c>
      <c r="F63" s="19">
        <f t="shared" si="4"/>
        <v>14457.857142857143</v>
      </c>
      <c r="G63" s="19">
        <f>(576292/E63)</f>
        <v>0.7117879551405563</v>
      </c>
      <c r="H63" s="3"/>
      <c r="I63" s="3"/>
      <c r="J63" s="3"/>
      <c r="K63" s="3"/>
      <c r="L63" s="3"/>
      <c r="M63" s="3"/>
    </row>
    <row r="64" spans="1:13" ht="25.5">
      <c r="A64" s="26" t="s">
        <v>43</v>
      </c>
      <c r="B64" s="27" t="s">
        <v>44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3"/>
      <c r="I64" s="3"/>
      <c r="J64" s="3"/>
      <c r="K64" s="3"/>
      <c r="L64" s="3"/>
      <c r="M64" s="3"/>
    </row>
    <row r="65" spans="1:13" ht="25.5">
      <c r="A65" s="26" t="s">
        <v>45</v>
      </c>
      <c r="B65" s="27" t="s">
        <v>46</v>
      </c>
      <c r="C65" s="19">
        <f>16728/2</f>
        <v>8364</v>
      </c>
      <c r="D65" s="19">
        <f aca="true" t="shared" si="6" ref="D65:D66">E65/C65</f>
        <v>5.711800573888092</v>
      </c>
      <c r="E65" s="19">
        <f>95547/2</f>
        <v>47773.5</v>
      </c>
      <c r="F65" s="19">
        <f aca="true" t="shared" si="7" ref="F65:F68">E65/$B$40</f>
        <v>853.0982142857143</v>
      </c>
      <c r="G65" s="19">
        <f>(95547/2/E65)</f>
        <v>1</v>
      </c>
      <c r="H65" s="3"/>
      <c r="I65" s="3"/>
      <c r="J65" s="3"/>
      <c r="K65" s="3"/>
      <c r="L65" s="3"/>
      <c r="M65" s="3"/>
    </row>
    <row r="66" spans="1:13" ht="25.5">
      <c r="A66" s="26" t="s">
        <v>47</v>
      </c>
      <c r="B66" s="27" t="s">
        <v>48</v>
      </c>
      <c r="C66" s="19">
        <f>23100*10%</f>
        <v>2310</v>
      </c>
      <c r="D66" s="19">
        <f t="shared" si="6"/>
        <v>13.556363636363637</v>
      </c>
      <c r="E66" s="19">
        <f>313152*10%</f>
        <v>31315.2</v>
      </c>
      <c r="F66" s="19">
        <f t="shared" si="7"/>
        <v>559.2</v>
      </c>
      <c r="G66" s="19">
        <f>(313152*10%/E66)</f>
        <v>1</v>
      </c>
      <c r="H66" s="3"/>
      <c r="I66" s="3"/>
      <c r="J66" s="3"/>
      <c r="K66" s="3"/>
      <c r="L66" s="3"/>
      <c r="M66" s="3"/>
    </row>
    <row r="67" spans="1:13" ht="25.5" customHeight="1">
      <c r="A67" s="26" t="s">
        <v>60</v>
      </c>
      <c r="B67" s="30"/>
      <c r="C67" s="19"/>
      <c r="D67" s="19"/>
      <c r="E67" s="19">
        <v>7528</v>
      </c>
      <c r="F67" s="19">
        <f t="shared" si="7"/>
        <v>134.42857142857142</v>
      </c>
      <c r="G67" s="19">
        <f>(5358/E67)</f>
        <v>0.7117428267800212</v>
      </c>
      <c r="H67" s="3"/>
      <c r="I67" s="3"/>
      <c r="J67" s="3"/>
      <c r="K67" s="3"/>
      <c r="L67" s="3"/>
      <c r="M67" s="3"/>
    </row>
    <row r="68" spans="1:13" ht="12.75">
      <c r="A68" s="26" t="s">
        <v>61</v>
      </c>
      <c r="B68" s="30"/>
      <c r="C68" s="19"/>
      <c r="D68" s="19"/>
      <c r="E68" s="19">
        <v>0</v>
      </c>
      <c r="F68" s="19">
        <f t="shared" si="7"/>
        <v>0</v>
      </c>
      <c r="G68" s="19" t="e">
        <f>(0/E68)</f>
        <v>#DIV/0!</v>
      </c>
      <c r="H68" s="3"/>
      <c r="I68" s="3"/>
      <c r="J68" s="3"/>
      <c r="K68" s="3"/>
      <c r="L68" s="3"/>
      <c r="M68" s="3"/>
    </row>
    <row r="69" spans="1:13" ht="24.75" customHeight="1">
      <c r="A69" s="28" t="s">
        <v>50</v>
      </c>
      <c r="B69" s="31"/>
      <c r="C69" s="23"/>
      <c r="D69" s="23"/>
      <c r="E69" s="23">
        <f>SUM(E60:E68)</f>
        <v>949167.7</v>
      </c>
      <c r="F69" s="23">
        <f>SUM(F60:F68)</f>
        <v>16949.423214285714</v>
      </c>
      <c r="G69" s="23">
        <f>(37661+576292+95547/2+313152*10%+5358)/E69</f>
        <v>0.7358022191442039</v>
      </c>
      <c r="H69" s="3"/>
      <c r="I69" s="3"/>
      <c r="J69" s="3"/>
      <c r="K69" s="3"/>
      <c r="L69" s="3"/>
      <c r="M69" s="3"/>
    </row>
    <row r="70" spans="1:13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24" customHeight="1">
      <c r="A71" s="25" t="s">
        <v>62</v>
      </c>
      <c r="B71" s="25"/>
      <c r="C71" s="25"/>
      <c r="D71" s="25"/>
      <c r="E71" s="25"/>
      <c r="F71" s="25"/>
      <c r="G71" s="25"/>
      <c r="H71" s="3"/>
      <c r="I71" s="3"/>
      <c r="J71" s="3"/>
      <c r="K71" s="3"/>
      <c r="L71" s="3"/>
      <c r="M71" s="3"/>
    </row>
    <row r="72" spans="1:13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>
      <c r="A73" s="3" t="s">
        <v>63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63.75">
      <c r="A75" s="14" t="s">
        <v>38</v>
      </c>
      <c r="B75" s="14" t="s">
        <v>42</v>
      </c>
      <c r="C75" s="14" t="s">
        <v>26</v>
      </c>
      <c r="D75" s="14" t="s">
        <v>28</v>
      </c>
      <c r="E75" s="32"/>
      <c r="F75" s="32"/>
      <c r="G75" s="32"/>
      <c r="H75" s="3"/>
      <c r="I75" s="3"/>
      <c r="J75" s="3"/>
      <c r="K75" s="3"/>
      <c r="L75" s="3"/>
      <c r="M75" s="3"/>
    </row>
    <row r="76" spans="1:13" ht="51">
      <c r="A76" s="26" t="s">
        <v>64</v>
      </c>
      <c r="B76" s="33">
        <v>648</v>
      </c>
      <c r="C76" s="19">
        <f aca="true" t="shared" si="8" ref="C76:C77">B76/$B$40</f>
        <v>11.571428571428571</v>
      </c>
      <c r="D76" s="19">
        <f>(461/B76)</f>
        <v>0.7114197530864198</v>
      </c>
      <c r="E76" s="34"/>
      <c r="F76" s="35"/>
      <c r="G76" s="35"/>
      <c r="H76" s="3"/>
      <c r="I76" s="3"/>
      <c r="J76" s="3"/>
      <c r="K76" s="3"/>
      <c r="L76" s="3"/>
      <c r="M76" s="3"/>
    </row>
    <row r="77" spans="1:13" ht="19.5" customHeight="1">
      <c r="A77" s="26" t="s">
        <v>65</v>
      </c>
      <c r="B77" s="33">
        <f>46087+17455</f>
        <v>63542</v>
      </c>
      <c r="C77" s="19">
        <f t="shared" si="8"/>
        <v>1134.6785714285713</v>
      </c>
      <c r="D77" s="19">
        <f>(32804+12424)/B77</f>
        <v>0.7117811840987064</v>
      </c>
      <c r="E77" s="34"/>
      <c r="F77" s="35"/>
      <c r="G77" s="35"/>
      <c r="H77" s="3"/>
      <c r="I77" s="3"/>
      <c r="J77" s="3"/>
      <c r="K77" s="3"/>
      <c r="L77" s="3"/>
      <c r="M77" s="3"/>
    </row>
    <row r="78" spans="1:13" ht="27" customHeight="1">
      <c r="A78" s="28" t="s">
        <v>50</v>
      </c>
      <c r="B78" s="36">
        <f>SUM(B76:B77)</f>
        <v>64190</v>
      </c>
      <c r="C78" s="36">
        <f>SUM(C76:C77)</f>
        <v>1146.25</v>
      </c>
      <c r="D78" s="36">
        <f>(32804+12424+461)/B78</f>
        <v>0.7117775354416576</v>
      </c>
      <c r="E78" s="37"/>
      <c r="F78" s="37"/>
      <c r="G78" s="37"/>
      <c r="H78" s="3"/>
      <c r="I78" s="3"/>
      <c r="J78" s="3"/>
      <c r="K78" s="3"/>
      <c r="L78" s="3"/>
      <c r="M78" s="3"/>
    </row>
    <row r="79" spans="1:13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29.25" customHeight="1">
      <c r="A80" s="25" t="s">
        <v>66</v>
      </c>
      <c r="B80" s="25"/>
      <c r="C80" s="25"/>
      <c r="D80" s="25"/>
      <c r="E80" s="25"/>
      <c r="F80" s="25"/>
      <c r="G80" s="25"/>
      <c r="H80" s="3"/>
      <c r="I80" s="3"/>
      <c r="J80" s="3"/>
      <c r="K80" s="3"/>
      <c r="L80" s="3"/>
      <c r="M80" s="3"/>
    </row>
    <row r="81" spans="1:13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 hidden="1">
      <c r="A82" s="3" t="s">
        <v>67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63.75" hidden="1">
      <c r="A84" s="38" t="s">
        <v>68</v>
      </c>
      <c r="B84" s="10" t="s">
        <v>69</v>
      </c>
      <c r="C84" s="14" t="s">
        <v>54</v>
      </c>
      <c r="D84" s="10" t="s">
        <v>70</v>
      </c>
      <c r="E84" s="39" t="s">
        <v>71</v>
      </c>
      <c r="F84" s="14" t="s">
        <v>26</v>
      </c>
      <c r="G84" s="14" t="s">
        <v>28</v>
      </c>
      <c r="H84" s="3"/>
      <c r="I84" s="3"/>
      <c r="J84" s="3"/>
      <c r="K84" s="3"/>
      <c r="L84" s="3"/>
      <c r="M84" s="3"/>
    </row>
    <row r="85" spans="1:13" ht="12.75" hidden="1">
      <c r="A85" s="40" t="s">
        <v>72</v>
      </c>
      <c r="B85" s="41">
        <v>1</v>
      </c>
      <c r="C85" s="42">
        <f aca="true" t="shared" si="9" ref="C85:C86">E85/D85/B85</f>
        <v>0</v>
      </c>
      <c r="D85" s="43">
        <v>12</v>
      </c>
      <c r="E85" s="44">
        <v>0</v>
      </c>
      <c r="F85" s="19">
        <f aca="true" t="shared" si="10" ref="F85:F88">E85/$B$40</f>
        <v>0</v>
      </c>
      <c r="G85" s="72" t="e">
        <f aca="true" t="shared" si="11" ref="G85:G87">(0/E85)</f>
        <v>#DIV/0!</v>
      </c>
      <c r="H85" s="3"/>
      <c r="I85" s="3"/>
      <c r="J85" s="3"/>
      <c r="K85" s="3"/>
      <c r="L85" s="3"/>
      <c r="M85" s="3"/>
    </row>
    <row r="86" spans="1:13" ht="12.75" hidden="1">
      <c r="A86" s="40" t="s">
        <v>73</v>
      </c>
      <c r="B86" s="39">
        <v>1</v>
      </c>
      <c r="C86" s="42">
        <f t="shared" si="9"/>
        <v>0</v>
      </c>
      <c r="D86" s="43">
        <v>12</v>
      </c>
      <c r="E86" s="44">
        <v>0</v>
      </c>
      <c r="F86" s="19">
        <f t="shared" si="10"/>
        <v>0</v>
      </c>
      <c r="G86" s="72" t="e">
        <f t="shared" si="11"/>
        <v>#DIV/0!</v>
      </c>
      <c r="H86" s="3"/>
      <c r="I86" s="3"/>
      <c r="J86" s="3"/>
      <c r="K86" s="3"/>
      <c r="L86" s="3"/>
      <c r="M86" s="3"/>
    </row>
    <row r="87" spans="1:13" ht="12.75" hidden="1">
      <c r="A87" s="40" t="s">
        <v>74</v>
      </c>
      <c r="B87" s="41"/>
      <c r="C87" s="41"/>
      <c r="D87" s="43"/>
      <c r="E87" s="44">
        <v>0</v>
      </c>
      <c r="F87" s="19">
        <f t="shared" si="10"/>
        <v>0</v>
      </c>
      <c r="G87" s="72" t="e">
        <f t="shared" si="11"/>
        <v>#DIV/0!</v>
      </c>
      <c r="H87" s="3"/>
      <c r="I87" s="3"/>
      <c r="J87" s="3"/>
      <c r="K87" s="3"/>
      <c r="L87" s="3"/>
      <c r="M87" s="3"/>
    </row>
    <row r="88" spans="1:13" ht="12.75" hidden="1">
      <c r="A88" s="45" t="s">
        <v>75</v>
      </c>
      <c r="B88" s="46"/>
      <c r="C88" s="46"/>
      <c r="D88" s="46"/>
      <c r="E88" s="47">
        <f>E85+E86+E87</f>
        <v>0</v>
      </c>
      <c r="F88" s="23">
        <f t="shared" si="10"/>
        <v>0</v>
      </c>
      <c r="G88" s="73" t="e">
        <f>0/E88</f>
        <v>#DIV/0!</v>
      </c>
      <c r="H88" s="3"/>
      <c r="I88" s="3"/>
      <c r="J88" s="3"/>
      <c r="K88" s="3"/>
      <c r="L88" s="3"/>
      <c r="M88" s="3"/>
    </row>
    <row r="89" spans="1:13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26.25" customHeight="1" hidden="1">
      <c r="A90" s="25" t="s">
        <v>131</v>
      </c>
      <c r="B90" s="25"/>
      <c r="C90" s="25"/>
      <c r="D90" s="25"/>
      <c r="E90" s="25"/>
      <c r="F90" s="25"/>
      <c r="G90" s="25"/>
      <c r="H90" s="3"/>
      <c r="I90" s="3"/>
      <c r="J90" s="3"/>
      <c r="K90" s="3"/>
      <c r="L90" s="3"/>
      <c r="M90" s="3"/>
    </row>
    <row r="91" spans="1:1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45" customHeight="1">
      <c r="A92" s="12" t="s">
        <v>77</v>
      </c>
      <c r="B92" s="12"/>
      <c r="C92" s="12"/>
      <c r="D92" s="12"/>
      <c r="E92" s="12"/>
      <c r="F92" s="12"/>
      <c r="G92" s="12"/>
      <c r="H92" s="13"/>
      <c r="I92" s="13"/>
      <c r="J92" s="13"/>
      <c r="K92" s="3"/>
      <c r="L92" s="3"/>
      <c r="M92" s="3"/>
    </row>
    <row r="93" spans="1:1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63.75">
      <c r="A94" s="14" t="s">
        <v>38</v>
      </c>
      <c r="B94" s="39" t="s">
        <v>71</v>
      </c>
      <c r="C94" s="14" t="s">
        <v>26</v>
      </c>
      <c r="D94" s="14" t="s">
        <v>28</v>
      </c>
      <c r="E94" s="48" t="s">
        <v>78</v>
      </c>
      <c r="F94" s="16" t="s">
        <v>79</v>
      </c>
      <c r="G94" s="3"/>
      <c r="H94" s="3"/>
      <c r="I94" s="3"/>
      <c r="J94" s="3"/>
      <c r="K94" s="3"/>
      <c r="L94" s="3"/>
      <c r="M94" s="3"/>
    </row>
    <row r="95" spans="1:13" ht="12.75">
      <c r="A95" s="49" t="s">
        <v>80</v>
      </c>
      <c r="B95" s="36">
        <v>639983</v>
      </c>
      <c r="C95" s="23">
        <f>B95/$B$40</f>
        <v>11428.267857142857</v>
      </c>
      <c r="D95" s="23">
        <f>455532/B95</f>
        <v>0.7117876568596353</v>
      </c>
      <c r="E95" s="18">
        <f>B95*D95</f>
        <v>455532</v>
      </c>
      <c r="F95" s="18">
        <f>E95-B95</f>
        <v>-184451</v>
      </c>
      <c r="G95" s="3"/>
      <c r="H95" s="3"/>
      <c r="I95" s="3"/>
      <c r="J95" s="3"/>
      <c r="K95" s="3"/>
      <c r="L95" s="3"/>
      <c r="M95" s="3"/>
    </row>
    <row r="96" spans="1:1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34.5" customHeight="1">
      <c r="A97" s="25" t="s">
        <v>81</v>
      </c>
      <c r="B97" s="25"/>
      <c r="C97" s="25"/>
      <c r="D97" s="25"/>
      <c r="E97" s="25"/>
      <c r="F97" s="25"/>
      <c r="G97" s="25"/>
      <c r="H97" s="3"/>
      <c r="I97" s="3"/>
      <c r="J97" s="3"/>
      <c r="K97" s="3"/>
      <c r="L97" s="3"/>
      <c r="M97" s="3"/>
    </row>
    <row r="98" spans="1:1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48.75" customHeight="1">
      <c r="A99" s="50" t="s">
        <v>190</v>
      </c>
      <c r="B99" s="50"/>
      <c r="C99" s="50"/>
      <c r="D99" s="50"/>
      <c r="E99" s="50"/>
      <c r="F99" s="50"/>
      <c r="G99" s="50"/>
      <c r="H99" s="3"/>
      <c r="I99" s="3"/>
      <c r="J99" s="3"/>
      <c r="K99" s="3"/>
      <c r="L99" s="3"/>
      <c r="M99" s="3"/>
    </row>
    <row r="100" spans="1:13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4.25">
      <c r="A101" s="3" t="s">
        <v>83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>
      <c r="A103" s="3" t="s">
        <v>84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>
      <c r="A105" s="3" t="s">
        <v>85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7.25" customHeight="1">
      <c r="A107" s="4" t="s">
        <v>86</v>
      </c>
      <c r="B107" s="4"/>
      <c r="C107" s="4"/>
      <c r="D107" s="4"/>
      <c r="E107" s="4"/>
      <c r="F107" s="4"/>
      <c r="G107" s="4"/>
      <c r="H107" s="3"/>
      <c r="I107" s="3"/>
      <c r="J107" s="3"/>
      <c r="K107" s="3"/>
      <c r="L107" s="3"/>
      <c r="M107" s="3"/>
    </row>
    <row r="108" spans="1:13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>
      <c r="A109" s="3" t="s">
        <v>87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3.5" customHeight="1">
      <c r="A111" s="4" t="s">
        <v>88</v>
      </c>
      <c r="B111" s="4"/>
      <c r="C111" s="4"/>
      <c r="D111" s="4"/>
      <c r="E111" s="4"/>
      <c r="F111" s="4"/>
      <c r="G111" s="4"/>
      <c r="H111" s="3"/>
      <c r="I111" s="3"/>
      <c r="J111" s="3"/>
      <c r="K111" s="3"/>
      <c r="L111" s="3"/>
      <c r="M111" s="3"/>
    </row>
    <row r="112" spans="1:1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>
      <c r="A113" s="3" t="s">
        <v>5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14.75">
      <c r="A115" s="14" t="s">
        <v>89</v>
      </c>
      <c r="B115" s="14" t="s">
        <v>90</v>
      </c>
      <c r="C115" s="39" t="s">
        <v>91</v>
      </c>
      <c r="D115" s="14" t="s">
        <v>92</v>
      </c>
      <c r="E115" s="14" t="s">
        <v>93</v>
      </c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36">
        <f>C42</f>
        <v>24545.571428571428</v>
      </c>
      <c r="B116" s="36">
        <f>E42</f>
        <v>1.212411025555963</v>
      </c>
      <c r="C116" s="23">
        <f>C95</f>
        <v>11428.267857142857</v>
      </c>
      <c r="D116" s="23">
        <f>D95</f>
        <v>0.7117876568596353</v>
      </c>
      <c r="E116" s="36">
        <f>(A116*B116+C116*D116)*F18</f>
        <v>2122054</v>
      </c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96.75" customHeight="1">
      <c r="A118" s="12" t="s">
        <v>191</v>
      </c>
      <c r="B118" s="12"/>
      <c r="C118" s="12"/>
      <c r="D118" s="12"/>
      <c r="E118" s="12"/>
      <c r="F118" s="12"/>
      <c r="G118" s="12"/>
      <c r="H118" s="3"/>
      <c r="I118" s="3"/>
      <c r="J118" s="3"/>
      <c r="K118" s="3"/>
      <c r="L118" s="3"/>
      <c r="M118" s="3"/>
    </row>
    <row r="119" spans="1:13" ht="12.75">
      <c r="A119" s="3"/>
      <c r="B119" s="3"/>
      <c r="C119" s="3"/>
      <c r="D119" s="3" t="s">
        <v>95</v>
      </c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>
      <c r="A121" s="3" t="s">
        <v>96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>
      <c r="A123" s="3" t="s">
        <v>97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>
      <c r="A125" s="3" t="s">
        <v>98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>
      <c r="A127" s="3" t="s">
        <v>99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40.25">
      <c r="A129" s="51" t="s">
        <v>100</v>
      </c>
      <c r="B129" s="52" t="s">
        <v>101</v>
      </c>
      <c r="C129" s="51" t="s">
        <v>102</v>
      </c>
      <c r="D129" s="51" t="s">
        <v>103</v>
      </c>
      <c r="E129" s="53"/>
      <c r="F129" s="53"/>
      <c r="G129" s="53"/>
      <c r="H129" s="3"/>
      <c r="I129" s="3"/>
      <c r="J129" s="3"/>
      <c r="K129" s="3"/>
      <c r="L129" s="3"/>
      <c r="M129" s="3"/>
    </row>
    <row r="130" spans="1:13" ht="12.75">
      <c r="A130" s="65">
        <f>3453505+26988+41465+28178+5000</f>
        <v>3555136</v>
      </c>
      <c r="B130" s="65">
        <f>324000+97848</f>
        <v>421848</v>
      </c>
      <c r="C130" s="66">
        <f>252000+76104</f>
        <v>328104</v>
      </c>
      <c r="D130" s="67">
        <f>A130+B130+C130</f>
        <v>4305088</v>
      </c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>
      <c r="A131" s="58"/>
      <c r="B131" s="58"/>
      <c r="C131" s="58"/>
      <c r="D131" s="58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>
      <c r="A132" s="58"/>
      <c r="B132" s="58"/>
      <c r="C132" s="58"/>
      <c r="D132" s="58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>
      <c r="A133" s="68" t="s">
        <v>107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16" t="s">
        <v>108</v>
      </c>
      <c r="B135" s="16">
        <v>0</v>
      </c>
      <c r="C135" s="16"/>
      <c r="D135" s="18">
        <v>449253</v>
      </c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>
      <c r="A136" s="16" t="s">
        <v>109</v>
      </c>
      <c r="B136" s="16">
        <v>0</v>
      </c>
      <c r="C136" s="16"/>
      <c r="D136" s="18">
        <v>135674</v>
      </c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21" t="s">
        <v>50</v>
      </c>
      <c r="B137" s="21">
        <f>B135+B136</f>
        <v>0</v>
      </c>
      <c r="C137" s="21"/>
      <c r="D137" s="22">
        <f>D135+D136</f>
        <v>584927</v>
      </c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6:13" ht="12.75">
      <c r="F366" s="3"/>
      <c r="G366" s="3"/>
      <c r="H366" s="3"/>
      <c r="I366" s="3"/>
      <c r="J366" s="3"/>
      <c r="K366" s="3"/>
      <c r="L366" s="3"/>
      <c r="M366" s="3"/>
    </row>
  </sheetData>
  <sheetProtection selectLockedCells="1" selectUnlockedCells="1"/>
  <mergeCells count="19">
    <mergeCell ref="A2:G2"/>
    <mergeCell ref="A4:G4"/>
    <mergeCell ref="A5:A6"/>
    <mergeCell ref="B5:C5"/>
    <mergeCell ref="D5:D6"/>
    <mergeCell ref="B6:C6"/>
    <mergeCell ref="A11:G11"/>
    <mergeCell ref="A20:G20"/>
    <mergeCell ref="A44:G44"/>
    <mergeCell ref="A55:G55"/>
    <mergeCell ref="A71:G71"/>
    <mergeCell ref="A80:G80"/>
    <mergeCell ref="A90:G90"/>
    <mergeCell ref="A92:G92"/>
    <mergeCell ref="A97:G97"/>
    <mergeCell ref="A99:G99"/>
    <mergeCell ref="A107:G107"/>
    <mergeCell ref="A111:G111"/>
    <mergeCell ref="A118:G118"/>
  </mergeCells>
  <printOptions/>
  <pageMargins left="0.7083333333333334" right="0.7083333333333334" top="0.7479166666666667" bottom="0.7479166666666667" header="0.5118055555555555" footer="0.5118055555555555"/>
  <pageSetup fitToHeight="3" fitToWidth="1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M366"/>
  <sheetViews>
    <sheetView workbookViewId="0" topLeftCell="A121">
      <selection activeCell="A130" sqref="A130"/>
    </sheetView>
  </sheetViews>
  <sheetFormatPr defaultColWidth="8.00390625" defaultRowHeight="12.75"/>
  <cols>
    <col min="1" max="1" width="18.00390625" style="0" customWidth="1"/>
    <col min="2" max="2" width="13.625" style="0" customWidth="1"/>
    <col min="3" max="3" width="13.00390625" style="0" customWidth="1"/>
    <col min="4" max="4" width="12.375" style="0" customWidth="1"/>
    <col min="5" max="5" width="15.625" style="0" customWidth="1"/>
    <col min="6" max="6" width="12.75390625" style="0" customWidth="1"/>
    <col min="7" max="7" width="13.625" style="0" customWidth="1"/>
    <col min="8" max="16384" width="9.00390625" style="0" customWidth="1"/>
  </cols>
  <sheetData>
    <row r="2" spans="1:13" ht="59.25" customHeight="1">
      <c r="A2" s="1" t="s">
        <v>192</v>
      </c>
      <c r="B2" s="1"/>
      <c r="C2" s="1"/>
      <c r="D2" s="1"/>
      <c r="E2" s="1"/>
      <c r="F2" s="1"/>
      <c r="G2" s="1"/>
      <c r="H2" s="2"/>
      <c r="I2" s="2"/>
      <c r="J2" s="2"/>
      <c r="K2" s="3"/>
      <c r="L2" s="3"/>
      <c r="M2" s="3"/>
    </row>
    <row r="3" spans="1:1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40.5" customHeight="1">
      <c r="A4" s="4" t="s">
        <v>1</v>
      </c>
      <c r="B4" s="4"/>
      <c r="C4" s="4"/>
      <c r="D4" s="4"/>
      <c r="E4" s="4"/>
      <c r="F4" s="4"/>
      <c r="G4" s="4"/>
      <c r="H4" s="3"/>
      <c r="I4" s="3"/>
      <c r="J4" s="3"/>
      <c r="K4" s="3"/>
      <c r="L4" s="3"/>
      <c r="M4" s="3"/>
    </row>
    <row r="5" spans="1:13" ht="12.75" customHeight="1">
      <c r="A5" s="5" t="s">
        <v>2</v>
      </c>
      <c r="B5" s="6" t="s">
        <v>3</v>
      </c>
      <c r="C5" s="6"/>
      <c r="D5" s="7" t="s">
        <v>4</v>
      </c>
      <c r="E5" s="3"/>
      <c r="F5" s="3"/>
      <c r="G5" s="3"/>
      <c r="H5" s="3"/>
      <c r="I5" s="3"/>
      <c r="J5" s="3"/>
      <c r="K5" s="3"/>
      <c r="L5" s="3"/>
      <c r="M5" s="3"/>
    </row>
    <row r="6" spans="1:13" ht="12.75" customHeight="1">
      <c r="A6" s="5"/>
      <c r="B6" s="8">
        <v>12</v>
      </c>
      <c r="C6" s="8"/>
      <c r="D6" s="7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 s="3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 s="3" t="s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42" customHeight="1">
      <c r="A11" s="4" t="s">
        <v>7</v>
      </c>
      <c r="B11" s="4"/>
      <c r="C11" s="4"/>
      <c r="D11" s="4"/>
      <c r="E11" s="4"/>
      <c r="F11" s="4"/>
      <c r="G11" s="4"/>
      <c r="H11" s="3"/>
      <c r="I11" s="3"/>
      <c r="J11" s="3"/>
      <c r="K11" s="3"/>
      <c r="L11" s="3"/>
      <c r="M11" s="3"/>
    </row>
    <row r="12" spans="1:1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 s="3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3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99" customHeight="1">
      <c r="A17" s="9" t="s">
        <v>10</v>
      </c>
      <c r="B17" s="9" t="s">
        <v>119</v>
      </c>
      <c r="C17" s="10" t="s">
        <v>12</v>
      </c>
      <c r="D17" s="9" t="s">
        <v>13</v>
      </c>
      <c r="E17" s="9" t="s">
        <v>14</v>
      </c>
      <c r="F17" s="9" t="s">
        <v>15</v>
      </c>
      <c r="G17" s="3"/>
      <c r="H17" s="3"/>
      <c r="I17" s="3"/>
      <c r="J17" s="3"/>
      <c r="K17" s="3"/>
      <c r="L17" s="3"/>
      <c r="M17" s="3"/>
    </row>
    <row r="18" spans="1:13" ht="29.25" customHeight="1">
      <c r="A18" s="9">
        <v>96</v>
      </c>
      <c r="B18" s="10">
        <v>0</v>
      </c>
      <c r="C18" s="9">
        <v>16</v>
      </c>
      <c r="D18" s="9">
        <v>11</v>
      </c>
      <c r="E18" s="11">
        <v>0</v>
      </c>
      <c r="F18" s="11">
        <v>89</v>
      </c>
      <c r="G18" s="3"/>
      <c r="H18" s="3"/>
      <c r="I18" s="3"/>
      <c r="J18" s="3"/>
      <c r="K18" s="3"/>
      <c r="L18" s="3"/>
      <c r="M18" s="3"/>
    </row>
    <row r="19" spans="1:1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27" customHeight="1">
      <c r="A20" s="12" t="s">
        <v>16</v>
      </c>
      <c r="B20" s="12"/>
      <c r="C20" s="12"/>
      <c r="D20" s="12"/>
      <c r="E20" s="12"/>
      <c r="F20" s="12"/>
      <c r="G20" s="12"/>
      <c r="H20" s="13"/>
      <c r="I20" s="13"/>
      <c r="J20" s="13"/>
      <c r="K20" s="3"/>
      <c r="L20" s="3"/>
      <c r="M20" s="3"/>
    </row>
    <row r="21" spans="1:13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 s="3" t="s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3" t="s">
        <v>18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3" t="s">
        <v>19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 s="3" t="s">
        <v>20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 t="s">
        <v>21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 s="3" t="s">
        <v>22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s="3" t="s">
        <v>23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63.75" customHeight="1">
      <c r="A36" s="14" t="s">
        <v>24</v>
      </c>
      <c r="B36" s="15" t="s">
        <v>25</v>
      </c>
      <c r="C36" s="14" t="s">
        <v>26</v>
      </c>
      <c r="D36" s="14" t="s">
        <v>27</v>
      </c>
      <c r="E36" s="14" t="s">
        <v>28</v>
      </c>
      <c r="F36" s="14" t="s">
        <v>29</v>
      </c>
      <c r="G36" s="3"/>
      <c r="H36" s="3"/>
      <c r="I36" s="3"/>
      <c r="J36" s="3"/>
      <c r="K36" s="3"/>
      <c r="L36" s="3"/>
      <c r="M36" s="3"/>
    </row>
    <row r="37" spans="1:13" ht="12.75">
      <c r="A37" s="16" t="s">
        <v>30</v>
      </c>
      <c r="B37" s="17">
        <f>F18</f>
        <v>89</v>
      </c>
      <c r="C37" s="18">
        <f>F53</f>
        <v>3818.4044943820227</v>
      </c>
      <c r="D37" s="18">
        <f>E53</f>
        <v>339838</v>
      </c>
      <c r="E37" s="19">
        <f>G53</f>
        <v>0.8259876764811469</v>
      </c>
      <c r="F37" s="18">
        <f aca="true" t="shared" si="0" ref="F37:F40">D37*E37</f>
        <v>280702</v>
      </c>
      <c r="G37" s="3"/>
      <c r="H37" s="3"/>
      <c r="I37" s="3"/>
      <c r="J37" s="3"/>
      <c r="K37" s="3"/>
      <c r="L37" s="3"/>
      <c r="M37" s="3"/>
    </row>
    <row r="38" spans="1:13" ht="12.75">
      <c r="A38" s="16" t="s">
        <v>31</v>
      </c>
      <c r="B38" s="17">
        <f aca="true" t="shared" si="1" ref="B38:B41">B37</f>
        <v>89</v>
      </c>
      <c r="C38" s="18">
        <f>F69</f>
        <v>11179.494382022473</v>
      </c>
      <c r="D38" s="18">
        <f>E69</f>
        <v>994975</v>
      </c>
      <c r="E38" s="19">
        <f>G69</f>
        <v>0.7384647855473756</v>
      </c>
      <c r="F38" s="18">
        <f t="shared" si="0"/>
        <v>734754</v>
      </c>
      <c r="G38" s="3"/>
      <c r="H38" s="3"/>
      <c r="I38" s="3"/>
      <c r="J38" s="3"/>
      <c r="K38" s="3"/>
      <c r="L38" s="3"/>
      <c r="M38" s="3"/>
    </row>
    <row r="39" spans="1:13" ht="12.75">
      <c r="A39" s="16" t="s">
        <v>32</v>
      </c>
      <c r="B39" s="17">
        <f t="shared" si="1"/>
        <v>89</v>
      </c>
      <c r="C39" s="18">
        <f>C78</f>
        <v>693.2584269662921</v>
      </c>
      <c r="D39" s="18">
        <f>B78</f>
        <v>61700</v>
      </c>
      <c r="E39" s="19">
        <f>D78</f>
        <v>0.7117828200972447</v>
      </c>
      <c r="F39" s="18">
        <f t="shared" si="0"/>
        <v>43917</v>
      </c>
      <c r="G39" s="3"/>
      <c r="H39" s="3"/>
      <c r="I39" s="3"/>
      <c r="J39" s="3"/>
      <c r="K39" s="3"/>
      <c r="L39" s="3"/>
      <c r="M39" s="3"/>
    </row>
    <row r="40" spans="1:13" ht="12.75">
      <c r="A40" s="16" t="s">
        <v>33</v>
      </c>
      <c r="B40" s="17">
        <f t="shared" si="1"/>
        <v>89</v>
      </c>
      <c r="C40" s="18">
        <f>F88</f>
        <v>0</v>
      </c>
      <c r="D40" s="18">
        <f>E88</f>
        <v>0</v>
      </c>
      <c r="E40" s="19">
        <v>0</v>
      </c>
      <c r="F40" s="18">
        <f t="shared" si="0"/>
        <v>0</v>
      </c>
      <c r="G40" s="3"/>
      <c r="H40" s="3"/>
      <c r="I40" s="3"/>
      <c r="J40" s="3"/>
      <c r="K40" s="3"/>
      <c r="L40" s="3"/>
      <c r="M40" s="3"/>
    </row>
    <row r="41" spans="1:13" ht="12.75">
      <c r="A41" s="16" t="s">
        <v>34</v>
      </c>
      <c r="B41" s="17">
        <f t="shared" si="1"/>
        <v>89</v>
      </c>
      <c r="C41" s="18">
        <v>0</v>
      </c>
      <c r="D41" s="18">
        <v>0</v>
      </c>
      <c r="E41" s="19">
        <v>1</v>
      </c>
      <c r="F41" s="18">
        <f>D137</f>
        <v>555102</v>
      </c>
      <c r="G41" s="3"/>
      <c r="H41" s="3"/>
      <c r="I41" s="3"/>
      <c r="J41" s="3"/>
      <c r="K41" s="3"/>
      <c r="L41" s="3"/>
      <c r="M41" s="3"/>
    </row>
    <row r="42" spans="1:13" ht="12.75">
      <c r="A42" s="20" t="s">
        <v>35</v>
      </c>
      <c r="B42" s="21"/>
      <c r="C42" s="22">
        <f>D42/B40</f>
        <v>15691.157303370786</v>
      </c>
      <c r="D42" s="22">
        <f>SUM(D37:D40)</f>
        <v>1396513</v>
      </c>
      <c r="E42" s="23">
        <f>F42/D42</f>
        <v>1.156075883289307</v>
      </c>
      <c r="F42" s="18">
        <f>F37+F38+F39+F40+F41</f>
        <v>1614475</v>
      </c>
      <c r="G42" s="24">
        <f>F42+E95</f>
        <v>2356460</v>
      </c>
      <c r="H42" s="3"/>
      <c r="I42" s="3"/>
      <c r="J42" s="3"/>
      <c r="K42" s="3"/>
      <c r="L42" s="3"/>
      <c r="M42" s="3"/>
    </row>
    <row r="43" spans="1:13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30.75" customHeight="1">
      <c r="A44" s="25" t="s">
        <v>193</v>
      </c>
      <c r="B44" s="25"/>
      <c r="C44" s="25"/>
      <c r="D44" s="25"/>
      <c r="E44" s="25"/>
      <c r="F44" s="25"/>
      <c r="G44" s="25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3" t="s">
        <v>37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63.75">
      <c r="A48" s="14" t="s">
        <v>38</v>
      </c>
      <c r="B48" s="14" t="s">
        <v>39</v>
      </c>
      <c r="C48" s="14" t="s">
        <v>40</v>
      </c>
      <c r="D48" s="14" t="s">
        <v>41</v>
      </c>
      <c r="E48" s="14" t="s">
        <v>42</v>
      </c>
      <c r="F48" s="14" t="s">
        <v>26</v>
      </c>
      <c r="G48" s="14" t="s">
        <v>28</v>
      </c>
      <c r="H48" s="3"/>
      <c r="I48" s="3"/>
      <c r="J48" s="3"/>
      <c r="K48" s="3"/>
      <c r="L48" s="3"/>
      <c r="M48" s="3"/>
    </row>
    <row r="49" spans="1:13" ht="25.5">
      <c r="A49" s="26" t="s">
        <v>43</v>
      </c>
      <c r="B49" s="27" t="s">
        <v>44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3"/>
      <c r="I49" s="3"/>
      <c r="J49" s="3"/>
      <c r="K49" s="3"/>
      <c r="L49" s="3"/>
      <c r="M49" s="3"/>
    </row>
    <row r="50" spans="1:13" ht="25.5">
      <c r="A50" s="26" t="s">
        <v>45</v>
      </c>
      <c r="B50" s="27" t="s">
        <v>46</v>
      </c>
      <c r="C50" s="19">
        <f>22557/2</f>
        <v>11278.5</v>
      </c>
      <c r="D50" s="19">
        <f aca="true" t="shared" si="2" ref="D50:D52">E50/C50</f>
        <v>6.293567407013344</v>
      </c>
      <c r="E50" s="19">
        <f>141964/2</f>
        <v>70982</v>
      </c>
      <c r="F50" s="19">
        <f aca="true" t="shared" si="3" ref="F50:F52">E50/$B$40</f>
        <v>797.5505617977528</v>
      </c>
      <c r="G50" s="19">
        <f>(141964/2/E50)</f>
        <v>1</v>
      </c>
      <c r="H50" s="3"/>
      <c r="I50" s="3"/>
      <c r="J50" s="3"/>
      <c r="K50" s="3"/>
      <c r="L50" s="3"/>
      <c r="M50" s="3"/>
    </row>
    <row r="51" spans="1:13" ht="25.5">
      <c r="A51" s="26" t="s">
        <v>47</v>
      </c>
      <c r="B51" s="27" t="s">
        <v>48</v>
      </c>
      <c r="C51" s="19">
        <f>18900*90%</f>
        <v>17010</v>
      </c>
      <c r="D51" s="19">
        <f t="shared" si="2"/>
        <v>11.170370370370371</v>
      </c>
      <c r="E51" s="19">
        <f>211120*90%</f>
        <v>190008</v>
      </c>
      <c r="F51" s="19">
        <f t="shared" si="3"/>
        <v>2134.921348314607</v>
      </c>
      <c r="G51" s="19">
        <f>(211120*90%/E51)</f>
        <v>1</v>
      </c>
      <c r="H51" s="3"/>
      <c r="I51" s="3"/>
      <c r="J51" s="3"/>
      <c r="K51" s="3"/>
      <c r="L51" s="3"/>
      <c r="M51" s="3"/>
    </row>
    <row r="52" spans="1:13" ht="25.5">
      <c r="A52" s="26" t="s">
        <v>49</v>
      </c>
      <c r="B52" s="27" t="s">
        <v>46</v>
      </c>
      <c r="C52" s="19">
        <v>1302</v>
      </c>
      <c r="D52" s="19">
        <f t="shared" si="2"/>
        <v>60.55913978494624</v>
      </c>
      <c r="E52" s="19">
        <v>78848</v>
      </c>
      <c r="F52" s="19">
        <f t="shared" si="3"/>
        <v>885.9325842696629</v>
      </c>
      <c r="G52" s="19">
        <f>(19712/E52)</f>
        <v>0.25</v>
      </c>
      <c r="H52" s="3"/>
      <c r="I52" s="3"/>
      <c r="J52" s="3"/>
      <c r="K52" s="3"/>
      <c r="L52" s="3"/>
      <c r="M52" s="3"/>
    </row>
    <row r="53" spans="1:13" ht="20.25" customHeight="1">
      <c r="A53" s="28" t="s">
        <v>50</v>
      </c>
      <c r="B53" s="29"/>
      <c r="C53" s="23"/>
      <c r="D53" s="23"/>
      <c r="E53" s="23">
        <f>E49+E50+E51+E52</f>
        <v>339838</v>
      </c>
      <c r="F53" s="23">
        <f>F49+F50+F51+F52</f>
        <v>3818.4044943820227</v>
      </c>
      <c r="G53" s="23">
        <f>(141964/2+211120*90%+19712)/E53</f>
        <v>0.8259876764811469</v>
      </c>
      <c r="H53" s="3"/>
      <c r="I53" s="3"/>
      <c r="J53" s="3"/>
      <c r="K53" s="3"/>
      <c r="L53" s="3"/>
      <c r="M53" s="3"/>
    </row>
    <row r="54" spans="1:13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26.25" customHeight="1">
      <c r="A55" s="25" t="s">
        <v>129</v>
      </c>
      <c r="B55" s="25"/>
      <c r="C55" s="25"/>
      <c r="D55" s="25"/>
      <c r="E55" s="25"/>
      <c r="F55" s="25"/>
      <c r="G55" s="25"/>
      <c r="H55" s="3"/>
      <c r="I55" s="3"/>
      <c r="J55" s="3"/>
      <c r="K55" s="3"/>
      <c r="L55" s="3"/>
      <c r="M55" s="3"/>
    </row>
    <row r="56" spans="1:1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75">
      <c r="A57" s="3" t="s">
        <v>52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63.75">
      <c r="A59" s="14" t="s">
        <v>38</v>
      </c>
      <c r="B59" s="14" t="s">
        <v>39</v>
      </c>
      <c r="C59" s="14" t="s">
        <v>53</v>
      </c>
      <c r="D59" s="14" t="s">
        <v>54</v>
      </c>
      <c r="E59" s="14" t="s">
        <v>42</v>
      </c>
      <c r="F59" s="14" t="s">
        <v>26</v>
      </c>
      <c r="G59" s="14" t="s">
        <v>28</v>
      </c>
      <c r="H59" s="3"/>
      <c r="I59" s="3"/>
      <c r="J59" s="3"/>
      <c r="K59" s="3"/>
      <c r="L59" s="3"/>
      <c r="M59" s="3"/>
    </row>
    <row r="60" spans="1:13" ht="45.75" customHeight="1">
      <c r="A60" s="26" t="s">
        <v>55</v>
      </c>
      <c r="B60" s="30"/>
      <c r="C60" s="19"/>
      <c r="D60" s="19"/>
      <c r="E60" s="19">
        <v>80805</v>
      </c>
      <c r="F60" s="19">
        <f aca="true" t="shared" si="4" ref="F60:F63">E60/$B$40</f>
        <v>907.9213483146067</v>
      </c>
      <c r="G60" s="19">
        <f>(57516/E60)</f>
        <v>0.711787636903657</v>
      </c>
      <c r="H60" s="3"/>
      <c r="I60" s="3"/>
      <c r="J60" s="3"/>
      <c r="K60" s="3"/>
      <c r="L60" s="3"/>
      <c r="M60" s="3"/>
    </row>
    <row r="61" spans="1:13" ht="25.5">
      <c r="A61" s="26" t="s">
        <v>56</v>
      </c>
      <c r="B61" s="30" t="s">
        <v>57</v>
      </c>
      <c r="C61" s="19">
        <v>1</v>
      </c>
      <c r="D61" s="19">
        <f>E61/C61</f>
        <v>0</v>
      </c>
      <c r="E61" s="19">
        <v>0</v>
      </c>
      <c r="F61" s="19">
        <f t="shared" si="4"/>
        <v>0</v>
      </c>
      <c r="G61" s="19" t="e">
        <f aca="true" t="shared" si="5" ref="G61:G62">(0/E61)</f>
        <v>#DIV/0!</v>
      </c>
      <c r="H61" s="3"/>
      <c r="I61" s="3"/>
      <c r="J61" s="3"/>
      <c r="K61" s="3"/>
      <c r="L61" s="3"/>
      <c r="M61" s="3"/>
    </row>
    <row r="62" spans="1:13" ht="18" customHeight="1">
      <c r="A62" s="26" t="s">
        <v>58</v>
      </c>
      <c r="B62" s="30"/>
      <c r="C62" s="19"/>
      <c r="D62" s="19"/>
      <c r="E62" s="19">
        <v>0</v>
      </c>
      <c r="F62" s="19">
        <f t="shared" si="4"/>
        <v>0</v>
      </c>
      <c r="G62" s="19" t="e">
        <f t="shared" si="5"/>
        <v>#DIV/0!</v>
      </c>
      <c r="H62" s="3"/>
      <c r="I62" s="3"/>
      <c r="J62" s="3"/>
      <c r="K62" s="3"/>
      <c r="L62" s="3"/>
      <c r="M62" s="3"/>
    </row>
    <row r="63" spans="1:13" ht="18" customHeight="1">
      <c r="A63" s="26" t="s">
        <v>59</v>
      </c>
      <c r="B63" s="30"/>
      <c r="C63" s="19"/>
      <c r="D63" s="19"/>
      <c r="E63" s="19">
        <v>809640</v>
      </c>
      <c r="F63" s="19">
        <f t="shared" si="4"/>
        <v>9097.078651685393</v>
      </c>
      <c r="G63" s="19">
        <f>(576292/E63)</f>
        <v>0.7117879551405563</v>
      </c>
      <c r="H63" s="3"/>
      <c r="I63" s="3"/>
      <c r="J63" s="3"/>
      <c r="K63" s="3"/>
      <c r="L63" s="3"/>
      <c r="M63" s="3"/>
    </row>
    <row r="64" spans="1:13" ht="25.5">
      <c r="A64" s="26" t="s">
        <v>43</v>
      </c>
      <c r="B64" s="27" t="s">
        <v>44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3"/>
      <c r="I64" s="3"/>
      <c r="J64" s="3"/>
      <c r="K64" s="3"/>
      <c r="L64" s="3"/>
      <c r="M64" s="3"/>
    </row>
    <row r="65" spans="1:13" ht="25.5">
      <c r="A65" s="26" t="s">
        <v>45</v>
      </c>
      <c r="B65" s="27" t="s">
        <v>46</v>
      </c>
      <c r="C65" s="19">
        <f>22557/2</f>
        <v>11278.5</v>
      </c>
      <c r="D65" s="19">
        <f aca="true" t="shared" si="6" ref="D65:D66">E65/C65</f>
        <v>6.293567407013344</v>
      </c>
      <c r="E65" s="19">
        <f>141964/2</f>
        <v>70982</v>
      </c>
      <c r="F65" s="19">
        <f aca="true" t="shared" si="7" ref="F65:F68">E65/$B$40</f>
        <v>797.5505617977528</v>
      </c>
      <c r="G65" s="19">
        <f>(141964/2/E65)</f>
        <v>1</v>
      </c>
      <c r="H65" s="3"/>
      <c r="I65" s="3"/>
      <c r="J65" s="3"/>
      <c r="K65" s="3"/>
      <c r="L65" s="3"/>
      <c r="M65" s="3"/>
    </row>
    <row r="66" spans="1:13" ht="25.5">
      <c r="A66" s="26" t="s">
        <v>47</v>
      </c>
      <c r="B66" s="27" t="s">
        <v>48</v>
      </c>
      <c r="C66" s="19">
        <f>18900*10%</f>
        <v>1890</v>
      </c>
      <c r="D66" s="19">
        <f t="shared" si="6"/>
        <v>11.170370370370371</v>
      </c>
      <c r="E66" s="19">
        <f>211120*10%</f>
        <v>21112</v>
      </c>
      <c r="F66" s="19">
        <f t="shared" si="7"/>
        <v>237.2134831460674</v>
      </c>
      <c r="G66" s="19">
        <f>(211120*10%/E66)</f>
        <v>1</v>
      </c>
      <c r="H66" s="3"/>
      <c r="I66" s="3"/>
      <c r="J66" s="3"/>
      <c r="K66" s="3"/>
      <c r="L66" s="3"/>
      <c r="M66" s="3"/>
    </row>
    <row r="67" spans="1:13" ht="25.5" customHeight="1">
      <c r="A67" s="26" t="s">
        <v>60</v>
      </c>
      <c r="B67" s="30"/>
      <c r="C67" s="19"/>
      <c r="D67" s="19"/>
      <c r="E67" s="19">
        <v>12436</v>
      </c>
      <c r="F67" s="19">
        <f t="shared" si="7"/>
        <v>139.73033707865167</v>
      </c>
      <c r="G67" s="19">
        <f>(8852/E67)</f>
        <v>0.7118044387262785</v>
      </c>
      <c r="H67" s="3"/>
      <c r="I67" s="3"/>
      <c r="J67" s="3"/>
      <c r="K67" s="3"/>
      <c r="L67" s="3"/>
      <c r="M67" s="3"/>
    </row>
    <row r="68" spans="1:13" ht="12.75">
      <c r="A68" s="26" t="s">
        <v>61</v>
      </c>
      <c r="B68" s="30"/>
      <c r="C68" s="19"/>
      <c r="D68" s="19"/>
      <c r="E68" s="19">
        <v>0</v>
      </c>
      <c r="F68" s="19">
        <f t="shared" si="7"/>
        <v>0</v>
      </c>
      <c r="G68" s="19" t="e">
        <f>(0/E68)</f>
        <v>#DIV/0!</v>
      </c>
      <c r="H68" s="3"/>
      <c r="I68" s="3"/>
      <c r="J68" s="3"/>
      <c r="K68" s="3"/>
      <c r="L68" s="3"/>
      <c r="M68" s="3"/>
    </row>
    <row r="69" spans="1:13" ht="24.75" customHeight="1">
      <c r="A69" s="28" t="s">
        <v>50</v>
      </c>
      <c r="B69" s="31"/>
      <c r="C69" s="23"/>
      <c r="D69" s="23"/>
      <c r="E69" s="23">
        <f>SUM(E60:E68)</f>
        <v>994975</v>
      </c>
      <c r="F69" s="23">
        <f>SUM(F60:F68)</f>
        <v>11179.494382022473</v>
      </c>
      <c r="G69" s="23">
        <f>(57516+576292+141964/2+211120*10%+8852)/E69</f>
        <v>0.7384647855473756</v>
      </c>
      <c r="H69" s="3"/>
      <c r="I69" s="3"/>
      <c r="J69" s="3"/>
      <c r="K69" s="3"/>
      <c r="L69" s="3"/>
      <c r="M69" s="3"/>
    </row>
    <row r="70" spans="1:13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30.75" customHeight="1">
      <c r="A71" s="25" t="s">
        <v>62</v>
      </c>
      <c r="B71" s="25"/>
      <c r="C71" s="25"/>
      <c r="D71" s="25"/>
      <c r="E71" s="25"/>
      <c r="F71" s="25"/>
      <c r="G71" s="25"/>
      <c r="H71" s="3"/>
      <c r="I71" s="3"/>
      <c r="J71" s="3"/>
      <c r="K71" s="3"/>
      <c r="L71" s="3"/>
      <c r="M71" s="3"/>
    </row>
    <row r="72" spans="1:13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>
      <c r="A73" s="3" t="s">
        <v>63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63.75">
      <c r="A75" s="14" t="s">
        <v>38</v>
      </c>
      <c r="B75" s="14" t="s">
        <v>42</v>
      </c>
      <c r="C75" s="14" t="s">
        <v>26</v>
      </c>
      <c r="D75" s="14" t="s">
        <v>28</v>
      </c>
      <c r="E75" s="32"/>
      <c r="F75" s="32"/>
      <c r="G75" s="32"/>
      <c r="H75" s="3"/>
      <c r="I75" s="3"/>
      <c r="J75" s="3"/>
      <c r="K75" s="3"/>
      <c r="L75" s="3"/>
      <c r="M75" s="3"/>
    </row>
    <row r="76" spans="1:13" ht="51">
      <c r="A76" s="26" t="s">
        <v>64</v>
      </c>
      <c r="B76" s="33">
        <v>649</v>
      </c>
      <c r="C76" s="19">
        <f aca="true" t="shared" si="8" ref="C76:C77">B76/$B$40</f>
        <v>7.292134831460674</v>
      </c>
      <c r="D76" s="19">
        <f>(462/B76)</f>
        <v>0.711864406779661</v>
      </c>
      <c r="E76" s="34"/>
      <c r="F76" s="35"/>
      <c r="G76" s="35"/>
      <c r="H76" s="3"/>
      <c r="I76" s="3"/>
      <c r="J76" s="3"/>
      <c r="K76" s="3"/>
      <c r="L76" s="3"/>
      <c r="M76" s="3"/>
    </row>
    <row r="77" spans="1:13" ht="19.5" customHeight="1">
      <c r="A77" s="26" t="s">
        <v>65</v>
      </c>
      <c r="B77" s="33">
        <f>43596+17455</f>
        <v>61051</v>
      </c>
      <c r="C77" s="19">
        <f t="shared" si="8"/>
        <v>685.9662921348314</v>
      </c>
      <c r="D77" s="19">
        <f>(31031+12424)/B77</f>
        <v>0.711781952793566</v>
      </c>
      <c r="E77" s="34"/>
      <c r="F77" s="35"/>
      <c r="G77" s="35"/>
      <c r="H77" s="3"/>
      <c r="I77" s="3"/>
      <c r="J77" s="3"/>
      <c r="K77" s="3"/>
      <c r="L77" s="3"/>
      <c r="M77" s="3"/>
    </row>
    <row r="78" spans="1:13" ht="27" customHeight="1">
      <c r="A78" s="28" t="s">
        <v>50</v>
      </c>
      <c r="B78" s="36">
        <f>SUM(B76:B77)</f>
        <v>61700</v>
      </c>
      <c r="C78" s="36">
        <f>SUM(C76:C77)</f>
        <v>693.2584269662921</v>
      </c>
      <c r="D78" s="36">
        <f>(31031+12424+462)/B78</f>
        <v>0.7117828200972447</v>
      </c>
      <c r="E78" s="37"/>
      <c r="F78" s="37"/>
      <c r="G78" s="37"/>
      <c r="H78" s="3"/>
      <c r="I78" s="3"/>
      <c r="J78" s="3"/>
      <c r="K78" s="3"/>
      <c r="L78" s="3"/>
      <c r="M78" s="3"/>
    </row>
    <row r="79" spans="1:13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29.25" customHeight="1">
      <c r="A80" s="25" t="s">
        <v>66</v>
      </c>
      <c r="B80" s="25"/>
      <c r="C80" s="25"/>
      <c r="D80" s="25"/>
      <c r="E80" s="25"/>
      <c r="F80" s="25"/>
      <c r="G80" s="25"/>
      <c r="H80" s="3"/>
      <c r="I80" s="3"/>
      <c r="J80" s="3"/>
      <c r="K80" s="3"/>
      <c r="L80" s="3"/>
      <c r="M80" s="3"/>
    </row>
    <row r="81" spans="1:13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 hidden="1">
      <c r="A82" s="3" t="s">
        <v>67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63.75" hidden="1">
      <c r="A84" s="38" t="s">
        <v>68</v>
      </c>
      <c r="B84" s="10" t="s">
        <v>69</v>
      </c>
      <c r="C84" s="14" t="s">
        <v>54</v>
      </c>
      <c r="D84" s="10" t="s">
        <v>70</v>
      </c>
      <c r="E84" s="39" t="s">
        <v>71</v>
      </c>
      <c r="F84" s="14" t="s">
        <v>26</v>
      </c>
      <c r="G84" s="14" t="s">
        <v>28</v>
      </c>
      <c r="H84" s="3"/>
      <c r="I84" s="3"/>
      <c r="J84" s="3"/>
      <c r="K84" s="3"/>
      <c r="L84" s="3"/>
      <c r="M84" s="3"/>
    </row>
    <row r="85" spans="1:13" ht="12.75" hidden="1">
      <c r="A85" s="40" t="s">
        <v>72</v>
      </c>
      <c r="B85" s="41">
        <v>1</v>
      </c>
      <c r="C85" s="42">
        <f aca="true" t="shared" si="9" ref="C85:C86">E85/D85/B85</f>
        <v>0</v>
      </c>
      <c r="D85" s="43">
        <v>12</v>
      </c>
      <c r="E85" s="44">
        <v>0</v>
      </c>
      <c r="F85" s="19">
        <f aca="true" t="shared" si="10" ref="F85:F88">E85/$B$40</f>
        <v>0</v>
      </c>
      <c r="G85" s="72" t="e">
        <f aca="true" t="shared" si="11" ref="G85:G87">(0/E85)</f>
        <v>#DIV/0!</v>
      </c>
      <c r="H85" s="3"/>
      <c r="I85" s="3"/>
      <c r="J85" s="3"/>
      <c r="K85" s="3"/>
      <c r="L85" s="3"/>
      <c r="M85" s="3"/>
    </row>
    <row r="86" spans="1:13" ht="12.75" hidden="1">
      <c r="A86" s="40" t="s">
        <v>73</v>
      </c>
      <c r="B86" s="39">
        <v>1</v>
      </c>
      <c r="C86" s="42">
        <f t="shared" si="9"/>
        <v>0</v>
      </c>
      <c r="D86" s="43">
        <v>12</v>
      </c>
      <c r="E86" s="44">
        <v>0</v>
      </c>
      <c r="F86" s="19">
        <f t="shared" si="10"/>
        <v>0</v>
      </c>
      <c r="G86" s="72" t="e">
        <f t="shared" si="11"/>
        <v>#DIV/0!</v>
      </c>
      <c r="H86" s="3"/>
      <c r="I86" s="3"/>
      <c r="J86" s="3"/>
      <c r="K86" s="3"/>
      <c r="L86" s="3"/>
      <c r="M86" s="3"/>
    </row>
    <row r="87" spans="1:13" ht="12.75" hidden="1">
      <c r="A87" s="40" t="s">
        <v>74</v>
      </c>
      <c r="B87" s="41"/>
      <c r="C87" s="41"/>
      <c r="D87" s="43"/>
      <c r="E87" s="44">
        <v>0</v>
      </c>
      <c r="F87" s="19">
        <f t="shared" si="10"/>
        <v>0</v>
      </c>
      <c r="G87" s="72" t="e">
        <f t="shared" si="11"/>
        <v>#DIV/0!</v>
      </c>
      <c r="H87" s="3"/>
      <c r="I87" s="3"/>
      <c r="J87" s="3"/>
      <c r="K87" s="3"/>
      <c r="L87" s="3"/>
      <c r="M87" s="3"/>
    </row>
    <row r="88" spans="1:13" ht="12.75" hidden="1">
      <c r="A88" s="45" t="s">
        <v>75</v>
      </c>
      <c r="B88" s="46"/>
      <c r="C88" s="46"/>
      <c r="D88" s="46"/>
      <c r="E88" s="47">
        <f>E85+E86+E87</f>
        <v>0</v>
      </c>
      <c r="F88" s="23">
        <f t="shared" si="10"/>
        <v>0</v>
      </c>
      <c r="G88" s="73" t="e">
        <f>0/E88</f>
        <v>#DIV/0!</v>
      </c>
      <c r="H88" s="3"/>
      <c r="I88" s="3"/>
      <c r="J88" s="3"/>
      <c r="K88" s="3"/>
      <c r="L88" s="3"/>
      <c r="M88" s="3"/>
    </row>
    <row r="89" spans="1:13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24" customHeight="1" hidden="1">
      <c r="A90" s="25" t="s">
        <v>194</v>
      </c>
      <c r="B90" s="25"/>
      <c r="C90" s="25"/>
      <c r="D90" s="25"/>
      <c r="E90" s="25"/>
      <c r="F90" s="25"/>
      <c r="G90" s="25"/>
      <c r="H90" s="3"/>
      <c r="I90" s="3"/>
      <c r="J90" s="3"/>
      <c r="K90" s="3"/>
      <c r="L90" s="3"/>
      <c r="M90" s="3"/>
    </row>
    <row r="91" spans="1:1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45" customHeight="1">
      <c r="A92" s="12" t="s">
        <v>77</v>
      </c>
      <c r="B92" s="12"/>
      <c r="C92" s="12"/>
      <c r="D92" s="12"/>
      <c r="E92" s="12"/>
      <c r="F92" s="12"/>
      <c r="G92" s="12"/>
      <c r="H92" s="13"/>
      <c r="I92" s="13"/>
      <c r="J92" s="13"/>
      <c r="K92" s="3"/>
      <c r="L92" s="3"/>
      <c r="M92" s="3"/>
    </row>
    <row r="93" spans="1:1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63.75">
      <c r="A94" s="14" t="s">
        <v>38</v>
      </c>
      <c r="B94" s="39" t="s">
        <v>71</v>
      </c>
      <c r="C94" s="14" t="s">
        <v>26</v>
      </c>
      <c r="D94" s="14" t="s">
        <v>28</v>
      </c>
      <c r="E94" s="48" t="s">
        <v>78</v>
      </c>
      <c r="F94" s="16" t="s">
        <v>79</v>
      </c>
      <c r="G94" s="3"/>
      <c r="H94" s="3"/>
      <c r="I94" s="3"/>
      <c r="J94" s="3"/>
      <c r="K94" s="3"/>
      <c r="L94" s="3"/>
      <c r="M94" s="3"/>
    </row>
    <row r="95" spans="1:13" ht="12.75">
      <c r="A95" s="49" t="s">
        <v>80</v>
      </c>
      <c r="B95" s="36">
        <v>1042425</v>
      </c>
      <c r="C95" s="23">
        <f>B95/$B$40</f>
        <v>11712.640449438202</v>
      </c>
      <c r="D95" s="23">
        <f>741985/B95</f>
        <v>0.7117874187591433</v>
      </c>
      <c r="E95" s="18">
        <f>B95*D95</f>
        <v>741985</v>
      </c>
      <c r="F95" s="18">
        <f>E95-B95</f>
        <v>-300440</v>
      </c>
      <c r="G95" s="3"/>
      <c r="H95" s="3"/>
      <c r="I95" s="3"/>
      <c r="J95" s="3"/>
      <c r="K95" s="3"/>
      <c r="L95" s="3"/>
      <c r="M95" s="3"/>
    </row>
    <row r="96" spans="1:1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34.5" customHeight="1">
      <c r="A97" s="25" t="s">
        <v>81</v>
      </c>
      <c r="B97" s="25"/>
      <c r="C97" s="25"/>
      <c r="D97" s="25"/>
      <c r="E97" s="25"/>
      <c r="F97" s="25"/>
      <c r="G97" s="25"/>
      <c r="H97" s="3"/>
      <c r="I97" s="3"/>
      <c r="J97" s="3"/>
      <c r="K97" s="3"/>
      <c r="L97" s="3"/>
      <c r="M97" s="3"/>
    </row>
    <row r="98" spans="1:1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48.75" customHeight="1">
      <c r="A99" s="50" t="s">
        <v>195</v>
      </c>
      <c r="B99" s="50"/>
      <c r="C99" s="50"/>
      <c r="D99" s="50"/>
      <c r="E99" s="50"/>
      <c r="F99" s="50"/>
      <c r="G99" s="50"/>
      <c r="H99" s="3"/>
      <c r="I99" s="3"/>
      <c r="J99" s="3"/>
      <c r="K99" s="3"/>
      <c r="L99" s="3"/>
      <c r="M99" s="3"/>
    </row>
    <row r="100" spans="1:13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4.25">
      <c r="A101" s="3" t="s">
        <v>83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>
      <c r="A103" s="3" t="s">
        <v>84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>
      <c r="A105" s="3" t="s">
        <v>85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7.25" customHeight="1">
      <c r="A107" s="4" t="s">
        <v>86</v>
      </c>
      <c r="B107" s="4"/>
      <c r="C107" s="4"/>
      <c r="D107" s="4"/>
      <c r="E107" s="4"/>
      <c r="F107" s="4"/>
      <c r="G107" s="4"/>
      <c r="H107" s="3"/>
      <c r="I107" s="3"/>
      <c r="J107" s="3"/>
      <c r="K107" s="3"/>
      <c r="L107" s="3"/>
      <c r="M107" s="3"/>
    </row>
    <row r="108" spans="1:13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>
      <c r="A109" s="3" t="s">
        <v>87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3.5" customHeight="1">
      <c r="A111" s="4" t="s">
        <v>88</v>
      </c>
      <c r="B111" s="4"/>
      <c r="C111" s="4"/>
      <c r="D111" s="4"/>
      <c r="E111" s="4"/>
      <c r="F111" s="4"/>
      <c r="G111" s="4"/>
      <c r="H111" s="3"/>
      <c r="I111" s="3"/>
      <c r="J111" s="3"/>
      <c r="K111" s="3"/>
      <c r="L111" s="3"/>
      <c r="M111" s="3"/>
    </row>
    <row r="112" spans="1:1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>
      <c r="A113" s="3" t="s">
        <v>5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14.75">
      <c r="A115" s="14" t="s">
        <v>89</v>
      </c>
      <c r="B115" s="14" t="s">
        <v>90</v>
      </c>
      <c r="C115" s="39" t="s">
        <v>91</v>
      </c>
      <c r="D115" s="14" t="s">
        <v>92</v>
      </c>
      <c r="E115" s="14" t="s">
        <v>93</v>
      </c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36">
        <f>C42</f>
        <v>15691.157303370786</v>
      </c>
      <c r="B116" s="36">
        <f>E42</f>
        <v>1.156075883289307</v>
      </c>
      <c r="C116" s="23">
        <f>C95</f>
        <v>11712.640449438202</v>
      </c>
      <c r="D116" s="23">
        <f>D95</f>
        <v>0.7117874187591433</v>
      </c>
      <c r="E116" s="36">
        <f>(A116*B116+C116*D116)*F18</f>
        <v>2356460</v>
      </c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93" customHeight="1">
      <c r="A118" s="12" t="s">
        <v>196</v>
      </c>
      <c r="B118" s="12"/>
      <c r="C118" s="12"/>
      <c r="D118" s="12"/>
      <c r="E118" s="12"/>
      <c r="F118" s="12"/>
      <c r="G118" s="12"/>
      <c r="H118" s="3"/>
      <c r="I118" s="3"/>
      <c r="J118" s="3"/>
      <c r="K118" s="3"/>
      <c r="L118" s="3"/>
      <c r="M118" s="3"/>
    </row>
    <row r="119" spans="1:13" ht="12.75">
      <c r="A119" s="3"/>
      <c r="B119" s="3"/>
      <c r="C119" s="3"/>
      <c r="D119" s="3" t="s">
        <v>95</v>
      </c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>
      <c r="A121" s="3" t="s">
        <v>96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>
      <c r="A123" s="3" t="s">
        <v>97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>
      <c r="A125" s="3" t="s">
        <v>98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>
      <c r="A127" s="3" t="s">
        <v>99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40.25">
      <c r="A129" s="51" t="s">
        <v>100</v>
      </c>
      <c r="B129" s="52" t="s">
        <v>101</v>
      </c>
      <c r="C129" s="51" t="s">
        <v>102</v>
      </c>
      <c r="D129" s="51" t="s">
        <v>103</v>
      </c>
      <c r="E129" s="53"/>
      <c r="F129" s="53"/>
      <c r="G129" s="53"/>
      <c r="H129" s="3"/>
      <c r="I129" s="3"/>
      <c r="J129" s="3"/>
      <c r="K129" s="3"/>
      <c r="L129" s="3"/>
      <c r="M129" s="3"/>
    </row>
    <row r="130" spans="1:13" ht="12.75">
      <c r="A130" s="65">
        <f>4635751+27611+87475+31965+15000</f>
        <v>4797802</v>
      </c>
      <c r="B130" s="65">
        <f>612000+184824</f>
        <v>796824</v>
      </c>
      <c r="C130" s="66">
        <f>360000+108720</f>
        <v>468720</v>
      </c>
      <c r="D130" s="67">
        <f>A130+B130+C130</f>
        <v>6063346</v>
      </c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>
      <c r="A131" s="58"/>
      <c r="B131" s="58"/>
      <c r="C131" s="58"/>
      <c r="D131" s="58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>
      <c r="A132" s="58"/>
      <c r="B132" s="58"/>
      <c r="C132" s="58"/>
      <c r="D132" s="58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>
      <c r="A133" s="68" t="s">
        <v>107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16" t="s">
        <v>108</v>
      </c>
      <c r="B135" s="16">
        <v>0</v>
      </c>
      <c r="C135" s="16"/>
      <c r="D135" s="18">
        <f>425885+600</f>
        <v>426485</v>
      </c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>
      <c r="A136" s="16" t="s">
        <v>109</v>
      </c>
      <c r="B136" s="16">
        <v>0</v>
      </c>
      <c r="C136" s="16"/>
      <c r="D136" s="18">
        <v>128617</v>
      </c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21" t="s">
        <v>50</v>
      </c>
      <c r="B137" s="21">
        <f>B135+B136</f>
        <v>0</v>
      </c>
      <c r="C137" s="21"/>
      <c r="D137" s="22">
        <f>D135+D136</f>
        <v>555102</v>
      </c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6:13" ht="12.75">
      <c r="F366" s="3"/>
      <c r="G366" s="3"/>
      <c r="H366" s="3"/>
      <c r="I366" s="3"/>
      <c r="J366" s="3"/>
      <c r="K366" s="3"/>
      <c r="L366" s="3"/>
      <c r="M366" s="3"/>
    </row>
  </sheetData>
  <sheetProtection selectLockedCells="1" selectUnlockedCells="1"/>
  <mergeCells count="19">
    <mergeCell ref="A2:G2"/>
    <mergeCell ref="A4:G4"/>
    <mergeCell ref="A5:A6"/>
    <mergeCell ref="B5:C5"/>
    <mergeCell ref="D5:D6"/>
    <mergeCell ref="B6:C6"/>
    <mergeCell ref="A11:G11"/>
    <mergeCell ref="A20:G20"/>
    <mergeCell ref="A44:G44"/>
    <mergeCell ref="A55:G55"/>
    <mergeCell ref="A71:G71"/>
    <mergeCell ref="A80:G80"/>
    <mergeCell ref="A90:G90"/>
    <mergeCell ref="A92:G92"/>
    <mergeCell ref="A97:G97"/>
    <mergeCell ref="A99:G99"/>
    <mergeCell ref="A107:G107"/>
    <mergeCell ref="A111:G111"/>
    <mergeCell ref="A118:G118"/>
  </mergeCells>
  <printOptions/>
  <pageMargins left="0.7083333333333334" right="0.7083333333333334" top="0.7479166666666667" bottom="0.7479166666666667" header="0.5118055555555555" footer="0.5118055555555555"/>
  <pageSetup fitToHeight="3" fitToWidth="1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M366"/>
  <sheetViews>
    <sheetView workbookViewId="0" topLeftCell="A121">
      <selection activeCell="A130" sqref="A130"/>
    </sheetView>
  </sheetViews>
  <sheetFormatPr defaultColWidth="8.00390625" defaultRowHeight="12.75"/>
  <cols>
    <col min="1" max="1" width="18.00390625" style="0" customWidth="1"/>
    <col min="2" max="2" width="13.625" style="0" customWidth="1"/>
    <col min="3" max="3" width="13.00390625" style="0" customWidth="1"/>
    <col min="4" max="4" width="12.375" style="0" customWidth="1"/>
    <col min="5" max="5" width="15.625" style="0" customWidth="1"/>
    <col min="6" max="6" width="12.75390625" style="0" customWidth="1"/>
    <col min="7" max="7" width="13.625" style="0" customWidth="1"/>
    <col min="8" max="16384" width="9.00390625" style="0" customWidth="1"/>
  </cols>
  <sheetData>
    <row r="2" spans="1:13" ht="59.25" customHeight="1">
      <c r="A2" s="1" t="s">
        <v>197</v>
      </c>
      <c r="B2" s="1"/>
      <c r="C2" s="1"/>
      <c r="D2" s="1"/>
      <c r="E2" s="1"/>
      <c r="F2" s="1"/>
      <c r="G2" s="1"/>
      <c r="H2" s="2"/>
      <c r="I2" s="2"/>
      <c r="J2" s="2"/>
      <c r="K2" s="3"/>
      <c r="L2" s="3"/>
      <c r="M2" s="3"/>
    </row>
    <row r="3" spans="1:1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40.5" customHeight="1">
      <c r="A4" s="4" t="s">
        <v>1</v>
      </c>
      <c r="B4" s="4"/>
      <c r="C4" s="4"/>
      <c r="D4" s="4"/>
      <c r="E4" s="4"/>
      <c r="F4" s="4"/>
      <c r="G4" s="4"/>
      <c r="H4" s="3"/>
      <c r="I4" s="3"/>
      <c r="J4" s="3"/>
      <c r="K4" s="3"/>
      <c r="L4" s="3"/>
      <c r="M4" s="3"/>
    </row>
    <row r="5" spans="1:13" ht="12.75" customHeight="1">
      <c r="A5" s="5" t="s">
        <v>2</v>
      </c>
      <c r="B5" s="6" t="s">
        <v>3</v>
      </c>
      <c r="C5" s="6"/>
      <c r="D5" s="7" t="s">
        <v>4</v>
      </c>
      <c r="E5" s="3"/>
      <c r="F5" s="3"/>
      <c r="G5" s="3"/>
      <c r="H5" s="3"/>
      <c r="I5" s="3"/>
      <c r="J5" s="3"/>
      <c r="K5" s="3"/>
      <c r="L5" s="3"/>
      <c r="M5" s="3"/>
    </row>
    <row r="6" spans="1:13" ht="12.75" customHeight="1">
      <c r="A6" s="5"/>
      <c r="B6" s="8">
        <v>12</v>
      </c>
      <c r="C6" s="8"/>
      <c r="D6" s="7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 s="3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 s="3" t="s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42" customHeight="1">
      <c r="A11" s="4" t="s">
        <v>7</v>
      </c>
      <c r="B11" s="4"/>
      <c r="C11" s="4"/>
      <c r="D11" s="4"/>
      <c r="E11" s="4"/>
      <c r="F11" s="4"/>
      <c r="G11" s="4"/>
      <c r="H11" s="3"/>
      <c r="I11" s="3"/>
      <c r="J11" s="3"/>
      <c r="K11" s="3"/>
      <c r="L11" s="3"/>
      <c r="M11" s="3"/>
    </row>
    <row r="12" spans="1:1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 s="3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3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99" customHeight="1">
      <c r="A17" s="9" t="s">
        <v>10</v>
      </c>
      <c r="B17" s="9" t="s">
        <v>119</v>
      </c>
      <c r="C17" s="10" t="s">
        <v>12</v>
      </c>
      <c r="D17" s="9" t="s">
        <v>13</v>
      </c>
      <c r="E17" s="9" t="s">
        <v>198</v>
      </c>
      <c r="F17" s="9" t="s">
        <v>15</v>
      </c>
      <c r="G17" s="3"/>
      <c r="H17" s="3"/>
      <c r="I17" s="3"/>
      <c r="J17" s="3"/>
      <c r="K17" s="3"/>
      <c r="L17" s="3"/>
      <c r="M17" s="3"/>
    </row>
    <row r="18" spans="1:13" ht="29.25" customHeight="1">
      <c r="A18" s="9">
        <v>82</v>
      </c>
      <c r="B18" s="10">
        <v>0</v>
      </c>
      <c r="C18" s="9">
        <v>16</v>
      </c>
      <c r="D18" s="9">
        <v>10</v>
      </c>
      <c r="E18" s="11">
        <v>0</v>
      </c>
      <c r="F18" s="11">
        <v>75</v>
      </c>
      <c r="G18" s="3"/>
      <c r="H18" s="3"/>
      <c r="I18" s="3"/>
      <c r="J18" s="3"/>
      <c r="K18" s="3"/>
      <c r="L18" s="3"/>
      <c r="M18" s="3"/>
    </row>
    <row r="19" spans="1:1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27" customHeight="1">
      <c r="A20" s="12" t="s">
        <v>16</v>
      </c>
      <c r="B20" s="12"/>
      <c r="C20" s="12"/>
      <c r="D20" s="12"/>
      <c r="E20" s="12"/>
      <c r="F20" s="12"/>
      <c r="G20" s="12"/>
      <c r="H20" s="13"/>
      <c r="I20" s="13"/>
      <c r="J20" s="13"/>
      <c r="K20" s="3"/>
      <c r="L20" s="3"/>
      <c r="M20" s="3"/>
    </row>
    <row r="21" spans="1:13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 s="3" t="s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3" t="s">
        <v>18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3" t="s">
        <v>19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 s="3" t="s">
        <v>20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 t="s">
        <v>21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 s="3" t="s">
        <v>22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s="3" t="s">
        <v>23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63.75" customHeight="1">
      <c r="A36" s="14" t="s">
        <v>24</v>
      </c>
      <c r="B36" s="15" t="s">
        <v>25</v>
      </c>
      <c r="C36" s="14" t="s">
        <v>26</v>
      </c>
      <c r="D36" s="14" t="s">
        <v>27</v>
      </c>
      <c r="E36" s="14" t="s">
        <v>28</v>
      </c>
      <c r="F36" s="14" t="s">
        <v>29</v>
      </c>
      <c r="G36" s="3"/>
      <c r="H36" s="3"/>
      <c r="I36" s="3"/>
      <c r="J36" s="3"/>
      <c r="K36" s="3"/>
      <c r="L36" s="3"/>
      <c r="M36" s="3"/>
    </row>
    <row r="37" spans="1:13" ht="12.75">
      <c r="A37" s="16" t="s">
        <v>30</v>
      </c>
      <c r="B37" s="17">
        <f>F18</f>
        <v>75</v>
      </c>
      <c r="C37" s="18">
        <f>F53</f>
        <v>11151.616000000002</v>
      </c>
      <c r="D37" s="18">
        <f>E53</f>
        <v>836371.2</v>
      </c>
      <c r="E37" s="19">
        <f>G53</f>
        <v>0.6275069012419365</v>
      </c>
      <c r="F37" s="18">
        <f aca="true" t="shared" si="0" ref="F37:F40">D37*E37</f>
        <v>524828.7</v>
      </c>
      <c r="G37" s="3"/>
      <c r="H37" s="3"/>
      <c r="I37" s="3"/>
      <c r="J37" s="3"/>
      <c r="K37" s="3"/>
      <c r="L37" s="3"/>
      <c r="M37" s="3"/>
    </row>
    <row r="38" spans="1:13" ht="12.75">
      <c r="A38" s="16" t="s">
        <v>31</v>
      </c>
      <c r="B38" s="17">
        <f aca="true" t="shared" si="1" ref="B38:B41">B37</f>
        <v>75</v>
      </c>
      <c r="C38" s="18">
        <f>F69</f>
        <v>17758.490666666672</v>
      </c>
      <c r="D38" s="18">
        <f>E69</f>
        <v>1331886.8</v>
      </c>
      <c r="E38" s="19">
        <f>G69</f>
        <v>0.6427507953378621</v>
      </c>
      <c r="F38" s="18">
        <f t="shared" si="0"/>
        <v>856071.3</v>
      </c>
      <c r="G38" s="3"/>
      <c r="H38" s="3"/>
      <c r="I38" s="3"/>
      <c r="J38" s="3"/>
      <c r="K38" s="3"/>
      <c r="L38" s="3"/>
      <c r="M38" s="3"/>
    </row>
    <row r="39" spans="1:13" ht="12.75">
      <c r="A39" s="16" t="s">
        <v>32</v>
      </c>
      <c r="B39" s="17">
        <f t="shared" si="1"/>
        <v>75</v>
      </c>
      <c r="C39" s="18">
        <f>C78</f>
        <v>1189.2266666666667</v>
      </c>
      <c r="D39" s="18">
        <f>B78</f>
        <v>89192</v>
      </c>
      <c r="E39" s="19">
        <f>D78</f>
        <v>0.7117790833258588</v>
      </c>
      <c r="F39" s="18">
        <f t="shared" si="0"/>
        <v>63485</v>
      </c>
      <c r="G39" s="3"/>
      <c r="H39" s="3"/>
      <c r="I39" s="3"/>
      <c r="J39" s="3"/>
      <c r="K39" s="3"/>
      <c r="L39" s="3"/>
      <c r="M39" s="3"/>
    </row>
    <row r="40" spans="1:13" ht="12.75">
      <c r="A40" s="16" t="s">
        <v>33</v>
      </c>
      <c r="B40" s="17">
        <f t="shared" si="1"/>
        <v>75</v>
      </c>
      <c r="C40" s="18">
        <f>F88</f>
        <v>0</v>
      </c>
      <c r="D40" s="18">
        <f>E88</f>
        <v>0</v>
      </c>
      <c r="E40" s="19">
        <v>0</v>
      </c>
      <c r="F40" s="18">
        <f t="shared" si="0"/>
        <v>0</v>
      </c>
      <c r="G40" s="3"/>
      <c r="H40" s="3"/>
      <c r="I40" s="3"/>
      <c r="J40" s="3"/>
      <c r="K40" s="3"/>
      <c r="L40" s="3"/>
      <c r="M40" s="3"/>
    </row>
    <row r="41" spans="1:13" ht="12.75">
      <c r="A41" s="16" t="s">
        <v>34</v>
      </c>
      <c r="B41" s="17">
        <f t="shared" si="1"/>
        <v>75</v>
      </c>
      <c r="C41" s="18">
        <v>0</v>
      </c>
      <c r="D41" s="18">
        <v>0</v>
      </c>
      <c r="E41" s="19">
        <v>1</v>
      </c>
      <c r="F41" s="18">
        <f>D137</f>
        <v>610899</v>
      </c>
      <c r="G41" s="3"/>
      <c r="H41" s="3"/>
      <c r="I41" s="3"/>
      <c r="J41" s="3"/>
      <c r="K41" s="3"/>
      <c r="L41" s="3"/>
      <c r="M41" s="3"/>
    </row>
    <row r="42" spans="1:13" ht="12.75">
      <c r="A42" s="20" t="s">
        <v>35</v>
      </c>
      <c r="B42" s="21"/>
      <c r="C42" s="22">
        <f>D42/B40</f>
        <v>30099.333333333332</v>
      </c>
      <c r="D42" s="22">
        <f>SUM(D37:D40)</f>
        <v>2257450</v>
      </c>
      <c r="E42" s="23">
        <f>F42/D42</f>
        <v>0.9104449710957053</v>
      </c>
      <c r="F42" s="18">
        <f>F37+F38+F39+F40+F41</f>
        <v>2055284</v>
      </c>
      <c r="G42" s="24">
        <f>F42+E95</f>
        <v>2740271</v>
      </c>
      <c r="H42" s="3"/>
      <c r="I42" s="3"/>
      <c r="J42" s="3"/>
      <c r="K42" s="3"/>
      <c r="L42" s="3"/>
      <c r="M42" s="3"/>
    </row>
    <row r="43" spans="1:13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30.75" customHeight="1">
      <c r="A44" s="25" t="s">
        <v>199</v>
      </c>
      <c r="B44" s="25"/>
      <c r="C44" s="25"/>
      <c r="D44" s="25"/>
      <c r="E44" s="25"/>
      <c r="F44" s="25"/>
      <c r="G44" s="25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3" t="s">
        <v>37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63.75">
      <c r="A48" s="14" t="s">
        <v>38</v>
      </c>
      <c r="B48" s="14" t="s">
        <v>39</v>
      </c>
      <c r="C48" s="14" t="s">
        <v>40</v>
      </c>
      <c r="D48" s="14" t="s">
        <v>41</v>
      </c>
      <c r="E48" s="14" t="s">
        <v>42</v>
      </c>
      <c r="F48" s="14" t="s">
        <v>26</v>
      </c>
      <c r="G48" s="14" t="s">
        <v>28</v>
      </c>
      <c r="H48" s="3"/>
      <c r="I48" s="3"/>
      <c r="J48" s="3"/>
      <c r="K48" s="3"/>
      <c r="L48" s="3"/>
      <c r="M48" s="3"/>
    </row>
    <row r="49" spans="1:13" ht="25.5">
      <c r="A49" s="26" t="s">
        <v>43</v>
      </c>
      <c r="B49" s="27" t="s">
        <v>44</v>
      </c>
      <c r="C49" s="19">
        <f>58.7/2</f>
        <v>29.35</v>
      </c>
      <c r="D49" s="19">
        <f>E49/C49</f>
        <v>14306.235093696763</v>
      </c>
      <c r="E49" s="19">
        <f>839776/2</f>
        <v>419888</v>
      </c>
      <c r="F49" s="19">
        <f aca="true" t="shared" si="2" ref="F49:F52">E49/$B$40</f>
        <v>5598.506666666667</v>
      </c>
      <c r="G49" s="19">
        <f>(394771/2/E49)</f>
        <v>0.4700908337461418</v>
      </c>
      <c r="H49" s="3"/>
      <c r="I49" s="3"/>
      <c r="J49" s="3"/>
      <c r="K49" s="3"/>
      <c r="L49" s="3"/>
      <c r="M49" s="3"/>
    </row>
    <row r="50" spans="1:13" ht="25.5">
      <c r="A50" s="26" t="s">
        <v>45</v>
      </c>
      <c r="B50" s="27" t="s">
        <v>46</v>
      </c>
      <c r="C50" s="19">
        <v>0</v>
      </c>
      <c r="D50" s="19">
        <v>0</v>
      </c>
      <c r="E50" s="19">
        <v>0</v>
      </c>
      <c r="F50" s="19">
        <f t="shared" si="2"/>
        <v>0</v>
      </c>
      <c r="G50" s="19">
        <v>0</v>
      </c>
      <c r="H50" s="3"/>
      <c r="I50" s="3"/>
      <c r="J50" s="3"/>
      <c r="K50" s="3"/>
      <c r="L50" s="3"/>
      <c r="M50" s="3"/>
    </row>
    <row r="51" spans="1:13" ht="25.5">
      <c r="A51" s="26" t="s">
        <v>47</v>
      </c>
      <c r="B51" s="27" t="s">
        <v>48</v>
      </c>
      <c r="C51" s="19">
        <f>25900*90%</f>
        <v>23310</v>
      </c>
      <c r="D51" s="19">
        <f aca="true" t="shared" si="3" ref="D51:D52">E51/C51</f>
        <v>12.774054054054055</v>
      </c>
      <c r="E51" s="19">
        <f>330848*90%</f>
        <v>297763.2</v>
      </c>
      <c r="F51" s="19">
        <f t="shared" si="2"/>
        <v>3970.176</v>
      </c>
      <c r="G51" s="19">
        <f>(330848*90%/E51)</f>
        <v>1</v>
      </c>
      <c r="H51" s="3"/>
      <c r="I51" s="3"/>
      <c r="J51" s="3"/>
      <c r="K51" s="3"/>
      <c r="L51" s="3"/>
      <c r="M51" s="3"/>
    </row>
    <row r="52" spans="1:13" ht="25.5">
      <c r="A52" s="26" t="s">
        <v>49</v>
      </c>
      <c r="B52" s="27" t="s">
        <v>46</v>
      </c>
      <c r="C52" s="19">
        <v>2000</v>
      </c>
      <c r="D52" s="19">
        <f t="shared" si="3"/>
        <v>59.36</v>
      </c>
      <c r="E52" s="19">
        <v>118720</v>
      </c>
      <c r="F52" s="19">
        <f t="shared" si="2"/>
        <v>1582.9333333333334</v>
      </c>
      <c r="G52" s="19">
        <f>(29680/E52)</f>
        <v>0.25</v>
      </c>
      <c r="H52" s="3"/>
      <c r="I52" s="3"/>
      <c r="J52" s="3"/>
      <c r="K52" s="3"/>
      <c r="L52" s="3"/>
      <c r="M52" s="3"/>
    </row>
    <row r="53" spans="1:13" ht="20.25" customHeight="1">
      <c r="A53" s="28" t="s">
        <v>50</v>
      </c>
      <c r="B53" s="29"/>
      <c r="C53" s="23"/>
      <c r="D53" s="23"/>
      <c r="E53" s="23">
        <f>E49+E50+E51+E52</f>
        <v>836371.2</v>
      </c>
      <c r="F53" s="23">
        <f>F49+F50+F51+F52</f>
        <v>11151.616000000002</v>
      </c>
      <c r="G53" s="23">
        <f>(394771/2+330848*90%+29680)/E53</f>
        <v>0.6275069012419365</v>
      </c>
      <c r="H53" s="3"/>
      <c r="I53" s="3"/>
      <c r="J53" s="3"/>
      <c r="K53" s="3"/>
      <c r="L53" s="3"/>
      <c r="M53" s="3"/>
    </row>
    <row r="54" spans="1:13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21.75" customHeight="1">
      <c r="A55" s="25" t="s">
        <v>200</v>
      </c>
      <c r="B55" s="25"/>
      <c r="C55" s="25"/>
      <c r="D55" s="25"/>
      <c r="E55" s="25"/>
      <c r="F55" s="25"/>
      <c r="G55" s="25"/>
      <c r="H55" s="3"/>
      <c r="I55" s="3"/>
      <c r="J55" s="3"/>
      <c r="K55" s="3"/>
      <c r="L55" s="3"/>
      <c r="M55" s="3"/>
    </row>
    <row r="56" spans="1:1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75">
      <c r="A57" s="3" t="s">
        <v>52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63.75">
      <c r="A59" s="14" t="s">
        <v>38</v>
      </c>
      <c r="B59" s="14" t="s">
        <v>39</v>
      </c>
      <c r="C59" s="14" t="s">
        <v>53</v>
      </c>
      <c r="D59" s="14" t="s">
        <v>54</v>
      </c>
      <c r="E59" s="14" t="s">
        <v>42</v>
      </c>
      <c r="F59" s="14" t="s">
        <v>26</v>
      </c>
      <c r="G59" s="14" t="s">
        <v>28</v>
      </c>
      <c r="H59" s="3"/>
      <c r="I59" s="3"/>
      <c r="J59" s="3"/>
      <c r="K59" s="3"/>
      <c r="L59" s="3"/>
      <c r="M59" s="3"/>
    </row>
    <row r="60" spans="1:13" ht="45.75" customHeight="1">
      <c r="A60" s="26" t="s">
        <v>55</v>
      </c>
      <c r="B60" s="30"/>
      <c r="C60" s="19"/>
      <c r="D60" s="19"/>
      <c r="E60" s="19">
        <v>59450</v>
      </c>
      <c r="F60" s="19">
        <f aca="true" t="shared" si="4" ref="F60:F68">E60/$B$40</f>
        <v>792.6666666666666</v>
      </c>
      <c r="G60" s="19">
        <f>(42316/E60)</f>
        <v>0.7117914213624895</v>
      </c>
      <c r="H60" s="3"/>
      <c r="I60" s="3"/>
      <c r="J60" s="3"/>
      <c r="K60" s="3"/>
      <c r="L60" s="3"/>
      <c r="M60" s="3"/>
    </row>
    <row r="61" spans="1:13" ht="25.5">
      <c r="A61" s="26" t="s">
        <v>56</v>
      </c>
      <c r="B61" s="30" t="s">
        <v>57</v>
      </c>
      <c r="C61" s="19">
        <v>1</v>
      </c>
      <c r="D61" s="19">
        <f>E61/C61</f>
        <v>0</v>
      </c>
      <c r="E61" s="19">
        <v>0</v>
      </c>
      <c r="F61" s="19">
        <f t="shared" si="4"/>
        <v>0</v>
      </c>
      <c r="G61" s="19" t="e">
        <f aca="true" t="shared" si="5" ref="G61:G62">(0/E61)</f>
        <v>#DIV/0!</v>
      </c>
      <c r="H61" s="3"/>
      <c r="I61" s="3"/>
      <c r="J61" s="3"/>
      <c r="K61" s="3"/>
      <c r="L61" s="3"/>
      <c r="M61" s="3"/>
    </row>
    <row r="62" spans="1:13" ht="18" customHeight="1">
      <c r="A62" s="26" t="s">
        <v>58</v>
      </c>
      <c r="B62" s="30"/>
      <c r="C62" s="19"/>
      <c r="D62" s="19"/>
      <c r="E62" s="19">
        <v>0</v>
      </c>
      <c r="F62" s="19">
        <f t="shared" si="4"/>
        <v>0</v>
      </c>
      <c r="G62" s="19" t="e">
        <f t="shared" si="5"/>
        <v>#DIV/0!</v>
      </c>
      <c r="H62" s="3"/>
      <c r="I62" s="3"/>
      <c r="J62" s="3"/>
      <c r="K62" s="3"/>
      <c r="L62" s="3"/>
      <c r="M62" s="3"/>
    </row>
    <row r="63" spans="1:13" ht="18" customHeight="1">
      <c r="A63" s="26" t="s">
        <v>59</v>
      </c>
      <c r="B63" s="30"/>
      <c r="C63" s="19"/>
      <c r="D63" s="19"/>
      <c r="E63" s="19">
        <v>809640</v>
      </c>
      <c r="F63" s="19">
        <f t="shared" si="4"/>
        <v>10795.2</v>
      </c>
      <c r="G63" s="19">
        <f>(576292/E63)</f>
        <v>0.7117879551405563</v>
      </c>
      <c r="H63" s="3"/>
      <c r="I63" s="3"/>
      <c r="J63" s="3"/>
      <c r="K63" s="3"/>
      <c r="L63" s="3"/>
      <c r="M63" s="3"/>
    </row>
    <row r="64" spans="1:13" ht="25.5">
      <c r="A64" s="26" t="s">
        <v>43</v>
      </c>
      <c r="B64" s="27" t="s">
        <v>44</v>
      </c>
      <c r="C64" s="19">
        <f>58.7/2</f>
        <v>29.35</v>
      </c>
      <c r="D64" s="19">
        <f>E64/C64</f>
        <v>14306.235093696763</v>
      </c>
      <c r="E64" s="19">
        <f>839776/2</f>
        <v>419888</v>
      </c>
      <c r="F64" s="19">
        <f t="shared" si="4"/>
        <v>5598.506666666667</v>
      </c>
      <c r="G64" s="19">
        <f>(394771/2/E64)</f>
        <v>0.4700908337461418</v>
      </c>
      <c r="H64" s="3"/>
      <c r="I64" s="3"/>
      <c r="J64" s="3"/>
      <c r="K64" s="3"/>
      <c r="L64" s="3"/>
      <c r="M64" s="3"/>
    </row>
    <row r="65" spans="1:13" ht="25.5">
      <c r="A65" s="26" t="s">
        <v>45</v>
      </c>
      <c r="B65" s="27" t="s">
        <v>46</v>
      </c>
      <c r="C65" s="19">
        <v>0</v>
      </c>
      <c r="D65" s="19">
        <v>0</v>
      </c>
      <c r="E65" s="19">
        <v>0</v>
      </c>
      <c r="F65" s="19">
        <f t="shared" si="4"/>
        <v>0</v>
      </c>
      <c r="G65" s="19">
        <v>0</v>
      </c>
      <c r="H65" s="3"/>
      <c r="I65" s="3"/>
      <c r="J65" s="3"/>
      <c r="K65" s="3"/>
      <c r="L65" s="3"/>
      <c r="M65" s="3"/>
    </row>
    <row r="66" spans="1:13" ht="25.5">
      <c r="A66" s="26" t="s">
        <v>47</v>
      </c>
      <c r="B66" s="27" t="s">
        <v>48</v>
      </c>
      <c r="C66" s="19">
        <f>25900*10%</f>
        <v>2590</v>
      </c>
      <c r="D66" s="19">
        <f>E66/C66</f>
        <v>12.774054054054055</v>
      </c>
      <c r="E66" s="19">
        <f>330848*10%</f>
        <v>33084.8</v>
      </c>
      <c r="F66" s="19">
        <f t="shared" si="4"/>
        <v>441.1306666666667</v>
      </c>
      <c r="G66" s="19">
        <f>(330848*10%/E66)</f>
        <v>1</v>
      </c>
      <c r="H66" s="3"/>
      <c r="I66" s="3"/>
      <c r="J66" s="3"/>
      <c r="K66" s="3"/>
      <c r="L66" s="3"/>
      <c r="M66" s="3"/>
    </row>
    <row r="67" spans="1:13" ht="25.5" customHeight="1">
      <c r="A67" s="26" t="s">
        <v>60</v>
      </c>
      <c r="B67" s="30"/>
      <c r="C67" s="19"/>
      <c r="D67" s="19"/>
      <c r="E67" s="19">
        <v>9824</v>
      </c>
      <c r="F67" s="19">
        <f t="shared" si="4"/>
        <v>130.98666666666668</v>
      </c>
      <c r="G67" s="19">
        <f>(6993/E67)</f>
        <v>0.7118281758957655</v>
      </c>
      <c r="H67" s="3"/>
      <c r="I67" s="3"/>
      <c r="J67" s="3"/>
      <c r="K67" s="3"/>
      <c r="L67" s="3"/>
      <c r="M67" s="3"/>
    </row>
    <row r="68" spans="1:13" ht="12.75">
      <c r="A68" s="26" t="s">
        <v>61</v>
      </c>
      <c r="B68" s="30"/>
      <c r="C68" s="19"/>
      <c r="D68" s="19"/>
      <c r="E68" s="19">
        <v>0</v>
      </c>
      <c r="F68" s="19">
        <f t="shared" si="4"/>
        <v>0</v>
      </c>
      <c r="G68" s="19" t="e">
        <f>(0/E68)</f>
        <v>#DIV/0!</v>
      </c>
      <c r="H68" s="3"/>
      <c r="I68" s="3"/>
      <c r="J68" s="3"/>
      <c r="K68" s="3"/>
      <c r="L68" s="3"/>
      <c r="M68" s="3"/>
    </row>
    <row r="69" spans="1:13" ht="24.75" customHeight="1">
      <c r="A69" s="28" t="s">
        <v>50</v>
      </c>
      <c r="B69" s="31"/>
      <c r="C69" s="23"/>
      <c r="D69" s="23"/>
      <c r="E69" s="23">
        <f>SUM(E60:E68)</f>
        <v>1331886.8</v>
      </c>
      <c r="F69" s="23">
        <f>SUM(F60:F68)</f>
        <v>17758.490666666672</v>
      </c>
      <c r="G69" s="23">
        <f>(42316+576292+394771/2+330848*10%+6993)/E69</f>
        <v>0.6427507953378621</v>
      </c>
      <c r="H69" s="3"/>
      <c r="I69" s="3"/>
      <c r="J69" s="3"/>
      <c r="K69" s="3"/>
      <c r="L69" s="3"/>
      <c r="M69" s="3"/>
    </row>
    <row r="70" spans="1:13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24.75" customHeight="1">
      <c r="A71" s="25" t="s">
        <v>201</v>
      </c>
      <c r="B71" s="25"/>
      <c r="C71" s="25"/>
      <c r="D71" s="25"/>
      <c r="E71" s="25"/>
      <c r="F71" s="25"/>
      <c r="G71" s="25"/>
      <c r="H71" s="3"/>
      <c r="I71" s="3"/>
      <c r="J71" s="3"/>
      <c r="K71" s="3"/>
      <c r="L71" s="3"/>
      <c r="M71" s="3"/>
    </row>
    <row r="72" spans="1:13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>
      <c r="A73" s="3" t="s">
        <v>63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63.75">
      <c r="A75" s="14" t="s">
        <v>38</v>
      </c>
      <c r="B75" s="14" t="s">
        <v>42</v>
      </c>
      <c r="C75" s="14" t="s">
        <v>26</v>
      </c>
      <c r="D75" s="14" t="s">
        <v>28</v>
      </c>
      <c r="E75" s="32"/>
      <c r="F75" s="32"/>
      <c r="G75" s="32"/>
      <c r="H75" s="3"/>
      <c r="I75" s="3"/>
      <c r="J75" s="3"/>
      <c r="K75" s="3"/>
      <c r="L75" s="3"/>
      <c r="M75" s="3"/>
    </row>
    <row r="76" spans="1:13" ht="51">
      <c r="A76" s="26" t="s">
        <v>64</v>
      </c>
      <c r="B76" s="33">
        <v>738</v>
      </c>
      <c r="C76" s="19">
        <f aca="true" t="shared" si="6" ref="C76:C77">B76/$B$40</f>
        <v>9.84</v>
      </c>
      <c r="D76" s="19">
        <f>(525/B76)</f>
        <v>0.7113821138211383</v>
      </c>
      <c r="E76" s="34"/>
      <c r="F76" s="35"/>
      <c r="G76" s="35"/>
      <c r="H76" s="3"/>
      <c r="I76" s="3"/>
      <c r="J76" s="3"/>
      <c r="K76" s="3"/>
      <c r="L76" s="3"/>
      <c r="M76" s="3"/>
    </row>
    <row r="77" spans="1:13" ht="19.5" customHeight="1">
      <c r="A77" s="26" t="s">
        <v>65</v>
      </c>
      <c r="B77" s="33">
        <f>70999+17455</f>
        <v>88454</v>
      </c>
      <c r="C77" s="19">
        <f t="shared" si="6"/>
        <v>1179.3866666666668</v>
      </c>
      <c r="D77" s="19">
        <f>(50536+12424)/B77</f>
        <v>0.7117823953693445</v>
      </c>
      <c r="E77" s="34"/>
      <c r="F77" s="35"/>
      <c r="G77" s="35"/>
      <c r="H77" s="3"/>
      <c r="I77" s="3"/>
      <c r="J77" s="3"/>
      <c r="K77" s="3"/>
      <c r="L77" s="3"/>
      <c r="M77" s="3"/>
    </row>
    <row r="78" spans="1:13" ht="27" customHeight="1">
      <c r="A78" s="28" t="s">
        <v>50</v>
      </c>
      <c r="B78" s="36">
        <f>SUM(B76:B77)</f>
        <v>89192</v>
      </c>
      <c r="C78" s="36">
        <f>SUM(C76:C77)</f>
        <v>1189.2266666666667</v>
      </c>
      <c r="D78" s="36">
        <f>(50536+12424+525)/B78</f>
        <v>0.7117790833258588</v>
      </c>
      <c r="E78" s="37"/>
      <c r="F78" s="37"/>
      <c r="G78" s="37"/>
      <c r="H78" s="3"/>
      <c r="I78" s="3"/>
      <c r="J78" s="3"/>
      <c r="K78" s="3"/>
      <c r="L78" s="3"/>
      <c r="M78" s="3"/>
    </row>
    <row r="79" spans="1:13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29.25" customHeight="1">
      <c r="A80" s="25" t="s">
        <v>66</v>
      </c>
      <c r="B80" s="25"/>
      <c r="C80" s="25"/>
      <c r="D80" s="25"/>
      <c r="E80" s="25"/>
      <c r="F80" s="25"/>
      <c r="G80" s="25"/>
      <c r="H80" s="3"/>
      <c r="I80" s="3"/>
      <c r="J80" s="3"/>
      <c r="K80" s="3"/>
      <c r="L80" s="3"/>
      <c r="M80" s="3"/>
    </row>
    <row r="81" spans="1:13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 hidden="1">
      <c r="A82" s="3" t="s">
        <v>67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63.75" hidden="1">
      <c r="A84" s="38" t="s">
        <v>68</v>
      </c>
      <c r="B84" s="10" t="s">
        <v>69</v>
      </c>
      <c r="C84" s="14" t="s">
        <v>54</v>
      </c>
      <c r="D84" s="10" t="s">
        <v>70</v>
      </c>
      <c r="E84" s="39" t="s">
        <v>71</v>
      </c>
      <c r="F84" s="14" t="s">
        <v>26</v>
      </c>
      <c r="G84" s="14" t="s">
        <v>28</v>
      </c>
      <c r="H84" s="3"/>
      <c r="I84" s="3"/>
      <c r="J84" s="3"/>
      <c r="K84" s="3"/>
      <c r="L84" s="3"/>
      <c r="M84" s="3"/>
    </row>
    <row r="85" spans="1:13" ht="12.75" hidden="1">
      <c r="A85" s="40" t="s">
        <v>72</v>
      </c>
      <c r="B85" s="41">
        <v>1</v>
      </c>
      <c r="C85" s="42">
        <f aca="true" t="shared" si="7" ref="C85:C86">E85/D85/B85</f>
        <v>0</v>
      </c>
      <c r="D85" s="43">
        <v>12</v>
      </c>
      <c r="E85" s="44">
        <v>0</v>
      </c>
      <c r="F85" s="19">
        <f aca="true" t="shared" si="8" ref="F85:F88">E85/$B$40</f>
        <v>0</v>
      </c>
      <c r="G85" s="72" t="e">
        <f aca="true" t="shared" si="9" ref="G85:G87">(0/E85)</f>
        <v>#DIV/0!</v>
      </c>
      <c r="H85" s="3"/>
      <c r="I85" s="3"/>
      <c r="J85" s="3"/>
      <c r="K85" s="3"/>
      <c r="L85" s="3"/>
      <c r="M85" s="3"/>
    </row>
    <row r="86" spans="1:13" ht="12.75" hidden="1">
      <c r="A86" s="40" t="s">
        <v>73</v>
      </c>
      <c r="B86" s="39">
        <v>1</v>
      </c>
      <c r="C86" s="42">
        <f t="shared" si="7"/>
        <v>0</v>
      </c>
      <c r="D86" s="43">
        <v>12</v>
      </c>
      <c r="E86" s="44">
        <v>0</v>
      </c>
      <c r="F86" s="19">
        <f t="shared" si="8"/>
        <v>0</v>
      </c>
      <c r="G86" s="72" t="e">
        <f t="shared" si="9"/>
        <v>#DIV/0!</v>
      </c>
      <c r="H86" s="3"/>
      <c r="I86" s="3"/>
      <c r="J86" s="3"/>
      <c r="K86" s="3"/>
      <c r="L86" s="3"/>
      <c r="M86" s="3"/>
    </row>
    <row r="87" spans="1:13" ht="12.75" hidden="1">
      <c r="A87" s="40" t="s">
        <v>74</v>
      </c>
      <c r="B87" s="41"/>
      <c r="C87" s="41"/>
      <c r="D87" s="43"/>
      <c r="E87" s="44">
        <v>0</v>
      </c>
      <c r="F87" s="19">
        <f t="shared" si="8"/>
        <v>0</v>
      </c>
      <c r="G87" s="72" t="e">
        <f t="shared" si="9"/>
        <v>#DIV/0!</v>
      </c>
      <c r="H87" s="3"/>
      <c r="I87" s="3"/>
      <c r="J87" s="3"/>
      <c r="K87" s="3"/>
      <c r="L87" s="3"/>
      <c r="M87" s="3"/>
    </row>
    <row r="88" spans="1:13" ht="12.75" hidden="1">
      <c r="A88" s="45" t="s">
        <v>75</v>
      </c>
      <c r="B88" s="46"/>
      <c r="C88" s="46"/>
      <c r="D88" s="46"/>
      <c r="E88" s="47">
        <f>E85+E86+E87</f>
        <v>0</v>
      </c>
      <c r="F88" s="23">
        <f t="shared" si="8"/>
        <v>0</v>
      </c>
      <c r="G88" s="73" t="e">
        <f>0/E88</f>
        <v>#DIV/0!</v>
      </c>
      <c r="H88" s="3"/>
      <c r="I88" s="3"/>
      <c r="J88" s="3"/>
      <c r="K88" s="3"/>
      <c r="L88" s="3"/>
      <c r="M88" s="3"/>
    </row>
    <row r="89" spans="1:13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29.25" customHeight="1" hidden="1">
      <c r="A90" s="25" t="s">
        <v>194</v>
      </c>
      <c r="B90" s="25"/>
      <c r="C90" s="25"/>
      <c r="D90" s="25"/>
      <c r="E90" s="25"/>
      <c r="F90" s="25"/>
      <c r="G90" s="25"/>
      <c r="H90" s="3"/>
      <c r="I90" s="3"/>
      <c r="J90" s="3"/>
      <c r="K90" s="3"/>
      <c r="L90" s="3"/>
      <c r="M90" s="3"/>
    </row>
    <row r="91" spans="1:1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45" customHeight="1">
      <c r="A92" s="12" t="s">
        <v>77</v>
      </c>
      <c r="B92" s="12"/>
      <c r="C92" s="12"/>
      <c r="D92" s="12"/>
      <c r="E92" s="12"/>
      <c r="F92" s="12"/>
      <c r="G92" s="12"/>
      <c r="H92" s="13"/>
      <c r="I92" s="13"/>
      <c r="J92" s="13"/>
      <c r="K92" s="3"/>
      <c r="L92" s="3"/>
      <c r="M92" s="3"/>
    </row>
    <row r="93" spans="1:1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63.75">
      <c r="A94" s="14" t="s">
        <v>38</v>
      </c>
      <c r="B94" s="39" t="s">
        <v>71</v>
      </c>
      <c r="C94" s="14" t="s">
        <v>26</v>
      </c>
      <c r="D94" s="14" t="s">
        <v>28</v>
      </c>
      <c r="E94" s="48" t="s">
        <v>78</v>
      </c>
      <c r="F94" s="16" t="s">
        <v>79</v>
      </c>
      <c r="G94" s="3"/>
      <c r="H94" s="3"/>
      <c r="I94" s="3"/>
      <c r="J94" s="3"/>
      <c r="K94" s="3"/>
      <c r="L94" s="3"/>
      <c r="M94" s="3"/>
    </row>
    <row r="95" spans="1:13" ht="12.75">
      <c r="A95" s="49" t="s">
        <v>80</v>
      </c>
      <c r="B95" s="36">
        <v>962348</v>
      </c>
      <c r="C95" s="23">
        <f>B95/$B$40</f>
        <v>12831.306666666667</v>
      </c>
      <c r="D95" s="23">
        <f>684987/B95</f>
        <v>0.71178721211038</v>
      </c>
      <c r="E95" s="18">
        <f>B95*D95</f>
        <v>684987</v>
      </c>
      <c r="F95" s="18">
        <f>E95-B95</f>
        <v>-277361</v>
      </c>
      <c r="G95" s="3"/>
      <c r="H95" s="3"/>
      <c r="I95" s="3"/>
      <c r="J95" s="3"/>
      <c r="K95" s="3"/>
      <c r="L95" s="3"/>
      <c r="M95" s="3"/>
    </row>
    <row r="96" spans="1:1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34.5" customHeight="1">
      <c r="A97" s="25" t="s">
        <v>81</v>
      </c>
      <c r="B97" s="25"/>
      <c r="C97" s="25"/>
      <c r="D97" s="25"/>
      <c r="E97" s="25"/>
      <c r="F97" s="25"/>
      <c r="G97" s="25"/>
      <c r="H97" s="3"/>
      <c r="I97" s="3"/>
      <c r="J97" s="3"/>
      <c r="K97" s="3"/>
      <c r="L97" s="3"/>
      <c r="M97" s="3"/>
    </row>
    <row r="98" spans="1:1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48.75" customHeight="1">
      <c r="A99" s="50" t="s">
        <v>202</v>
      </c>
      <c r="B99" s="50"/>
      <c r="C99" s="50"/>
      <c r="D99" s="50"/>
      <c r="E99" s="50"/>
      <c r="F99" s="50"/>
      <c r="G99" s="50"/>
      <c r="H99" s="3"/>
      <c r="I99" s="3"/>
      <c r="J99" s="3"/>
      <c r="K99" s="3"/>
      <c r="L99" s="3"/>
      <c r="M99" s="3"/>
    </row>
    <row r="100" spans="1:13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4.25">
      <c r="A101" s="3" t="s">
        <v>83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>
      <c r="A103" s="3" t="s">
        <v>84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>
      <c r="A105" s="3" t="s">
        <v>85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7.25" customHeight="1">
      <c r="A107" s="4" t="s">
        <v>86</v>
      </c>
      <c r="B107" s="4"/>
      <c r="C107" s="4"/>
      <c r="D107" s="4"/>
      <c r="E107" s="4"/>
      <c r="F107" s="4"/>
      <c r="G107" s="4"/>
      <c r="H107" s="3"/>
      <c r="I107" s="3"/>
      <c r="J107" s="3"/>
      <c r="K107" s="3"/>
      <c r="L107" s="3"/>
      <c r="M107" s="3"/>
    </row>
    <row r="108" spans="1:13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>
      <c r="A109" s="3" t="s">
        <v>87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3.5" customHeight="1">
      <c r="A111" s="4" t="s">
        <v>88</v>
      </c>
      <c r="B111" s="4"/>
      <c r="C111" s="4"/>
      <c r="D111" s="4"/>
      <c r="E111" s="4"/>
      <c r="F111" s="4"/>
      <c r="G111" s="4"/>
      <c r="H111" s="3"/>
      <c r="I111" s="3"/>
      <c r="J111" s="3"/>
      <c r="K111" s="3"/>
      <c r="L111" s="3"/>
      <c r="M111" s="3"/>
    </row>
    <row r="112" spans="1:1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>
      <c r="A113" s="3" t="s">
        <v>5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14.75">
      <c r="A115" s="14" t="s">
        <v>89</v>
      </c>
      <c r="B115" s="14" t="s">
        <v>90</v>
      </c>
      <c r="C115" s="39" t="s">
        <v>91</v>
      </c>
      <c r="D115" s="14" t="s">
        <v>92</v>
      </c>
      <c r="E115" s="14" t="s">
        <v>93</v>
      </c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36">
        <f>C42</f>
        <v>30099.333333333332</v>
      </c>
      <c r="B116" s="36">
        <f>E42</f>
        <v>0.9104449710957053</v>
      </c>
      <c r="C116" s="23">
        <f>C95</f>
        <v>12831.306666666667</v>
      </c>
      <c r="D116" s="23">
        <f>D95</f>
        <v>0.71178721211038</v>
      </c>
      <c r="E116" s="36">
        <f>(A116*B116+C116*D116)*F18</f>
        <v>2740271.0000000005</v>
      </c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09.5" customHeight="1">
      <c r="A118" s="12" t="s">
        <v>203</v>
      </c>
      <c r="B118" s="12"/>
      <c r="C118" s="12"/>
      <c r="D118" s="12"/>
      <c r="E118" s="12"/>
      <c r="F118" s="12"/>
      <c r="G118" s="12"/>
      <c r="H118" s="3"/>
      <c r="I118" s="3"/>
      <c r="J118" s="3"/>
      <c r="K118" s="3"/>
      <c r="L118" s="3"/>
      <c r="M118" s="3"/>
    </row>
    <row r="119" spans="1:13" ht="12.75">
      <c r="A119" s="3"/>
      <c r="B119" s="3"/>
      <c r="C119" s="3"/>
      <c r="D119" s="3" t="s">
        <v>95</v>
      </c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>
      <c r="A121" s="3" t="s">
        <v>96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>
      <c r="A123" s="3" t="s">
        <v>97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>
      <c r="A125" s="3" t="s">
        <v>98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>
      <c r="A127" s="3" t="s">
        <v>99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40.25">
      <c r="A129" s="51" t="s">
        <v>100</v>
      </c>
      <c r="B129" s="52" t="s">
        <v>101</v>
      </c>
      <c r="C129" s="51" t="s">
        <v>102</v>
      </c>
      <c r="D129" s="51" t="s">
        <v>103</v>
      </c>
      <c r="E129" s="53"/>
      <c r="F129" s="53"/>
      <c r="G129" s="53"/>
      <c r="H129" s="3"/>
      <c r="I129" s="3"/>
      <c r="J129" s="3"/>
      <c r="K129" s="3"/>
      <c r="L129" s="3"/>
      <c r="M129" s="3"/>
    </row>
    <row r="130" spans="1:13" ht="12.75">
      <c r="A130" s="65">
        <f>4963964+26158+82249+20809+12000</f>
        <v>5105180</v>
      </c>
      <c r="B130" s="65">
        <f>612000+184824</f>
        <v>796824</v>
      </c>
      <c r="C130" s="66">
        <f>360000+108720</f>
        <v>468720</v>
      </c>
      <c r="D130" s="67">
        <f>A130+B130+C130</f>
        <v>6370724</v>
      </c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>
      <c r="A131" s="58"/>
      <c r="B131" s="58"/>
      <c r="C131" s="58"/>
      <c r="D131" s="58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>
      <c r="A132" s="58"/>
      <c r="B132" s="58"/>
      <c r="C132" s="58"/>
      <c r="D132" s="58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>
      <c r="A133" s="68" t="s">
        <v>107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16" t="s">
        <v>108</v>
      </c>
      <c r="B135" s="16">
        <v>0</v>
      </c>
      <c r="C135" s="16"/>
      <c r="D135" s="18">
        <f>468740+600</f>
        <v>469340</v>
      </c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>
      <c r="A136" s="16" t="s">
        <v>109</v>
      </c>
      <c r="B136" s="16">
        <v>0</v>
      </c>
      <c r="C136" s="16"/>
      <c r="D136" s="18">
        <v>141559</v>
      </c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21" t="s">
        <v>50</v>
      </c>
      <c r="B137" s="21">
        <f>B135+B136</f>
        <v>0</v>
      </c>
      <c r="C137" s="21"/>
      <c r="D137" s="22">
        <f>D135+D136</f>
        <v>610899</v>
      </c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6:13" ht="12.75">
      <c r="F366" s="3"/>
      <c r="G366" s="3"/>
      <c r="H366" s="3"/>
      <c r="I366" s="3"/>
      <c r="J366" s="3"/>
      <c r="K366" s="3"/>
      <c r="L366" s="3"/>
      <c r="M366" s="3"/>
    </row>
  </sheetData>
  <sheetProtection selectLockedCells="1" selectUnlockedCells="1"/>
  <mergeCells count="19">
    <mergeCell ref="A2:G2"/>
    <mergeCell ref="A4:G4"/>
    <mergeCell ref="A5:A6"/>
    <mergeCell ref="B5:C5"/>
    <mergeCell ref="D5:D6"/>
    <mergeCell ref="B6:C6"/>
    <mergeCell ref="A11:G11"/>
    <mergeCell ref="A20:G20"/>
    <mergeCell ref="A44:G44"/>
    <mergeCell ref="A55:G55"/>
    <mergeCell ref="A71:G71"/>
    <mergeCell ref="A80:G80"/>
    <mergeCell ref="A90:G90"/>
    <mergeCell ref="A92:G92"/>
    <mergeCell ref="A97:G97"/>
    <mergeCell ref="A99:G99"/>
    <mergeCell ref="A107:G107"/>
    <mergeCell ref="A111:G111"/>
    <mergeCell ref="A118:G118"/>
  </mergeCells>
  <printOptions/>
  <pageMargins left="0.7083333333333334" right="0.7083333333333334" top="0.7479166666666667" bottom="0.7479166666666667" header="0.5118055555555555" footer="0.5118055555555555"/>
  <pageSetup fitToHeight="3" fitToWidth="1"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M366"/>
  <sheetViews>
    <sheetView workbookViewId="0" topLeftCell="A121">
      <selection activeCell="A130" sqref="A130"/>
    </sheetView>
  </sheetViews>
  <sheetFormatPr defaultColWidth="8.00390625" defaultRowHeight="12.75"/>
  <cols>
    <col min="1" max="1" width="18.00390625" style="0" customWidth="1"/>
    <col min="2" max="2" width="13.625" style="0" customWidth="1"/>
    <col min="3" max="3" width="13.00390625" style="0" customWidth="1"/>
    <col min="4" max="4" width="12.375" style="0" customWidth="1"/>
    <col min="5" max="5" width="15.625" style="0" customWidth="1"/>
    <col min="6" max="6" width="12.75390625" style="0" customWidth="1"/>
    <col min="7" max="7" width="13.625" style="0" customWidth="1"/>
    <col min="8" max="16384" width="9.00390625" style="0" customWidth="1"/>
  </cols>
  <sheetData>
    <row r="2" spans="1:13" ht="59.25" customHeight="1">
      <c r="A2" s="1" t="s">
        <v>204</v>
      </c>
      <c r="B2" s="1"/>
      <c r="C2" s="1"/>
      <c r="D2" s="1"/>
      <c r="E2" s="1"/>
      <c r="F2" s="1"/>
      <c r="G2" s="1"/>
      <c r="H2" s="2"/>
      <c r="I2" s="2"/>
      <c r="J2" s="2"/>
      <c r="K2" s="3"/>
      <c r="L2" s="3"/>
      <c r="M2" s="3"/>
    </row>
    <row r="3" spans="1:1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40.5" customHeight="1">
      <c r="A4" s="4" t="s">
        <v>1</v>
      </c>
      <c r="B4" s="4"/>
      <c r="C4" s="4"/>
      <c r="D4" s="4"/>
      <c r="E4" s="4"/>
      <c r="F4" s="4"/>
      <c r="G4" s="4"/>
      <c r="H4" s="3"/>
      <c r="I4" s="3"/>
      <c r="J4" s="3"/>
      <c r="K4" s="3"/>
      <c r="L4" s="3"/>
      <c r="M4" s="3"/>
    </row>
    <row r="5" spans="1:13" ht="12.75" customHeight="1">
      <c r="A5" s="5" t="s">
        <v>2</v>
      </c>
      <c r="B5" s="6" t="s">
        <v>3</v>
      </c>
      <c r="C5" s="6"/>
      <c r="D5" s="7" t="s">
        <v>4</v>
      </c>
      <c r="E5" s="3"/>
      <c r="F5" s="3"/>
      <c r="G5" s="3"/>
      <c r="H5" s="3"/>
      <c r="I5" s="3"/>
      <c r="J5" s="3"/>
      <c r="K5" s="3"/>
      <c r="L5" s="3"/>
      <c r="M5" s="3"/>
    </row>
    <row r="6" spans="1:13" ht="12.75" customHeight="1">
      <c r="A6" s="5"/>
      <c r="B6" s="8">
        <v>12</v>
      </c>
      <c r="C6" s="8"/>
      <c r="D6" s="7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 s="3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 s="3" t="s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42" customHeight="1">
      <c r="A11" s="4" t="s">
        <v>7</v>
      </c>
      <c r="B11" s="4"/>
      <c r="C11" s="4"/>
      <c r="D11" s="4"/>
      <c r="E11" s="4"/>
      <c r="F11" s="4"/>
      <c r="G11" s="4"/>
      <c r="H11" s="3"/>
      <c r="I11" s="3"/>
      <c r="J11" s="3"/>
      <c r="K11" s="3"/>
      <c r="L11" s="3"/>
      <c r="M11" s="3"/>
    </row>
    <row r="12" spans="1:1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 s="3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3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99" customHeight="1">
      <c r="A17" s="9" t="s">
        <v>10</v>
      </c>
      <c r="B17" s="9" t="s">
        <v>11</v>
      </c>
      <c r="C17" s="10" t="s">
        <v>12</v>
      </c>
      <c r="D17" s="9" t="s">
        <v>13</v>
      </c>
      <c r="E17" s="9" t="s">
        <v>205</v>
      </c>
      <c r="F17" s="9" t="s">
        <v>15</v>
      </c>
      <c r="G17" s="3"/>
      <c r="H17" s="3"/>
      <c r="I17" s="3"/>
      <c r="J17" s="3"/>
      <c r="K17" s="3"/>
      <c r="L17" s="3"/>
      <c r="M17" s="3"/>
    </row>
    <row r="18" spans="1:13" ht="29.25" customHeight="1">
      <c r="A18" s="9">
        <v>48</v>
      </c>
      <c r="B18" s="10">
        <v>0</v>
      </c>
      <c r="C18" s="9">
        <v>10</v>
      </c>
      <c r="D18" s="9">
        <v>0</v>
      </c>
      <c r="E18" s="11">
        <v>0</v>
      </c>
      <c r="F18" s="11">
        <v>41</v>
      </c>
      <c r="G18" s="3"/>
      <c r="H18" s="3"/>
      <c r="I18" s="3"/>
      <c r="J18" s="3"/>
      <c r="K18" s="3"/>
      <c r="L18" s="3"/>
      <c r="M18" s="3"/>
    </row>
    <row r="19" spans="1:1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27" customHeight="1">
      <c r="A20" s="12" t="s">
        <v>16</v>
      </c>
      <c r="B20" s="12"/>
      <c r="C20" s="12"/>
      <c r="D20" s="12"/>
      <c r="E20" s="12"/>
      <c r="F20" s="12"/>
      <c r="G20" s="12"/>
      <c r="H20" s="13"/>
      <c r="I20" s="13"/>
      <c r="J20" s="13"/>
      <c r="K20" s="3"/>
      <c r="L20" s="3"/>
      <c r="M20" s="3"/>
    </row>
    <row r="21" spans="1:13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 s="3" t="s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3" t="s">
        <v>18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3" t="s">
        <v>19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 s="3" t="s">
        <v>20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 t="s">
        <v>21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 s="3" t="s">
        <v>22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s="3" t="s">
        <v>23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63.75" customHeight="1">
      <c r="A36" s="14" t="s">
        <v>24</v>
      </c>
      <c r="B36" s="15" t="s">
        <v>25</v>
      </c>
      <c r="C36" s="14" t="s">
        <v>26</v>
      </c>
      <c r="D36" s="14" t="s">
        <v>27</v>
      </c>
      <c r="E36" s="14" t="s">
        <v>28</v>
      </c>
      <c r="F36" s="14" t="s">
        <v>29</v>
      </c>
      <c r="G36" s="3"/>
      <c r="H36" s="3"/>
      <c r="I36" s="3"/>
      <c r="J36" s="3"/>
      <c r="K36" s="3"/>
      <c r="L36" s="3"/>
      <c r="M36" s="3"/>
    </row>
    <row r="37" spans="1:13" ht="12.75">
      <c r="A37" s="16" t="s">
        <v>30</v>
      </c>
      <c r="B37" s="17">
        <f>F18</f>
        <v>41</v>
      </c>
      <c r="C37" s="18">
        <f>F53</f>
        <v>6825.158536585366</v>
      </c>
      <c r="D37" s="18">
        <f>E53</f>
        <v>279831.5</v>
      </c>
      <c r="E37" s="19">
        <f>G53</f>
        <v>0.952571458181084</v>
      </c>
      <c r="F37" s="18">
        <f aca="true" t="shared" si="0" ref="F37:F40">D37*E37</f>
        <v>266559.5</v>
      </c>
      <c r="G37" s="3"/>
      <c r="H37" s="3"/>
      <c r="I37" s="3"/>
      <c r="J37" s="3"/>
      <c r="K37" s="3"/>
      <c r="L37" s="3"/>
      <c r="M37" s="3"/>
    </row>
    <row r="38" spans="1:13" ht="12.75">
      <c r="A38" s="16" t="s">
        <v>31</v>
      </c>
      <c r="B38" s="17">
        <f aca="true" t="shared" si="1" ref="B38:B41">B37</f>
        <v>41</v>
      </c>
      <c r="C38" s="18">
        <f>F69</f>
        <v>22338.329268292684</v>
      </c>
      <c r="D38" s="18">
        <f>E69</f>
        <v>915871.5</v>
      </c>
      <c r="E38" s="19">
        <f>G69</f>
        <v>0.7312603351015945</v>
      </c>
      <c r="F38" s="18">
        <f t="shared" si="0"/>
        <v>669740.5</v>
      </c>
      <c r="G38" s="3"/>
      <c r="H38" s="3"/>
      <c r="I38" s="3"/>
      <c r="J38" s="3"/>
      <c r="K38" s="3"/>
      <c r="L38" s="3"/>
      <c r="M38" s="3"/>
    </row>
    <row r="39" spans="1:13" ht="12.75">
      <c r="A39" s="16" t="s">
        <v>32</v>
      </c>
      <c r="B39" s="17">
        <f t="shared" si="1"/>
        <v>41</v>
      </c>
      <c r="C39" s="18">
        <f>C78</f>
        <v>1792.8536585365853</v>
      </c>
      <c r="D39" s="18">
        <f>B78</f>
        <v>73507</v>
      </c>
      <c r="E39" s="19">
        <f>D78</f>
        <v>0.7117825513216428</v>
      </c>
      <c r="F39" s="18">
        <f t="shared" si="0"/>
        <v>52321</v>
      </c>
      <c r="G39" s="3"/>
      <c r="H39" s="3"/>
      <c r="I39" s="3"/>
      <c r="J39" s="3"/>
      <c r="K39" s="3"/>
      <c r="L39" s="3"/>
      <c r="M39" s="3"/>
    </row>
    <row r="40" spans="1:13" ht="12.75">
      <c r="A40" s="16" t="s">
        <v>33</v>
      </c>
      <c r="B40" s="17">
        <f t="shared" si="1"/>
        <v>41</v>
      </c>
      <c r="C40" s="18">
        <f>F88</f>
        <v>0</v>
      </c>
      <c r="D40" s="18">
        <f>E88</f>
        <v>0</v>
      </c>
      <c r="E40" s="19">
        <v>0</v>
      </c>
      <c r="F40" s="18">
        <f t="shared" si="0"/>
        <v>0</v>
      </c>
      <c r="G40" s="3"/>
      <c r="H40" s="3"/>
      <c r="I40" s="3"/>
      <c r="J40" s="3"/>
      <c r="K40" s="3"/>
      <c r="L40" s="3"/>
      <c r="M40" s="3"/>
    </row>
    <row r="41" spans="1:13" ht="12.75">
      <c r="A41" s="16" t="s">
        <v>34</v>
      </c>
      <c r="B41" s="17">
        <f t="shared" si="1"/>
        <v>41</v>
      </c>
      <c r="C41" s="18">
        <v>0</v>
      </c>
      <c r="D41" s="18">
        <v>0</v>
      </c>
      <c r="E41" s="19">
        <v>1</v>
      </c>
      <c r="F41" s="18">
        <f>D137</f>
        <v>612893</v>
      </c>
      <c r="G41" s="3"/>
      <c r="H41" s="3"/>
      <c r="I41" s="3"/>
      <c r="J41" s="3"/>
      <c r="K41" s="3"/>
      <c r="L41" s="3"/>
      <c r="M41" s="3"/>
    </row>
    <row r="42" spans="1:13" ht="12.75">
      <c r="A42" s="20" t="s">
        <v>35</v>
      </c>
      <c r="B42" s="21"/>
      <c r="C42" s="22">
        <f>D42/B40</f>
        <v>30956.341463414636</v>
      </c>
      <c r="D42" s="22">
        <f>SUM(D37:D40)</f>
        <v>1269210</v>
      </c>
      <c r="E42" s="23">
        <f>F42/D42</f>
        <v>1.2618195570472972</v>
      </c>
      <c r="F42" s="18">
        <f>F37+F38+F39+F40+F41</f>
        <v>1601514</v>
      </c>
      <c r="G42" s="24">
        <f>F42+E95</f>
        <v>1922336</v>
      </c>
      <c r="H42" s="3"/>
      <c r="I42" s="3"/>
      <c r="J42" s="3"/>
      <c r="K42" s="3"/>
      <c r="L42" s="3"/>
      <c r="M42" s="3"/>
    </row>
    <row r="43" spans="1:13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30.75" customHeight="1">
      <c r="A44" s="25" t="s">
        <v>206</v>
      </c>
      <c r="B44" s="25"/>
      <c r="C44" s="25"/>
      <c r="D44" s="25"/>
      <c r="E44" s="25"/>
      <c r="F44" s="25"/>
      <c r="G44" s="25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3" t="s">
        <v>37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63.75">
      <c r="A48" s="14" t="s">
        <v>38</v>
      </c>
      <c r="B48" s="14" t="s">
        <v>39</v>
      </c>
      <c r="C48" s="14" t="s">
        <v>40</v>
      </c>
      <c r="D48" s="14" t="s">
        <v>41</v>
      </c>
      <c r="E48" s="14" t="s">
        <v>42</v>
      </c>
      <c r="F48" s="14" t="s">
        <v>26</v>
      </c>
      <c r="G48" s="14" t="s">
        <v>28</v>
      </c>
      <c r="H48" s="3"/>
      <c r="I48" s="3"/>
      <c r="J48" s="3"/>
      <c r="K48" s="3"/>
      <c r="L48" s="3"/>
      <c r="M48" s="3"/>
    </row>
    <row r="49" spans="1:13" ht="25.5">
      <c r="A49" s="26" t="s">
        <v>43</v>
      </c>
      <c r="B49" s="27" t="s">
        <v>44</v>
      </c>
      <c r="C49" s="19">
        <v>0</v>
      </c>
      <c r="D49" s="19">
        <v>0</v>
      </c>
      <c r="E49" s="19">
        <v>0</v>
      </c>
      <c r="F49" s="19">
        <f aca="true" t="shared" si="2" ref="F49:F52">E49/$B$40</f>
        <v>0</v>
      </c>
      <c r="G49" s="19">
        <v>0</v>
      </c>
      <c r="H49" s="3"/>
      <c r="I49" s="3"/>
      <c r="J49" s="3"/>
      <c r="K49" s="3"/>
      <c r="L49" s="3"/>
      <c r="M49" s="3"/>
    </row>
    <row r="50" spans="1:13" ht="25.5">
      <c r="A50" s="26" t="s">
        <v>45</v>
      </c>
      <c r="B50" s="27" t="s">
        <v>46</v>
      </c>
      <c r="C50" s="19">
        <f>13000/2</f>
        <v>6500</v>
      </c>
      <c r="D50" s="19">
        <f aca="true" t="shared" si="3" ref="D50:D52">E50/C50</f>
        <v>5.668846153846154</v>
      </c>
      <c r="E50" s="19">
        <f>73695/2</f>
        <v>36847.5</v>
      </c>
      <c r="F50" s="19">
        <f t="shared" si="2"/>
        <v>898.719512195122</v>
      </c>
      <c r="G50" s="19">
        <f>(73695/2/E50)</f>
        <v>1</v>
      </c>
      <c r="H50" s="3"/>
      <c r="I50" s="3"/>
      <c r="J50" s="3"/>
      <c r="K50" s="3"/>
      <c r="L50" s="3"/>
      <c r="M50" s="3"/>
    </row>
    <row r="51" spans="1:13" ht="25.5">
      <c r="A51" s="26" t="s">
        <v>47</v>
      </c>
      <c r="B51" s="27" t="s">
        <v>48</v>
      </c>
      <c r="C51" s="19">
        <f>10700*90%</f>
        <v>9630</v>
      </c>
      <c r="D51" s="19">
        <f t="shared" si="3"/>
        <v>23.394392523364488</v>
      </c>
      <c r="E51" s="19">
        <f>250320*90%</f>
        <v>225288</v>
      </c>
      <c r="F51" s="19">
        <f t="shared" si="2"/>
        <v>5494.829268292683</v>
      </c>
      <c r="G51" s="19">
        <f>(250320*90%/E51)</f>
        <v>1</v>
      </c>
      <c r="H51" s="3"/>
      <c r="I51" s="3"/>
      <c r="J51" s="3"/>
      <c r="K51" s="3"/>
      <c r="L51" s="3"/>
      <c r="M51" s="3"/>
    </row>
    <row r="52" spans="1:13" ht="25.5">
      <c r="A52" s="26" t="s">
        <v>49</v>
      </c>
      <c r="B52" s="27" t="s">
        <v>46</v>
      </c>
      <c r="C52" s="19">
        <v>300</v>
      </c>
      <c r="D52" s="19">
        <f t="shared" si="3"/>
        <v>58.986666666666665</v>
      </c>
      <c r="E52" s="19">
        <v>17696</v>
      </c>
      <c r="F52" s="19">
        <f t="shared" si="2"/>
        <v>431.609756097561</v>
      </c>
      <c r="G52" s="19">
        <f>(4424/E52)</f>
        <v>0.25</v>
      </c>
      <c r="H52" s="3"/>
      <c r="I52" s="3"/>
      <c r="J52" s="3"/>
      <c r="K52" s="3"/>
      <c r="L52" s="3"/>
      <c r="M52" s="3"/>
    </row>
    <row r="53" spans="1:13" ht="20.25" customHeight="1">
      <c r="A53" s="28" t="s">
        <v>50</v>
      </c>
      <c r="B53" s="29"/>
      <c r="C53" s="23"/>
      <c r="D53" s="23"/>
      <c r="E53" s="23">
        <f>E49+E50+E51+E52</f>
        <v>279831.5</v>
      </c>
      <c r="F53" s="23">
        <f>F49+F50+F51+F52</f>
        <v>6825.158536585366</v>
      </c>
      <c r="G53" s="23">
        <f>(73695/2+250320*90%+4424)/E53</f>
        <v>0.952571458181084</v>
      </c>
      <c r="H53" s="3"/>
      <c r="I53" s="3"/>
      <c r="J53" s="3"/>
      <c r="K53" s="3"/>
      <c r="L53" s="3"/>
      <c r="M53" s="3"/>
    </row>
    <row r="54" spans="1:13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24.75" customHeight="1">
      <c r="A55" s="25" t="s">
        <v>207</v>
      </c>
      <c r="B55" s="25"/>
      <c r="C55" s="25"/>
      <c r="D55" s="25"/>
      <c r="E55" s="25"/>
      <c r="F55" s="25"/>
      <c r="G55" s="25"/>
      <c r="H55" s="3"/>
      <c r="I55" s="3"/>
      <c r="J55" s="3"/>
      <c r="K55" s="3"/>
      <c r="L55" s="3"/>
      <c r="M55" s="3"/>
    </row>
    <row r="56" spans="1:1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75">
      <c r="A57" s="3" t="s">
        <v>52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63.75">
      <c r="A59" s="14" t="s">
        <v>38</v>
      </c>
      <c r="B59" s="14" t="s">
        <v>39</v>
      </c>
      <c r="C59" s="14" t="s">
        <v>53</v>
      </c>
      <c r="D59" s="14" t="s">
        <v>54</v>
      </c>
      <c r="E59" s="14" t="s">
        <v>42</v>
      </c>
      <c r="F59" s="14" t="s">
        <v>26</v>
      </c>
      <c r="G59" s="14" t="s">
        <v>28</v>
      </c>
      <c r="H59" s="3"/>
      <c r="I59" s="3"/>
      <c r="J59" s="3"/>
      <c r="K59" s="3"/>
      <c r="L59" s="3"/>
      <c r="M59" s="3"/>
    </row>
    <row r="60" spans="1:13" ht="45.75" customHeight="1">
      <c r="A60" s="26" t="s">
        <v>55</v>
      </c>
      <c r="B60" s="30"/>
      <c r="C60" s="19"/>
      <c r="D60" s="19"/>
      <c r="E60" s="19">
        <v>37568</v>
      </c>
      <c r="F60" s="19">
        <f aca="true" t="shared" si="4" ref="F60:F68">E60/$B$40</f>
        <v>916.2926829268292</v>
      </c>
      <c r="G60" s="19">
        <f>(26740/E60)</f>
        <v>0.7117759795570698</v>
      </c>
      <c r="H60" s="3"/>
      <c r="I60" s="3"/>
      <c r="J60" s="3"/>
      <c r="K60" s="3"/>
      <c r="L60" s="3"/>
      <c r="M60" s="3"/>
    </row>
    <row r="61" spans="1:13" ht="25.5">
      <c r="A61" s="26" t="s">
        <v>56</v>
      </c>
      <c r="B61" s="30" t="s">
        <v>57</v>
      </c>
      <c r="C61" s="19">
        <v>1</v>
      </c>
      <c r="D61" s="19">
        <f>E61/C61</f>
        <v>0</v>
      </c>
      <c r="E61" s="19">
        <v>0</v>
      </c>
      <c r="F61" s="19">
        <f t="shared" si="4"/>
        <v>0</v>
      </c>
      <c r="G61" s="19" t="e">
        <f aca="true" t="shared" si="5" ref="G61:G62">(0/E61)</f>
        <v>#DIV/0!</v>
      </c>
      <c r="H61" s="3"/>
      <c r="I61" s="3"/>
      <c r="J61" s="3"/>
      <c r="K61" s="3"/>
      <c r="L61" s="3"/>
      <c r="M61" s="3"/>
    </row>
    <row r="62" spans="1:13" ht="18" customHeight="1">
      <c r="A62" s="26" t="s">
        <v>58</v>
      </c>
      <c r="B62" s="30"/>
      <c r="C62" s="19"/>
      <c r="D62" s="19"/>
      <c r="E62" s="19">
        <v>0</v>
      </c>
      <c r="F62" s="19">
        <f t="shared" si="4"/>
        <v>0</v>
      </c>
      <c r="G62" s="19" t="e">
        <f t="shared" si="5"/>
        <v>#DIV/0!</v>
      </c>
      <c r="H62" s="3"/>
      <c r="I62" s="3"/>
      <c r="J62" s="3"/>
      <c r="K62" s="3"/>
      <c r="L62" s="3"/>
      <c r="M62" s="3"/>
    </row>
    <row r="63" spans="1:13" ht="18" customHeight="1">
      <c r="A63" s="26" t="s">
        <v>59</v>
      </c>
      <c r="B63" s="30"/>
      <c r="C63" s="19"/>
      <c r="D63" s="19"/>
      <c r="E63" s="19">
        <v>809640</v>
      </c>
      <c r="F63" s="19">
        <f t="shared" si="4"/>
        <v>19747.317073170732</v>
      </c>
      <c r="G63" s="19">
        <f>(576292/E63)</f>
        <v>0.7117879551405563</v>
      </c>
      <c r="H63" s="3"/>
      <c r="I63" s="3"/>
      <c r="J63" s="3"/>
      <c r="K63" s="3"/>
      <c r="L63" s="3"/>
      <c r="M63" s="3"/>
    </row>
    <row r="64" spans="1:13" ht="25.5">
      <c r="A64" s="26" t="s">
        <v>43</v>
      </c>
      <c r="B64" s="27" t="s">
        <v>44</v>
      </c>
      <c r="C64" s="19">
        <v>0</v>
      </c>
      <c r="D64" s="19">
        <v>0</v>
      </c>
      <c r="E64" s="19">
        <v>0</v>
      </c>
      <c r="F64" s="19">
        <f t="shared" si="4"/>
        <v>0</v>
      </c>
      <c r="G64" s="19">
        <v>0</v>
      </c>
      <c r="H64" s="3"/>
      <c r="I64" s="3"/>
      <c r="J64" s="3"/>
      <c r="K64" s="3"/>
      <c r="L64" s="3"/>
      <c r="M64" s="3"/>
    </row>
    <row r="65" spans="1:13" ht="25.5">
      <c r="A65" s="26" t="s">
        <v>45</v>
      </c>
      <c r="B65" s="27" t="s">
        <v>46</v>
      </c>
      <c r="C65" s="19">
        <f>13000/2</f>
        <v>6500</v>
      </c>
      <c r="D65" s="19">
        <f aca="true" t="shared" si="6" ref="D65:D66">E65/C65</f>
        <v>5.668846153846154</v>
      </c>
      <c r="E65" s="19">
        <f>73695/2</f>
        <v>36847.5</v>
      </c>
      <c r="F65" s="19">
        <f t="shared" si="4"/>
        <v>898.719512195122</v>
      </c>
      <c r="G65" s="19">
        <f>(73695/2/E65)</f>
        <v>1</v>
      </c>
      <c r="H65" s="3"/>
      <c r="I65" s="3"/>
      <c r="J65" s="3"/>
      <c r="K65" s="3"/>
      <c r="L65" s="3"/>
      <c r="M65" s="3"/>
    </row>
    <row r="66" spans="1:13" ht="25.5">
      <c r="A66" s="26" t="s">
        <v>47</v>
      </c>
      <c r="B66" s="27" t="s">
        <v>48</v>
      </c>
      <c r="C66" s="19">
        <f>10700*10%</f>
        <v>1070</v>
      </c>
      <c r="D66" s="19">
        <f t="shared" si="6"/>
        <v>23.394392523364488</v>
      </c>
      <c r="E66" s="19">
        <f>250320*10%</f>
        <v>25032</v>
      </c>
      <c r="F66" s="19">
        <f t="shared" si="4"/>
        <v>610.5365853658536</v>
      </c>
      <c r="G66" s="19">
        <f>(250320*10%/E66)</f>
        <v>1</v>
      </c>
      <c r="H66" s="3"/>
      <c r="I66" s="3"/>
      <c r="J66" s="3"/>
      <c r="K66" s="3"/>
      <c r="L66" s="3"/>
      <c r="M66" s="3"/>
    </row>
    <row r="67" spans="1:13" ht="25.5" customHeight="1">
      <c r="A67" s="26" t="s">
        <v>60</v>
      </c>
      <c r="B67" s="30"/>
      <c r="C67" s="19"/>
      <c r="D67" s="19"/>
      <c r="E67" s="19">
        <v>3492</v>
      </c>
      <c r="F67" s="19">
        <f t="shared" si="4"/>
        <v>85.17073170731707</v>
      </c>
      <c r="G67" s="19">
        <f>(2486/E67)</f>
        <v>0.7119129438717068</v>
      </c>
      <c r="H67" s="3"/>
      <c r="I67" s="3"/>
      <c r="J67" s="3"/>
      <c r="K67" s="3"/>
      <c r="L67" s="3"/>
      <c r="M67" s="3"/>
    </row>
    <row r="68" spans="1:13" ht="12.75">
      <c r="A68" s="26" t="s">
        <v>61</v>
      </c>
      <c r="B68" s="30"/>
      <c r="C68" s="19"/>
      <c r="D68" s="19"/>
      <c r="E68" s="19">
        <v>3292</v>
      </c>
      <c r="F68" s="19">
        <f t="shared" si="4"/>
        <v>80.29268292682927</v>
      </c>
      <c r="G68" s="19">
        <f>(2343/E68)</f>
        <v>0.7117253948967193</v>
      </c>
      <c r="H68" s="3"/>
      <c r="I68" s="3"/>
      <c r="J68" s="3"/>
      <c r="K68" s="3"/>
      <c r="L68" s="3"/>
      <c r="M68" s="3"/>
    </row>
    <row r="69" spans="1:13" ht="24.75" customHeight="1">
      <c r="A69" s="28" t="s">
        <v>50</v>
      </c>
      <c r="B69" s="31"/>
      <c r="C69" s="23"/>
      <c r="D69" s="23"/>
      <c r="E69" s="23">
        <f>SUM(E60:E68)</f>
        <v>915871.5</v>
      </c>
      <c r="F69" s="23">
        <f>SUM(F60:F68)</f>
        <v>22338.329268292684</v>
      </c>
      <c r="G69" s="23">
        <f>(26740+576292+73695/2+250320*10%+2343+2486)/E69</f>
        <v>0.7312603351015945</v>
      </c>
      <c r="H69" s="3"/>
      <c r="I69" s="3"/>
      <c r="J69" s="3"/>
      <c r="K69" s="3"/>
      <c r="L69" s="3"/>
      <c r="M69" s="3"/>
    </row>
    <row r="70" spans="1:13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26.25" customHeight="1">
      <c r="A71" s="25" t="s">
        <v>138</v>
      </c>
      <c r="B71" s="25"/>
      <c r="C71" s="25"/>
      <c r="D71" s="25"/>
      <c r="E71" s="25"/>
      <c r="F71" s="25"/>
      <c r="G71" s="25"/>
      <c r="H71" s="3"/>
      <c r="I71" s="3"/>
      <c r="J71" s="3"/>
      <c r="K71" s="3"/>
      <c r="L71" s="3"/>
      <c r="M71" s="3"/>
    </row>
    <row r="72" spans="1:13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>
      <c r="A73" s="3" t="s">
        <v>63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63.75">
      <c r="A75" s="14" t="s">
        <v>38</v>
      </c>
      <c r="B75" s="14" t="s">
        <v>42</v>
      </c>
      <c r="C75" s="14" t="s">
        <v>26</v>
      </c>
      <c r="D75" s="14" t="s">
        <v>28</v>
      </c>
      <c r="E75" s="32"/>
      <c r="F75" s="32"/>
      <c r="G75" s="32"/>
      <c r="H75" s="3"/>
      <c r="I75" s="3"/>
      <c r="J75" s="3"/>
      <c r="K75" s="3"/>
      <c r="L75" s="3"/>
      <c r="M75" s="3"/>
    </row>
    <row r="76" spans="1:13" ht="51">
      <c r="A76" s="26" t="s">
        <v>64</v>
      </c>
      <c r="B76" s="33">
        <v>0</v>
      </c>
      <c r="C76" s="19">
        <f aca="true" t="shared" si="7" ref="C76:C77">B76/$B$40</f>
        <v>0</v>
      </c>
      <c r="D76" s="19" t="e">
        <f>(0/B76)</f>
        <v>#DIV/0!</v>
      </c>
      <c r="E76" s="34"/>
      <c r="F76" s="35"/>
      <c r="G76" s="35"/>
      <c r="H76" s="3"/>
      <c r="I76" s="3"/>
      <c r="J76" s="3"/>
      <c r="K76" s="3"/>
      <c r="L76" s="3"/>
      <c r="M76" s="3"/>
    </row>
    <row r="77" spans="1:13" ht="19.5" customHeight="1">
      <c r="A77" s="26" t="s">
        <v>65</v>
      </c>
      <c r="B77" s="33">
        <f>56052+17455</f>
        <v>73507</v>
      </c>
      <c r="C77" s="19">
        <f t="shared" si="7"/>
        <v>1792.8536585365853</v>
      </c>
      <c r="D77" s="19">
        <f aca="true" t="shared" si="8" ref="D77:D78">(39897+12424)/B77</f>
        <v>0.7117825513216428</v>
      </c>
      <c r="E77" s="34"/>
      <c r="F77" s="35"/>
      <c r="G77" s="35"/>
      <c r="H77" s="3"/>
      <c r="I77" s="3"/>
      <c r="J77" s="3"/>
      <c r="K77" s="3"/>
      <c r="L77" s="3"/>
      <c r="M77" s="3"/>
    </row>
    <row r="78" spans="1:13" ht="27" customHeight="1">
      <c r="A78" s="28" t="s">
        <v>50</v>
      </c>
      <c r="B78" s="36">
        <f>SUM(B76:B77)</f>
        <v>73507</v>
      </c>
      <c r="C78" s="36">
        <f>SUM(C76:C77)</f>
        <v>1792.8536585365853</v>
      </c>
      <c r="D78" s="36">
        <f t="shared" si="8"/>
        <v>0.7117825513216428</v>
      </c>
      <c r="E78" s="37"/>
      <c r="F78" s="37"/>
      <c r="G78" s="37"/>
      <c r="H78" s="3"/>
      <c r="I78" s="3"/>
      <c r="J78" s="3"/>
      <c r="K78" s="3"/>
      <c r="L78" s="3"/>
      <c r="M78" s="3"/>
    </row>
    <row r="79" spans="1:13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29.25" customHeight="1">
      <c r="A80" s="25" t="s">
        <v>66</v>
      </c>
      <c r="B80" s="25"/>
      <c r="C80" s="25"/>
      <c r="D80" s="25"/>
      <c r="E80" s="25"/>
      <c r="F80" s="25"/>
      <c r="G80" s="25"/>
      <c r="H80" s="3"/>
      <c r="I80" s="3"/>
      <c r="J80" s="3"/>
      <c r="K80" s="3"/>
      <c r="L80" s="3"/>
      <c r="M80" s="3"/>
    </row>
    <row r="81" spans="1:13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 hidden="1">
      <c r="A82" s="3" t="s">
        <v>67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63.75" hidden="1">
      <c r="A84" s="38" t="s">
        <v>68</v>
      </c>
      <c r="B84" s="10" t="s">
        <v>69</v>
      </c>
      <c r="C84" s="14" t="s">
        <v>54</v>
      </c>
      <c r="D84" s="10" t="s">
        <v>70</v>
      </c>
      <c r="E84" s="39" t="s">
        <v>71</v>
      </c>
      <c r="F84" s="14" t="s">
        <v>26</v>
      </c>
      <c r="G84" s="14" t="s">
        <v>28</v>
      </c>
      <c r="H84" s="3"/>
      <c r="I84" s="3"/>
      <c r="J84" s="3"/>
      <c r="K84" s="3"/>
      <c r="L84" s="3"/>
      <c r="M84" s="3"/>
    </row>
    <row r="85" spans="1:13" ht="12.75" hidden="1">
      <c r="A85" s="40" t="s">
        <v>72</v>
      </c>
      <c r="B85" s="41">
        <v>1</v>
      </c>
      <c r="C85" s="42">
        <f aca="true" t="shared" si="9" ref="C85:C86">E85/D85/B85</f>
        <v>0</v>
      </c>
      <c r="D85" s="43">
        <v>12</v>
      </c>
      <c r="E85" s="44">
        <v>0</v>
      </c>
      <c r="F85" s="19">
        <f aca="true" t="shared" si="10" ref="F85:F88">E85/$B$40</f>
        <v>0</v>
      </c>
      <c r="G85" s="72" t="e">
        <f aca="true" t="shared" si="11" ref="G85:G87">(0/E85)</f>
        <v>#DIV/0!</v>
      </c>
      <c r="H85" s="3"/>
      <c r="I85" s="3"/>
      <c r="J85" s="3"/>
      <c r="K85" s="3"/>
      <c r="L85" s="3"/>
      <c r="M85" s="3"/>
    </row>
    <row r="86" spans="1:13" ht="12.75" hidden="1">
      <c r="A86" s="40" t="s">
        <v>73</v>
      </c>
      <c r="B86" s="39">
        <v>1</v>
      </c>
      <c r="C86" s="42">
        <f t="shared" si="9"/>
        <v>0</v>
      </c>
      <c r="D86" s="43">
        <v>12</v>
      </c>
      <c r="E86" s="44">
        <v>0</v>
      </c>
      <c r="F86" s="19">
        <f t="shared" si="10"/>
        <v>0</v>
      </c>
      <c r="G86" s="72" t="e">
        <f t="shared" si="11"/>
        <v>#DIV/0!</v>
      </c>
      <c r="H86" s="3"/>
      <c r="I86" s="3"/>
      <c r="J86" s="3"/>
      <c r="K86" s="3"/>
      <c r="L86" s="3"/>
      <c r="M86" s="3"/>
    </row>
    <row r="87" spans="1:13" ht="12.75" hidden="1">
      <c r="A87" s="40" t="s">
        <v>74</v>
      </c>
      <c r="B87" s="41"/>
      <c r="C87" s="41"/>
      <c r="D87" s="43"/>
      <c r="E87" s="44">
        <v>0</v>
      </c>
      <c r="F87" s="19">
        <f t="shared" si="10"/>
        <v>0</v>
      </c>
      <c r="G87" s="72" t="e">
        <f t="shared" si="11"/>
        <v>#DIV/0!</v>
      </c>
      <c r="H87" s="3"/>
      <c r="I87" s="3"/>
      <c r="J87" s="3"/>
      <c r="K87" s="3"/>
      <c r="L87" s="3"/>
      <c r="M87" s="3"/>
    </row>
    <row r="88" spans="1:13" ht="12.75" hidden="1">
      <c r="A88" s="45" t="s">
        <v>75</v>
      </c>
      <c r="B88" s="46"/>
      <c r="C88" s="46"/>
      <c r="D88" s="46"/>
      <c r="E88" s="47">
        <f>E85+E86+E87</f>
        <v>0</v>
      </c>
      <c r="F88" s="23">
        <f t="shared" si="10"/>
        <v>0</v>
      </c>
      <c r="G88" s="73" t="e">
        <f>0/E88</f>
        <v>#DIV/0!</v>
      </c>
      <c r="H88" s="3"/>
      <c r="I88" s="3"/>
      <c r="J88" s="3"/>
      <c r="K88" s="3"/>
      <c r="L88" s="3"/>
      <c r="M88" s="3"/>
    </row>
    <row r="89" spans="1:13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24" customHeight="1" hidden="1">
      <c r="A90" s="25" t="s">
        <v>76</v>
      </c>
      <c r="B90" s="25"/>
      <c r="C90" s="25"/>
      <c r="D90" s="25"/>
      <c r="E90" s="25"/>
      <c r="F90" s="25"/>
      <c r="G90" s="25"/>
      <c r="H90" s="3"/>
      <c r="I90" s="3"/>
      <c r="J90" s="3"/>
      <c r="K90" s="3"/>
      <c r="L90" s="3"/>
      <c r="M90" s="3"/>
    </row>
    <row r="91" spans="1:1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45" customHeight="1">
      <c r="A92" s="12" t="s">
        <v>77</v>
      </c>
      <c r="B92" s="12"/>
      <c r="C92" s="12"/>
      <c r="D92" s="12"/>
      <c r="E92" s="12"/>
      <c r="F92" s="12"/>
      <c r="G92" s="12"/>
      <c r="H92" s="13"/>
      <c r="I92" s="13"/>
      <c r="J92" s="13"/>
      <c r="K92" s="3"/>
      <c r="L92" s="3"/>
      <c r="M92" s="3"/>
    </row>
    <row r="93" spans="1:1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63.75">
      <c r="A94" s="14" t="s">
        <v>38</v>
      </c>
      <c r="B94" s="39" t="s">
        <v>71</v>
      </c>
      <c r="C94" s="14" t="s">
        <v>26</v>
      </c>
      <c r="D94" s="14" t="s">
        <v>28</v>
      </c>
      <c r="E94" s="48" t="s">
        <v>78</v>
      </c>
      <c r="F94" s="16" t="s">
        <v>79</v>
      </c>
      <c r="G94" s="3"/>
      <c r="H94" s="3"/>
      <c r="I94" s="3"/>
      <c r="J94" s="3"/>
      <c r="K94" s="3"/>
      <c r="L94" s="3"/>
      <c r="M94" s="3"/>
    </row>
    <row r="95" spans="1:13" ht="12.75">
      <c r="A95" s="49" t="s">
        <v>80</v>
      </c>
      <c r="B95" s="36">
        <v>450727</v>
      </c>
      <c r="C95" s="23">
        <f>B95/$B$40</f>
        <v>10993.341463414634</v>
      </c>
      <c r="D95" s="23">
        <f>320822/B95</f>
        <v>0.7117878449704589</v>
      </c>
      <c r="E95" s="18">
        <f>B95*D95</f>
        <v>320822</v>
      </c>
      <c r="F95" s="18">
        <f>E95-B95</f>
        <v>-129905</v>
      </c>
      <c r="G95" s="3"/>
      <c r="H95" s="3"/>
      <c r="I95" s="3"/>
      <c r="J95" s="3"/>
      <c r="K95" s="3"/>
      <c r="L95" s="3"/>
      <c r="M95" s="3"/>
    </row>
    <row r="96" spans="1:1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34.5" customHeight="1">
      <c r="A97" s="25" t="s">
        <v>81</v>
      </c>
      <c r="B97" s="25"/>
      <c r="C97" s="25"/>
      <c r="D97" s="25"/>
      <c r="E97" s="25"/>
      <c r="F97" s="25"/>
      <c r="G97" s="25"/>
      <c r="H97" s="3"/>
      <c r="I97" s="3"/>
      <c r="J97" s="3"/>
      <c r="K97" s="3"/>
      <c r="L97" s="3"/>
      <c r="M97" s="3"/>
    </row>
    <row r="98" spans="1:1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48.75" customHeight="1">
      <c r="A99" s="50" t="s">
        <v>208</v>
      </c>
      <c r="B99" s="50"/>
      <c r="C99" s="50"/>
      <c r="D99" s="50"/>
      <c r="E99" s="50"/>
      <c r="F99" s="50"/>
      <c r="G99" s="50"/>
      <c r="H99" s="3"/>
      <c r="I99" s="3"/>
      <c r="J99" s="3"/>
      <c r="K99" s="3"/>
      <c r="L99" s="3"/>
      <c r="M99" s="3"/>
    </row>
    <row r="100" spans="1:13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4.25">
      <c r="A101" s="3" t="s">
        <v>83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>
      <c r="A103" s="3" t="s">
        <v>84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>
      <c r="A105" s="3" t="s">
        <v>85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7.25" customHeight="1">
      <c r="A107" s="4" t="s">
        <v>86</v>
      </c>
      <c r="B107" s="4"/>
      <c r="C107" s="4"/>
      <c r="D107" s="4"/>
      <c r="E107" s="4"/>
      <c r="F107" s="4"/>
      <c r="G107" s="4"/>
      <c r="H107" s="3"/>
      <c r="I107" s="3"/>
      <c r="J107" s="3"/>
      <c r="K107" s="3"/>
      <c r="L107" s="3"/>
      <c r="M107" s="3"/>
    </row>
    <row r="108" spans="1:13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>
      <c r="A109" s="3" t="s">
        <v>87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3.5" customHeight="1">
      <c r="A111" s="4" t="s">
        <v>88</v>
      </c>
      <c r="B111" s="4"/>
      <c r="C111" s="4"/>
      <c r="D111" s="4"/>
      <c r="E111" s="4"/>
      <c r="F111" s="4"/>
      <c r="G111" s="4"/>
      <c r="H111" s="3"/>
      <c r="I111" s="3"/>
      <c r="J111" s="3"/>
      <c r="K111" s="3"/>
      <c r="L111" s="3"/>
      <c r="M111" s="3"/>
    </row>
    <row r="112" spans="1:1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>
      <c r="A113" s="3" t="s">
        <v>5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14.75">
      <c r="A115" s="14" t="s">
        <v>89</v>
      </c>
      <c r="B115" s="14" t="s">
        <v>90</v>
      </c>
      <c r="C115" s="39" t="s">
        <v>91</v>
      </c>
      <c r="D115" s="14" t="s">
        <v>92</v>
      </c>
      <c r="E115" s="14" t="s">
        <v>93</v>
      </c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36">
        <f>C42</f>
        <v>30956.341463414636</v>
      </c>
      <c r="B116" s="36">
        <f>E42</f>
        <v>1.2618195570472972</v>
      </c>
      <c r="C116" s="23">
        <f>C95</f>
        <v>10993.341463414634</v>
      </c>
      <c r="D116" s="23">
        <f>D95</f>
        <v>0.7117878449704589</v>
      </c>
      <c r="E116" s="36">
        <f>(A116*B116+C116*D116)*F18</f>
        <v>1922336</v>
      </c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00.5" customHeight="1">
      <c r="A118" s="12" t="s">
        <v>209</v>
      </c>
      <c r="B118" s="12"/>
      <c r="C118" s="12"/>
      <c r="D118" s="12"/>
      <c r="E118" s="12"/>
      <c r="F118" s="12"/>
      <c r="G118" s="12"/>
      <c r="H118" s="3"/>
      <c r="I118" s="3"/>
      <c r="J118" s="3"/>
      <c r="K118" s="3"/>
      <c r="L118" s="3"/>
      <c r="M118" s="3"/>
    </row>
    <row r="119" spans="1:13" ht="12.75">
      <c r="A119" s="3"/>
      <c r="B119" s="3"/>
      <c r="C119" s="3"/>
      <c r="D119" s="3" t="s">
        <v>95</v>
      </c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>
      <c r="A121" s="3" t="s">
        <v>96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>
      <c r="A123" s="3" t="s">
        <v>97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>
      <c r="A125" s="3" t="s">
        <v>98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>
      <c r="A127" s="3" t="s">
        <v>99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40.25">
      <c r="A129" s="51" t="s">
        <v>100</v>
      </c>
      <c r="B129" s="52" t="s">
        <v>101</v>
      </c>
      <c r="C129" s="51" t="s">
        <v>102</v>
      </c>
      <c r="D129" s="51" t="s">
        <v>103</v>
      </c>
      <c r="E129" s="53"/>
      <c r="F129" s="53"/>
      <c r="G129" s="53"/>
      <c r="H129" s="3"/>
      <c r="I129" s="3"/>
      <c r="J129" s="3"/>
      <c r="K129" s="3"/>
      <c r="L129" s="3"/>
      <c r="M129" s="3"/>
    </row>
    <row r="130" spans="1:13" ht="12.75">
      <c r="A130" s="65">
        <f>3287845+27092+41333+6186</f>
        <v>3362456</v>
      </c>
      <c r="B130" s="65">
        <f>360000+108720</f>
        <v>468720</v>
      </c>
      <c r="C130" s="66">
        <f>216000+65232</f>
        <v>281232</v>
      </c>
      <c r="D130" s="67">
        <f>A130+B130+C130</f>
        <v>4112408</v>
      </c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>
      <c r="A131" s="58"/>
      <c r="B131" s="58"/>
      <c r="C131" s="58"/>
      <c r="D131" s="58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>
      <c r="A132" s="58"/>
      <c r="B132" s="58"/>
      <c r="C132" s="58"/>
      <c r="D132" s="58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>
      <c r="A133" s="68" t="s">
        <v>107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16" t="s">
        <v>108</v>
      </c>
      <c r="B135" s="16">
        <v>0</v>
      </c>
      <c r="C135" s="16"/>
      <c r="D135" s="18">
        <v>470732</v>
      </c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>
      <c r="A136" s="16" t="s">
        <v>109</v>
      </c>
      <c r="B136" s="16">
        <v>0</v>
      </c>
      <c r="C136" s="16"/>
      <c r="D136" s="18">
        <v>142161</v>
      </c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21" t="s">
        <v>50</v>
      </c>
      <c r="B137" s="21">
        <f>B135+B136</f>
        <v>0</v>
      </c>
      <c r="C137" s="21"/>
      <c r="D137" s="22">
        <f>D135+D136</f>
        <v>612893</v>
      </c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6:13" ht="12.75">
      <c r="F366" s="3"/>
      <c r="G366" s="3"/>
      <c r="H366" s="3"/>
      <c r="I366" s="3"/>
      <c r="J366" s="3"/>
      <c r="K366" s="3"/>
      <c r="L366" s="3"/>
      <c r="M366" s="3"/>
    </row>
  </sheetData>
  <sheetProtection selectLockedCells="1" selectUnlockedCells="1"/>
  <mergeCells count="19">
    <mergeCell ref="A2:G2"/>
    <mergeCell ref="A4:G4"/>
    <mergeCell ref="A5:A6"/>
    <mergeCell ref="B5:C5"/>
    <mergeCell ref="D5:D6"/>
    <mergeCell ref="B6:C6"/>
    <mergeCell ref="A11:G11"/>
    <mergeCell ref="A20:G20"/>
    <mergeCell ref="A44:G44"/>
    <mergeCell ref="A55:G55"/>
    <mergeCell ref="A71:G71"/>
    <mergeCell ref="A80:G80"/>
    <mergeCell ref="A90:G90"/>
    <mergeCell ref="A92:G92"/>
    <mergeCell ref="A97:G97"/>
    <mergeCell ref="A99:G99"/>
    <mergeCell ref="A107:G107"/>
    <mergeCell ref="A111:G111"/>
    <mergeCell ref="A118:G118"/>
  </mergeCells>
  <printOptions/>
  <pageMargins left="0.7083333333333334" right="0.7083333333333334" top="0.7479166666666667" bottom="0.7479166666666667" header="0.5118055555555555" footer="0.5118055555555555"/>
  <pageSetup fitToHeight="3" fitToWidth="1"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M366"/>
  <sheetViews>
    <sheetView workbookViewId="0" topLeftCell="A121">
      <selection activeCell="A130" sqref="A130"/>
    </sheetView>
  </sheetViews>
  <sheetFormatPr defaultColWidth="8.00390625" defaultRowHeight="12.75"/>
  <cols>
    <col min="1" max="1" width="18.00390625" style="0" customWidth="1"/>
    <col min="2" max="2" width="13.625" style="0" customWidth="1"/>
    <col min="3" max="3" width="13.00390625" style="0" customWidth="1"/>
    <col min="4" max="4" width="12.375" style="0" customWidth="1"/>
    <col min="5" max="5" width="15.625" style="0" customWidth="1"/>
    <col min="6" max="6" width="12.75390625" style="0" customWidth="1"/>
    <col min="7" max="7" width="13.625" style="0" customWidth="1"/>
    <col min="8" max="16384" width="9.00390625" style="0" customWidth="1"/>
  </cols>
  <sheetData>
    <row r="2" spans="1:13" ht="59.25" customHeight="1">
      <c r="A2" s="1" t="s">
        <v>210</v>
      </c>
      <c r="B2" s="1"/>
      <c r="C2" s="1"/>
      <c r="D2" s="1"/>
      <c r="E2" s="1"/>
      <c r="F2" s="1"/>
      <c r="G2" s="1"/>
      <c r="H2" s="2"/>
      <c r="I2" s="2"/>
      <c r="J2" s="2"/>
      <c r="K2" s="3"/>
      <c r="L2" s="3"/>
      <c r="M2" s="3"/>
    </row>
    <row r="3" spans="1:1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40.5" customHeight="1">
      <c r="A4" s="4" t="s">
        <v>1</v>
      </c>
      <c r="B4" s="4"/>
      <c r="C4" s="4"/>
      <c r="D4" s="4"/>
      <c r="E4" s="4"/>
      <c r="F4" s="4"/>
      <c r="G4" s="4"/>
      <c r="H4" s="3"/>
      <c r="I4" s="3"/>
      <c r="J4" s="3"/>
      <c r="K4" s="3"/>
      <c r="L4" s="3"/>
      <c r="M4" s="3"/>
    </row>
    <row r="5" spans="1:13" ht="12.75" customHeight="1">
      <c r="A5" s="5" t="s">
        <v>2</v>
      </c>
      <c r="B5" s="6" t="s">
        <v>3</v>
      </c>
      <c r="C5" s="6"/>
      <c r="D5" s="7" t="s">
        <v>4</v>
      </c>
      <c r="E5" s="3"/>
      <c r="F5" s="3"/>
      <c r="G5" s="3"/>
      <c r="H5" s="3"/>
      <c r="I5" s="3"/>
      <c r="J5" s="3"/>
      <c r="K5" s="3"/>
      <c r="L5" s="3"/>
      <c r="M5" s="3"/>
    </row>
    <row r="6" spans="1:13" ht="12.75" customHeight="1">
      <c r="A6" s="5"/>
      <c r="B6" s="8">
        <v>12</v>
      </c>
      <c r="C6" s="8"/>
      <c r="D6" s="7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 s="3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 s="3" t="s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42" customHeight="1">
      <c r="A11" s="4" t="s">
        <v>7</v>
      </c>
      <c r="B11" s="4"/>
      <c r="C11" s="4"/>
      <c r="D11" s="4"/>
      <c r="E11" s="4"/>
      <c r="F11" s="4"/>
      <c r="G11" s="4"/>
      <c r="H11" s="3"/>
      <c r="I11" s="3"/>
      <c r="J11" s="3"/>
      <c r="K11" s="3"/>
      <c r="L11" s="3"/>
      <c r="M11" s="3"/>
    </row>
    <row r="12" spans="1:1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 s="3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3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99" customHeight="1">
      <c r="A17" s="9" t="s">
        <v>10</v>
      </c>
      <c r="B17" s="9" t="s">
        <v>11</v>
      </c>
      <c r="C17" s="10" t="s">
        <v>12</v>
      </c>
      <c r="D17" s="9" t="s">
        <v>126</v>
      </c>
      <c r="E17" s="9" t="s">
        <v>211</v>
      </c>
      <c r="F17" s="9" t="s">
        <v>15</v>
      </c>
      <c r="G17" s="3"/>
      <c r="H17" s="3"/>
      <c r="I17" s="3"/>
      <c r="J17" s="3"/>
      <c r="K17" s="3"/>
      <c r="L17" s="3"/>
      <c r="M17" s="3"/>
    </row>
    <row r="18" spans="1:13" ht="29.25" customHeight="1">
      <c r="A18" s="9">
        <v>130</v>
      </c>
      <c r="B18" s="10">
        <v>0</v>
      </c>
      <c r="C18" s="9">
        <v>15</v>
      </c>
      <c r="D18" s="9">
        <v>20</v>
      </c>
      <c r="E18" s="11">
        <v>0</v>
      </c>
      <c r="F18" s="11">
        <v>127</v>
      </c>
      <c r="G18" s="3"/>
      <c r="H18" s="3"/>
      <c r="I18" s="3"/>
      <c r="J18" s="3"/>
      <c r="K18" s="3"/>
      <c r="L18" s="3"/>
      <c r="M18" s="3"/>
    </row>
    <row r="19" spans="1:1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27" customHeight="1">
      <c r="A20" s="12" t="s">
        <v>16</v>
      </c>
      <c r="B20" s="12"/>
      <c r="C20" s="12"/>
      <c r="D20" s="12"/>
      <c r="E20" s="12"/>
      <c r="F20" s="12"/>
      <c r="G20" s="12"/>
      <c r="H20" s="13"/>
      <c r="I20" s="13"/>
      <c r="J20" s="13"/>
      <c r="K20" s="3"/>
      <c r="L20" s="3"/>
      <c r="M20" s="3"/>
    </row>
    <row r="21" spans="1:13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 s="3" t="s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3" t="s">
        <v>18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3" t="s">
        <v>19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 s="3" t="s">
        <v>20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 t="s">
        <v>21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 s="3" t="s">
        <v>22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s="3" t="s">
        <v>23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63.75" customHeight="1">
      <c r="A36" s="14" t="s">
        <v>24</v>
      </c>
      <c r="B36" s="15" t="s">
        <v>25</v>
      </c>
      <c r="C36" s="14" t="s">
        <v>26</v>
      </c>
      <c r="D36" s="14" t="s">
        <v>27</v>
      </c>
      <c r="E36" s="14" t="s">
        <v>28</v>
      </c>
      <c r="F36" s="14" t="s">
        <v>29</v>
      </c>
      <c r="G36" s="3"/>
      <c r="H36" s="3"/>
      <c r="I36" s="3"/>
      <c r="J36" s="3"/>
      <c r="K36" s="3"/>
      <c r="L36" s="3"/>
      <c r="M36" s="3"/>
    </row>
    <row r="37" spans="1:13" ht="12.75">
      <c r="A37" s="16" t="s">
        <v>30</v>
      </c>
      <c r="B37" s="17">
        <f>F18</f>
        <v>127</v>
      </c>
      <c r="C37" s="18">
        <f>F53</f>
        <v>7747.90157480315</v>
      </c>
      <c r="D37" s="18">
        <f>E53</f>
        <v>983983.5</v>
      </c>
      <c r="E37" s="19">
        <f>G53</f>
        <v>0.5842750411973372</v>
      </c>
      <c r="F37" s="18">
        <f aca="true" t="shared" si="0" ref="F37:F40">D37*E37</f>
        <v>574917</v>
      </c>
      <c r="G37" s="3"/>
      <c r="H37" s="3"/>
      <c r="I37" s="3"/>
      <c r="J37" s="3"/>
      <c r="K37" s="3"/>
      <c r="L37" s="3"/>
      <c r="M37" s="3"/>
    </row>
    <row r="38" spans="1:13" ht="12.75">
      <c r="A38" s="16" t="s">
        <v>31</v>
      </c>
      <c r="B38" s="17">
        <f aca="true" t="shared" si="1" ref="B38:B41">B37</f>
        <v>127</v>
      </c>
      <c r="C38" s="18">
        <f>F69</f>
        <v>12961.61811023622</v>
      </c>
      <c r="D38" s="18">
        <f>E69</f>
        <v>1646125.5</v>
      </c>
      <c r="E38" s="19">
        <f>G69</f>
        <v>0.6258903103074461</v>
      </c>
      <c r="F38" s="18">
        <f t="shared" si="0"/>
        <v>1030293.9999999999</v>
      </c>
      <c r="G38" s="3"/>
      <c r="H38" s="3"/>
      <c r="I38" s="3"/>
      <c r="J38" s="3"/>
      <c r="K38" s="3"/>
      <c r="L38" s="3"/>
      <c r="M38" s="3"/>
    </row>
    <row r="39" spans="1:13" ht="12.75">
      <c r="A39" s="16" t="s">
        <v>32</v>
      </c>
      <c r="B39" s="17">
        <f t="shared" si="1"/>
        <v>127</v>
      </c>
      <c r="C39" s="18">
        <f>C78</f>
        <v>665.8110236220473</v>
      </c>
      <c r="D39" s="18">
        <f>B78</f>
        <v>84558</v>
      </c>
      <c r="E39" s="19">
        <f>D78</f>
        <v>0.7117836278057664</v>
      </c>
      <c r="F39" s="18">
        <f t="shared" si="0"/>
        <v>60187</v>
      </c>
      <c r="G39" s="3"/>
      <c r="H39" s="3"/>
      <c r="I39" s="3"/>
      <c r="J39" s="3"/>
      <c r="K39" s="3"/>
      <c r="L39" s="3"/>
      <c r="M39" s="3"/>
    </row>
    <row r="40" spans="1:13" ht="12.75">
      <c r="A40" s="16" t="s">
        <v>33</v>
      </c>
      <c r="B40" s="17">
        <f t="shared" si="1"/>
        <v>127</v>
      </c>
      <c r="C40" s="18">
        <f>F88</f>
        <v>0</v>
      </c>
      <c r="D40" s="18">
        <f>E88</f>
        <v>0</v>
      </c>
      <c r="E40" s="19">
        <v>0</v>
      </c>
      <c r="F40" s="18">
        <f t="shared" si="0"/>
        <v>0</v>
      </c>
      <c r="G40" s="3"/>
      <c r="H40" s="3"/>
      <c r="I40" s="3"/>
      <c r="J40" s="3"/>
      <c r="K40" s="3"/>
      <c r="L40" s="3"/>
      <c r="M40" s="3"/>
    </row>
    <row r="41" spans="1:13" ht="12.75">
      <c r="A41" s="16" t="s">
        <v>34</v>
      </c>
      <c r="B41" s="17">
        <f t="shared" si="1"/>
        <v>127</v>
      </c>
      <c r="C41" s="18">
        <v>0</v>
      </c>
      <c r="D41" s="18">
        <v>0</v>
      </c>
      <c r="E41" s="19">
        <v>1</v>
      </c>
      <c r="F41" s="18">
        <f>D137</f>
        <v>594269</v>
      </c>
      <c r="G41" s="3"/>
      <c r="H41" s="3"/>
      <c r="I41" s="3"/>
      <c r="J41" s="3"/>
      <c r="K41" s="3"/>
      <c r="L41" s="3"/>
      <c r="M41" s="3"/>
    </row>
    <row r="42" spans="1:13" ht="12.75">
      <c r="A42" s="20" t="s">
        <v>35</v>
      </c>
      <c r="B42" s="21"/>
      <c r="C42" s="22">
        <f>D42/B40</f>
        <v>21375.33070866142</v>
      </c>
      <c r="D42" s="22">
        <f>SUM(D37:D40)</f>
        <v>2714667</v>
      </c>
      <c r="E42" s="23">
        <f>F42/D42</f>
        <v>0.8323919655707311</v>
      </c>
      <c r="F42" s="18">
        <f>F37+F38+F39+F40+F41</f>
        <v>2259667</v>
      </c>
      <c r="G42" s="24">
        <f>F42+E95</f>
        <v>3219593</v>
      </c>
      <c r="H42" s="3"/>
      <c r="I42" s="3"/>
      <c r="J42" s="3"/>
      <c r="K42" s="3"/>
      <c r="L42" s="3"/>
      <c r="M42" s="3"/>
    </row>
    <row r="43" spans="1:13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30.75" customHeight="1">
      <c r="A44" s="25" t="s">
        <v>212</v>
      </c>
      <c r="B44" s="25"/>
      <c r="C44" s="25"/>
      <c r="D44" s="25"/>
      <c r="E44" s="25"/>
      <c r="F44" s="25"/>
      <c r="G44" s="25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3" t="s">
        <v>37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63.75">
      <c r="A48" s="14" t="s">
        <v>38</v>
      </c>
      <c r="B48" s="14" t="s">
        <v>39</v>
      </c>
      <c r="C48" s="14" t="s">
        <v>40</v>
      </c>
      <c r="D48" s="14" t="s">
        <v>41</v>
      </c>
      <c r="E48" s="14" t="s">
        <v>42</v>
      </c>
      <c r="F48" s="14" t="s">
        <v>26</v>
      </c>
      <c r="G48" s="14" t="s">
        <v>28</v>
      </c>
      <c r="H48" s="3"/>
      <c r="I48" s="3"/>
      <c r="J48" s="3"/>
      <c r="K48" s="3"/>
      <c r="L48" s="3"/>
      <c r="M48" s="3"/>
    </row>
    <row r="49" spans="1:13" ht="25.5">
      <c r="A49" s="26" t="s">
        <v>43</v>
      </c>
      <c r="B49" s="27" t="s">
        <v>44</v>
      </c>
      <c r="C49" s="19">
        <f>71.6/2</f>
        <v>35.8</v>
      </c>
      <c r="D49" s="19">
        <f aca="true" t="shared" si="2" ref="D49:D52">E49/C49</f>
        <v>18476.87150837989</v>
      </c>
      <c r="E49" s="19">
        <f>1322944/2</f>
        <v>661472</v>
      </c>
      <c r="F49" s="19">
        <f aca="true" t="shared" si="3" ref="F49:F52">E49/$B$40</f>
        <v>5208.44094488189</v>
      </c>
      <c r="G49" s="19">
        <f>(636355/2/E49)</f>
        <v>0.4810143135310338</v>
      </c>
      <c r="H49" s="3"/>
      <c r="I49" s="3"/>
      <c r="J49" s="3"/>
      <c r="K49" s="3"/>
      <c r="L49" s="3"/>
      <c r="M49" s="3"/>
    </row>
    <row r="50" spans="1:13" ht="25.5">
      <c r="A50" s="26" t="s">
        <v>45</v>
      </c>
      <c r="B50" s="27" t="s">
        <v>46</v>
      </c>
      <c r="C50" s="19">
        <f>1275/2</f>
        <v>637.5</v>
      </c>
      <c r="D50" s="19">
        <f t="shared" si="2"/>
        <v>22.850980392156863</v>
      </c>
      <c r="E50" s="19">
        <f>29135/2</f>
        <v>14567.5</v>
      </c>
      <c r="F50" s="19">
        <f t="shared" si="3"/>
        <v>114.70472440944881</v>
      </c>
      <c r="G50" s="19">
        <f>(29135/2/E50)</f>
        <v>1</v>
      </c>
      <c r="H50" s="3"/>
      <c r="I50" s="3"/>
      <c r="J50" s="3"/>
      <c r="K50" s="3"/>
      <c r="L50" s="3"/>
      <c r="M50" s="3"/>
    </row>
    <row r="51" spans="1:13" ht="25.5">
      <c r="A51" s="26" t="s">
        <v>47</v>
      </c>
      <c r="B51" s="27" t="s">
        <v>48</v>
      </c>
      <c r="C51" s="19">
        <f>9800*90%</f>
        <v>8820</v>
      </c>
      <c r="D51" s="19">
        <f t="shared" si="2"/>
        <v>24.97142857142857</v>
      </c>
      <c r="E51" s="19">
        <f>244720*90%</f>
        <v>220248</v>
      </c>
      <c r="F51" s="19">
        <f t="shared" si="3"/>
        <v>1734.236220472441</v>
      </c>
      <c r="G51" s="19">
        <f>(244720*90%/E51)</f>
        <v>1</v>
      </c>
      <c r="H51" s="3"/>
      <c r="I51" s="3"/>
      <c r="J51" s="3"/>
      <c r="K51" s="3"/>
      <c r="L51" s="3"/>
      <c r="M51" s="3"/>
    </row>
    <row r="52" spans="1:13" ht="25.5">
      <c r="A52" s="26" t="s">
        <v>49</v>
      </c>
      <c r="B52" s="27" t="s">
        <v>46</v>
      </c>
      <c r="C52" s="19">
        <v>980</v>
      </c>
      <c r="D52" s="19">
        <f t="shared" si="2"/>
        <v>89.48571428571428</v>
      </c>
      <c r="E52" s="19">
        <v>87696</v>
      </c>
      <c r="F52" s="19">
        <f t="shared" si="3"/>
        <v>690.5196850393701</v>
      </c>
      <c r="G52" s="19">
        <f>(21924/E52)</f>
        <v>0.25</v>
      </c>
      <c r="H52" s="3"/>
      <c r="I52" s="3"/>
      <c r="J52" s="3"/>
      <c r="K52" s="3"/>
      <c r="L52" s="3"/>
      <c r="M52" s="3"/>
    </row>
    <row r="53" spans="1:13" ht="20.25" customHeight="1">
      <c r="A53" s="28" t="s">
        <v>50</v>
      </c>
      <c r="B53" s="29"/>
      <c r="C53" s="23"/>
      <c r="D53" s="23"/>
      <c r="E53" s="23">
        <f>E49+E50+E51+E52</f>
        <v>983983.5</v>
      </c>
      <c r="F53" s="23">
        <f>F49+F50+F51+F52</f>
        <v>7747.90157480315</v>
      </c>
      <c r="G53" s="23">
        <f>(636355/2+29135/2+244720*90%+21924)/E53</f>
        <v>0.5842750411973372</v>
      </c>
      <c r="H53" s="3"/>
      <c r="I53" s="3"/>
      <c r="J53" s="3"/>
      <c r="K53" s="3"/>
      <c r="L53" s="3"/>
      <c r="M53" s="3"/>
    </row>
    <row r="54" spans="1:13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24.75" customHeight="1">
      <c r="A55" s="25" t="s">
        <v>213</v>
      </c>
      <c r="B55" s="25"/>
      <c r="C55" s="25"/>
      <c r="D55" s="25"/>
      <c r="E55" s="25"/>
      <c r="F55" s="25"/>
      <c r="G55" s="25"/>
      <c r="H55" s="3"/>
      <c r="I55" s="3"/>
      <c r="J55" s="3"/>
      <c r="K55" s="3"/>
      <c r="L55" s="3"/>
      <c r="M55" s="3"/>
    </row>
    <row r="56" spans="1:1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75">
      <c r="A57" s="3" t="s">
        <v>52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63.75">
      <c r="A59" s="14" t="s">
        <v>38</v>
      </c>
      <c r="B59" s="14" t="s">
        <v>39</v>
      </c>
      <c r="C59" s="14" t="s">
        <v>53</v>
      </c>
      <c r="D59" s="14" t="s">
        <v>54</v>
      </c>
      <c r="E59" s="14" t="s">
        <v>42</v>
      </c>
      <c r="F59" s="14" t="s">
        <v>26</v>
      </c>
      <c r="G59" s="14" t="s">
        <v>28</v>
      </c>
      <c r="H59" s="3"/>
      <c r="I59" s="3"/>
      <c r="J59" s="3"/>
      <c r="K59" s="3"/>
      <c r="L59" s="3"/>
      <c r="M59" s="3"/>
    </row>
    <row r="60" spans="1:13" ht="45.75" customHeight="1">
      <c r="A60" s="26" t="s">
        <v>55</v>
      </c>
      <c r="B60" s="30"/>
      <c r="C60" s="19"/>
      <c r="D60" s="19"/>
      <c r="E60" s="19">
        <v>103574</v>
      </c>
      <c r="F60" s="19">
        <f aca="true" t="shared" si="4" ref="F60:F68">E60/$B$40</f>
        <v>815.5433070866142</v>
      </c>
      <c r="G60" s="19">
        <f>(73723/E60)</f>
        <v>0.7117906038194913</v>
      </c>
      <c r="H60" s="3"/>
      <c r="I60" s="3"/>
      <c r="J60" s="3"/>
      <c r="K60" s="3"/>
      <c r="L60" s="3"/>
      <c r="M60" s="3"/>
    </row>
    <row r="61" spans="1:13" ht="25.5">
      <c r="A61" s="26" t="s">
        <v>56</v>
      </c>
      <c r="B61" s="30" t="s">
        <v>57</v>
      </c>
      <c r="C61" s="19">
        <v>1</v>
      </c>
      <c r="D61" s="19">
        <f>E61/C61</f>
        <v>18684</v>
      </c>
      <c r="E61" s="19">
        <v>18684</v>
      </c>
      <c r="F61" s="19">
        <f t="shared" si="4"/>
        <v>147.11811023622047</v>
      </c>
      <c r="G61" s="19">
        <f>(13299/E61)</f>
        <v>0.7117854849068722</v>
      </c>
      <c r="H61" s="3"/>
      <c r="I61" s="3"/>
      <c r="J61" s="3"/>
      <c r="K61" s="3"/>
      <c r="L61" s="3"/>
      <c r="M61" s="3"/>
    </row>
    <row r="62" spans="1:13" ht="18" customHeight="1">
      <c r="A62" s="26" t="s">
        <v>58</v>
      </c>
      <c r="B62" s="30"/>
      <c r="C62" s="19"/>
      <c r="D62" s="19"/>
      <c r="E62" s="19">
        <v>0</v>
      </c>
      <c r="F62" s="19">
        <f t="shared" si="4"/>
        <v>0</v>
      </c>
      <c r="G62" s="19" t="e">
        <f>(0/E62)</f>
        <v>#DIV/0!</v>
      </c>
      <c r="H62" s="3"/>
      <c r="I62" s="3"/>
      <c r="J62" s="3"/>
      <c r="K62" s="3"/>
      <c r="L62" s="3"/>
      <c r="M62" s="3"/>
    </row>
    <row r="63" spans="1:13" ht="18" customHeight="1">
      <c r="A63" s="26" t="s">
        <v>59</v>
      </c>
      <c r="B63" s="30"/>
      <c r="C63" s="19"/>
      <c r="D63" s="19"/>
      <c r="E63" s="19">
        <v>809640</v>
      </c>
      <c r="F63" s="19">
        <f t="shared" si="4"/>
        <v>6375.118110236221</v>
      </c>
      <c r="G63" s="19">
        <f>(576292/E63)</f>
        <v>0.7117879551405563</v>
      </c>
      <c r="H63" s="3"/>
      <c r="I63" s="3"/>
      <c r="J63" s="3"/>
      <c r="K63" s="3"/>
      <c r="L63" s="3"/>
      <c r="M63" s="3"/>
    </row>
    <row r="64" spans="1:13" ht="25.5">
      <c r="A64" s="26" t="s">
        <v>43</v>
      </c>
      <c r="B64" s="27" t="s">
        <v>44</v>
      </c>
      <c r="C64" s="19">
        <f>71.6/2</f>
        <v>35.8</v>
      </c>
      <c r="D64" s="19">
        <f aca="true" t="shared" si="5" ref="D64:D66">E64/C64</f>
        <v>18476.87150837989</v>
      </c>
      <c r="E64" s="19">
        <f>1322944/2</f>
        <v>661472</v>
      </c>
      <c r="F64" s="19">
        <f t="shared" si="4"/>
        <v>5208.44094488189</v>
      </c>
      <c r="G64" s="19">
        <f>(636355/2/E64)</f>
        <v>0.4810143135310338</v>
      </c>
      <c r="H64" s="3"/>
      <c r="I64" s="3"/>
      <c r="J64" s="3"/>
      <c r="K64" s="3"/>
      <c r="L64" s="3"/>
      <c r="M64" s="3"/>
    </row>
    <row r="65" spans="1:13" ht="25.5">
      <c r="A65" s="26" t="s">
        <v>45</v>
      </c>
      <c r="B65" s="27" t="s">
        <v>46</v>
      </c>
      <c r="C65" s="19">
        <f>1275/2</f>
        <v>637.5</v>
      </c>
      <c r="D65" s="19">
        <f t="shared" si="5"/>
        <v>22.850980392156863</v>
      </c>
      <c r="E65" s="19">
        <f>29135/2</f>
        <v>14567.5</v>
      </c>
      <c r="F65" s="19">
        <f t="shared" si="4"/>
        <v>114.70472440944881</v>
      </c>
      <c r="G65" s="19">
        <f>(29135/2/E65)</f>
        <v>1</v>
      </c>
      <c r="H65" s="3"/>
      <c r="I65" s="3"/>
      <c r="J65" s="3"/>
      <c r="K65" s="3"/>
      <c r="L65" s="3"/>
      <c r="M65" s="3"/>
    </row>
    <row r="66" spans="1:13" ht="25.5">
      <c r="A66" s="26" t="s">
        <v>47</v>
      </c>
      <c r="B66" s="27" t="s">
        <v>48</v>
      </c>
      <c r="C66" s="19">
        <f>9800*10%</f>
        <v>980</v>
      </c>
      <c r="D66" s="19">
        <f t="shared" si="5"/>
        <v>24.97142857142857</v>
      </c>
      <c r="E66" s="19">
        <f>244720*10%</f>
        <v>24472</v>
      </c>
      <c r="F66" s="19">
        <f t="shared" si="4"/>
        <v>192.69291338582678</v>
      </c>
      <c r="G66" s="19">
        <f>(244720*10%/E66)</f>
        <v>1</v>
      </c>
      <c r="H66" s="3"/>
      <c r="I66" s="3"/>
      <c r="J66" s="3"/>
      <c r="K66" s="3"/>
      <c r="L66" s="3"/>
      <c r="M66" s="3"/>
    </row>
    <row r="67" spans="1:13" ht="25.5" customHeight="1">
      <c r="A67" s="26" t="s">
        <v>60</v>
      </c>
      <c r="B67" s="30"/>
      <c r="C67" s="19"/>
      <c r="D67" s="19"/>
      <c r="E67" s="19">
        <v>8196</v>
      </c>
      <c r="F67" s="19">
        <f t="shared" si="4"/>
        <v>64.53543307086615</v>
      </c>
      <c r="G67" s="19">
        <f>(5834/E67)</f>
        <v>0.7118106393362615</v>
      </c>
      <c r="H67" s="3"/>
      <c r="I67" s="3"/>
      <c r="J67" s="3"/>
      <c r="K67" s="3"/>
      <c r="L67" s="3"/>
      <c r="M67" s="3"/>
    </row>
    <row r="68" spans="1:13" ht="12.75">
      <c r="A68" s="26" t="s">
        <v>61</v>
      </c>
      <c r="B68" s="30"/>
      <c r="C68" s="19"/>
      <c r="D68" s="19"/>
      <c r="E68" s="19">
        <v>5520</v>
      </c>
      <c r="F68" s="19">
        <f t="shared" si="4"/>
        <v>43.46456692913386</v>
      </c>
      <c r="G68" s="19">
        <f>(3929/E68)</f>
        <v>0.7117753623188405</v>
      </c>
      <c r="H68" s="3"/>
      <c r="I68" s="3"/>
      <c r="J68" s="3"/>
      <c r="K68" s="3"/>
      <c r="L68" s="3"/>
      <c r="M68" s="3"/>
    </row>
    <row r="69" spans="1:13" ht="24.75" customHeight="1">
      <c r="A69" s="28" t="s">
        <v>50</v>
      </c>
      <c r="B69" s="31"/>
      <c r="C69" s="23"/>
      <c r="D69" s="23"/>
      <c r="E69" s="23">
        <f>SUM(E60:E68)</f>
        <v>1646125.5</v>
      </c>
      <c r="F69" s="23">
        <f>SUM(F60:F68)</f>
        <v>12961.61811023622</v>
      </c>
      <c r="G69" s="23">
        <f>(73723+576292+636355/2+29135/2+244720*10%+3929+5834+13299)/E69</f>
        <v>0.6258903103074461</v>
      </c>
      <c r="H69" s="3"/>
      <c r="I69" s="3"/>
      <c r="J69" s="3"/>
      <c r="K69" s="3"/>
      <c r="L69" s="3"/>
      <c r="M69" s="3"/>
    </row>
    <row r="70" spans="1:13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37.5" customHeight="1">
      <c r="A71" s="25" t="s">
        <v>214</v>
      </c>
      <c r="B71" s="25"/>
      <c r="C71" s="25"/>
      <c r="D71" s="25"/>
      <c r="E71" s="25"/>
      <c r="F71" s="25"/>
      <c r="G71" s="25"/>
      <c r="H71" s="3"/>
      <c r="I71" s="3"/>
      <c r="J71" s="3"/>
      <c r="K71" s="3"/>
      <c r="L71" s="3"/>
      <c r="M71" s="3"/>
    </row>
    <row r="72" spans="1:13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>
      <c r="A73" s="3" t="s">
        <v>63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63.75">
      <c r="A75" s="14" t="s">
        <v>38</v>
      </c>
      <c r="B75" s="14" t="s">
        <v>42</v>
      </c>
      <c r="C75" s="14" t="s">
        <v>26</v>
      </c>
      <c r="D75" s="14" t="s">
        <v>28</v>
      </c>
      <c r="E75" s="32"/>
      <c r="F75" s="32"/>
      <c r="G75" s="32"/>
      <c r="H75" s="3"/>
      <c r="I75" s="3"/>
      <c r="J75" s="3"/>
      <c r="K75" s="3"/>
      <c r="L75" s="3"/>
      <c r="M75" s="3"/>
    </row>
    <row r="76" spans="1:13" ht="51">
      <c r="A76" s="26" t="s">
        <v>64</v>
      </c>
      <c r="B76" s="33">
        <v>2332</v>
      </c>
      <c r="C76" s="19">
        <f aca="true" t="shared" si="6" ref="C76:C77">B76/$B$40</f>
        <v>18.362204724409448</v>
      </c>
      <c r="D76" s="19">
        <f>(1660/B76)</f>
        <v>0.7118353344768439</v>
      </c>
      <c r="E76" s="34"/>
      <c r="F76" s="35"/>
      <c r="G76" s="35"/>
      <c r="H76" s="3"/>
      <c r="I76" s="3"/>
      <c r="J76" s="3"/>
      <c r="K76" s="3"/>
      <c r="L76" s="3"/>
      <c r="M76" s="3"/>
    </row>
    <row r="77" spans="1:13" ht="19.5" customHeight="1">
      <c r="A77" s="26" t="s">
        <v>65</v>
      </c>
      <c r="B77" s="33">
        <f>64771+17455</f>
        <v>82226</v>
      </c>
      <c r="C77" s="19">
        <f t="shared" si="6"/>
        <v>647.4488188976378</v>
      </c>
      <c r="D77" s="19">
        <f>(46103+12424)/B77</f>
        <v>0.7117821613601537</v>
      </c>
      <c r="E77" s="34"/>
      <c r="F77" s="35"/>
      <c r="G77" s="35"/>
      <c r="H77" s="3"/>
      <c r="I77" s="3"/>
      <c r="J77" s="3"/>
      <c r="K77" s="3"/>
      <c r="L77" s="3"/>
      <c r="M77" s="3"/>
    </row>
    <row r="78" spans="1:13" ht="27" customHeight="1">
      <c r="A78" s="28" t="s">
        <v>50</v>
      </c>
      <c r="B78" s="36">
        <f>SUM(B76:B77)</f>
        <v>84558</v>
      </c>
      <c r="C78" s="36">
        <f>SUM(C76:C77)</f>
        <v>665.8110236220473</v>
      </c>
      <c r="D78" s="36">
        <f>(46103+12424+1660)/B78</f>
        <v>0.7117836278057664</v>
      </c>
      <c r="E78" s="37"/>
      <c r="F78" s="37"/>
      <c r="G78" s="37"/>
      <c r="H78" s="3"/>
      <c r="I78" s="3"/>
      <c r="J78" s="3"/>
      <c r="K78" s="3"/>
      <c r="L78" s="3"/>
      <c r="M78" s="3"/>
    </row>
    <row r="79" spans="1:13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29.25" customHeight="1">
      <c r="A80" s="25" t="s">
        <v>66</v>
      </c>
      <c r="B80" s="25"/>
      <c r="C80" s="25"/>
      <c r="D80" s="25"/>
      <c r="E80" s="25"/>
      <c r="F80" s="25"/>
      <c r="G80" s="25"/>
      <c r="H80" s="3"/>
      <c r="I80" s="3"/>
      <c r="J80" s="3"/>
      <c r="K80" s="3"/>
      <c r="L80" s="3"/>
      <c r="M80" s="3"/>
    </row>
    <row r="81" spans="1:13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 hidden="1">
      <c r="A82" s="3" t="s">
        <v>67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63.75" hidden="1">
      <c r="A84" s="38" t="s">
        <v>68</v>
      </c>
      <c r="B84" s="10" t="s">
        <v>69</v>
      </c>
      <c r="C84" s="14" t="s">
        <v>54</v>
      </c>
      <c r="D84" s="10" t="s">
        <v>70</v>
      </c>
      <c r="E84" s="39" t="s">
        <v>71</v>
      </c>
      <c r="F84" s="14" t="s">
        <v>26</v>
      </c>
      <c r="G84" s="14" t="s">
        <v>28</v>
      </c>
      <c r="H84" s="3"/>
      <c r="I84" s="3"/>
      <c r="J84" s="3"/>
      <c r="K84" s="3"/>
      <c r="L84" s="3"/>
      <c r="M84" s="3"/>
    </row>
    <row r="85" spans="1:13" ht="12.75" hidden="1">
      <c r="A85" s="40" t="s">
        <v>72</v>
      </c>
      <c r="B85" s="41">
        <v>1</v>
      </c>
      <c r="C85" s="42">
        <f aca="true" t="shared" si="7" ref="C85:C86">E85/D85/B85</f>
        <v>0</v>
      </c>
      <c r="D85" s="43">
        <v>12</v>
      </c>
      <c r="E85" s="44">
        <v>0</v>
      </c>
      <c r="F85" s="19">
        <f aca="true" t="shared" si="8" ref="F85:F88">E85/$B$40</f>
        <v>0</v>
      </c>
      <c r="G85" s="72" t="e">
        <f aca="true" t="shared" si="9" ref="G85:G87">(0/E85)</f>
        <v>#DIV/0!</v>
      </c>
      <c r="H85" s="3"/>
      <c r="I85" s="3"/>
      <c r="J85" s="3"/>
      <c r="K85" s="3"/>
      <c r="L85" s="3"/>
      <c r="M85" s="3"/>
    </row>
    <row r="86" spans="1:13" ht="12.75" hidden="1">
      <c r="A86" s="40" t="s">
        <v>73</v>
      </c>
      <c r="B86" s="39">
        <v>1</v>
      </c>
      <c r="C86" s="42">
        <f t="shared" si="7"/>
        <v>0</v>
      </c>
      <c r="D86" s="43">
        <v>12</v>
      </c>
      <c r="E86" s="44">
        <v>0</v>
      </c>
      <c r="F86" s="19">
        <f t="shared" si="8"/>
        <v>0</v>
      </c>
      <c r="G86" s="72" t="e">
        <f t="shared" si="9"/>
        <v>#DIV/0!</v>
      </c>
      <c r="H86" s="3"/>
      <c r="I86" s="3"/>
      <c r="J86" s="3"/>
      <c r="K86" s="3"/>
      <c r="L86" s="3"/>
      <c r="M86" s="3"/>
    </row>
    <row r="87" spans="1:13" ht="12.75" hidden="1">
      <c r="A87" s="40" t="s">
        <v>74</v>
      </c>
      <c r="B87" s="41"/>
      <c r="C87" s="41"/>
      <c r="D87" s="43"/>
      <c r="E87" s="44">
        <v>0</v>
      </c>
      <c r="F87" s="19">
        <f t="shared" si="8"/>
        <v>0</v>
      </c>
      <c r="G87" s="72" t="e">
        <f t="shared" si="9"/>
        <v>#DIV/0!</v>
      </c>
      <c r="H87" s="3"/>
      <c r="I87" s="3"/>
      <c r="J87" s="3"/>
      <c r="K87" s="3"/>
      <c r="L87" s="3"/>
      <c r="M87" s="3"/>
    </row>
    <row r="88" spans="1:13" ht="12.75" hidden="1">
      <c r="A88" s="45" t="s">
        <v>75</v>
      </c>
      <c r="B88" s="46"/>
      <c r="C88" s="46"/>
      <c r="D88" s="46"/>
      <c r="E88" s="47">
        <f>E85+E86+E87</f>
        <v>0</v>
      </c>
      <c r="F88" s="23">
        <f t="shared" si="8"/>
        <v>0</v>
      </c>
      <c r="G88" s="73" t="e">
        <f>0/E88</f>
        <v>#DIV/0!</v>
      </c>
      <c r="H88" s="3"/>
      <c r="I88" s="3"/>
      <c r="J88" s="3"/>
      <c r="K88" s="3"/>
      <c r="L88" s="3"/>
      <c r="M88" s="3"/>
    </row>
    <row r="89" spans="1:13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29.25" customHeight="1" hidden="1">
      <c r="A90" s="25" t="s">
        <v>115</v>
      </c>
      <c r="B90" s="25"/>
      <c r="C90" s="25"/>
      <c r="D90" s="25"/>
      <c r="E90" s="25"/>
      <c r="F90" s="25"/>
      <c r="G90" s="25"/>
      <c r="H90" s="3"/>
      <c r="I90" s="3"/>
      <c r="J90" s="3"/>
      <c r="K90" s="3"/>
      <c r="L90" s="3"/>
      <c r="M90" s="3"/>
    </row>
    <row r="91" spans="1:1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45" customHeight="1">
      <c r="A92" s="12" t="s">
        <v>77</v>
      </c>
      <c r="B92" s="12"/>
      <c r="C92" s="12"/>
      <c r="D92" s="12"/>
      <c r="E92" s="12"/>
      <c r="F92" s="12"/>
      <c r="G92" s="12"/>
      <c r="H92" s="13"/>
      <c r="I92" s="13"/>
      <c r="J92" s="13"/>
      <c r="K92" s="3"/>
      <c r="L92" s="3"/>
      <c r="M92" s="3"/>
    </row>
    <row r="93" spans="1:1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63.75">
      <c r="A94" s="14" t="s">
        <v>38</v>
      </c>
      <c r="B94" s="39" t="s">
        <v>71</v>
      </c>
      <c r="C94" s="14" t="s">
        <v>26</v>
      </c>
      <c r="D94" s="14" t="s">
        <v>28</v>
      </c>
      <c r="E94" s="48" t="s">
        <v>78</v>
      </c>
      <c r="F94" s="16" t="s">
        <v>79</v>
      </c>
      <c r="G94" s="3"/>
      <c r="H94" s="3"/>
      <c r="I94" s="3"/>
      <c r="J94" s="3"/>
      <c r="K94" s="3"/>
      <c r="L94" s="3"/>
      <c r="M94" s="3"/>
    </row>
    <row r="95" spans="1:13" ht="12.75">
      <c r="A95" s="49" t="s">
        <v>80</v>
      </c>
      <c r="B95" s="36">
        <v>1348613</v>
      </c>
      <c r="C95" s="23">
        <f>B95/$B$40</f>
        <v>10619</v>
      </c>
      <c r="D95" s="23">
        <f>959926/B95</f>
        <v>0.7117875921409627</v>
      </c>
      <c r="E95" s="18">
        <f>B95*D95</f>
        <v>959926.0000000001</v>
      </c>
      <c r="F95" s="18">
        <f>E95-B95</f>
        <v>-388686.9999999999</v>
      </c>
      <c r="G95" s="3"/>
      <c r="H95" s="3"/>
      <c r="I95" s="3"/>
      <c r="J95" s="3"/>
      <c r="K95" s="3"/>
      <c r="L95" s="3"/>
      <c r="M95" s="3"/>
    </row>
    <row r="96" spans="1:1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34.5" customHeight="1">
      <c r="A97" s="25" t="s">
        <v>81</v>
      </c>
      <c r="B97" s="25"/>
      <c r="C97" s="25"/>
      <c r="D97" s="25"/>
      <c r="E97" s="25"/>
      <c r="F97" s="25"/>
      <c r="G97" s="25"/>
      <c r="H97" s="3"/>
      <c r="I97" s="3"/>
      <c r="J97" s="3"/>
      <c r="K97" s="3"/>
      <c r="L97" s="3"/>
      <c r="M97" s="3"/>
    </row>
    <row r="98" spans="1:1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48.75" customHeight="1">
      <c r="A99" s="50" t="s">
        <v>215</v>
      </c>
      <c r="B99" s="50"/>
      <c r="C99" s="50"/>
      <c r="D99" s="50"/>
      <c r="E99" s="50"/>
      <c r="F99" s="50"/>
      <c r="G99" s="50"/>
      <c r="H99" s="3"/>
      <c r="I99" s="3"/>
      <c r="J99" s="3"/>
      <c r="K99" s="3"/>
      <c r="L99" s="3"/>
      <c r="M99" s="3"/>
    </row>
    <row r="100" spans="1:13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4.25">
      <c r="A101" s="3" t="s">
        <v>83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>
      <c r="A103" s="3" t="s">
        <v>84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>
      <c r="A105" s="3" t="s">
        <v>85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7.25" customHeight="1">
      <c r="A107" s="4" t="s">
        <v>86</v>
      </c>
      <c r="B107" s="4"/>
      <c r="C107" s="4"/>
      <c r="D107" s="4"/>
      <c r="E107" s="4"/>
      <c r="F107" s="4"/>
      <c r="G107" s="4"/>
      <c r="H107" s="3"/>
      <c r="I107" s="3"/>
      <c r="J107" s="3"/>
      <c r="K107" s="3"/>
      <c r="L107" s="3"/>
      <c r="M107" s="3"/>
    </row>
    <row r="108" spans="1:13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>
      <c r="A109" s="3" t="s">
        <v>87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3.5" customHeight="1">
      <c r="A111" s="4" t="s">
        <v>88</v>
      </c>
      <c r="B111" s="4"/>
      <c r="C111" s="4"/>
      <c r="D111" s="4"/>
      <c r="E111" s="4"/>
      <c r="F111" s="4"/>
      <c r="G111" s="4"/>
      <c r="H111" s="3"/>
      <c r="I111" s="3"/>
      <c r="J111" s="3"/>
      <c r="K111" s="3"/>
      <c r="L111" s="3"/>
      <c r="M111" s="3"/>
    </row>
    <row r="112" spans="1:1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>
      <c r="A113" s="3" t="s">
        <v>5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14.75">
      <c r="A115" s="14" t="s">
        <v>89</v>
      </c>
      <c r="B115" s="14" t="s">
        <v>90</v>
      </c>
      <c r="C115" s="39" t="s">
        <v>91</v>
      </c>
      <c r="D115" s="14" t="s">
        <v>92</v>
      </c>
      <c r="E115" s="14" t="s">
        <v>93</v>
      </c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36">
        <f>C42</f>
        <v>21375.33070866142</v>
      </c>
      <c r="B116" s="36">
        <f>E42</f>
        <v>0.8323919655707311</v>
      </c>
      <c r="C116" s="23">
        <f>C95</f>
        <v>10619</v>
      </c>
      <c r="D116" s="23">
        <f>D95</f>
        <v>0.7117875921409627</v>
      </c>
      <c r="E116" s="36">
        <f>(A116*B116+C116*D116)*F18</f>
        <v>3219593.0000000005</v>
      </c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05.75" customHeight="1">
      <c r="A118" s="12" t="s">
        <v>216</v>
      </c>
      <c r="B118" s="12"/>
      <c r="C118" s="12"/>
      <c r="D118" s="12"/>
      <c r="E118" s="12"/>
      <c r="F118" s="12"/>
      <c r="G118" s="12"/>
      <c r="H118" s="3"/>
      <c r="I118" s="3"/>
      <c r="J118" s="3"/>
      <c r="K118" s="3"/>
      <c r="L118" s="3"/>
      <c r="M118" s="3"/>
    </row>
    <row r="119" spans="1:13" ht="12.75">
      <c r="A119" s="3"/>
      <c r="B119" s="3"/>
      <c r="C119" s="3"/>
      <c r="D119" s="3" t="s">
        <v>95</v>
      </c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>
      <c r="A121" s="3" t="s">
        <v>96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>
      <c r="A123" s="3" t="s">
        <v>97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>
      <c r="A125" s="3" t="s">
        <v>98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>
      <c r="A127" s="3" t="s">
        <v>99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40.25">
      <c r="A129" s="51" t="s">
        <v>100</v>
      </c>
      <c r="B129" s="52" t="s">
        <v>101</v>
      </c>
      <c r="C129" s="51" t="s">
        <v>102</v>
      </c>
      <c r="D129" s="51" t="s">
        <v>103</v>
      </c>
      <c r="E129" s="53"/>
      <c r="F129" s="53"/>
      <c r="G129" s="53"/>
      <c r="H129" s="3"/>
      <c r="I129" s="3"/>
      <c r="J129" s="3"/>
      <c r="K129" s="3"/>
      <c r="L129" s="3"/>
      <c r="M129" s="3"/>
    </row>
    <row r="130" spans="1:13" ht="12.75">
      <c r="A130" s="65">
        <f>7172107+500+26988+101334+94742+5000</f>
        <v>7400671</v>
      </c>
      <c r="B130" s="65">
        <f>612000+184824</f>
        <v>796824</v>
      </c>
      <c r="C130" s="66">
        <f>396000+119592</f>
        <v>515592</v>
      </c>
      <c r="D130" s="67">
        <f>A130+B130+C130</f>
        <v>8713087</v>
      </c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>
      <c r="A131" s="58"/>
      <c r="B131" s="58"/>
      <c r="C131" s="58"/>
      <c r="D131" s="58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>
      <c r="A132" s="58"/>
      <c r="B132" s="58"/>
      <c r="C132" s="58"/>
      <c r="D132" s="58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>
      <c r="A133" s="68" t="s">
        <v>107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16" t="s">
        <v>108</v>
      </c>
      <c r="B135" s="16">
        <v>0</v>
      </c>
      <c r="C135" s="16"/>
      <c r="D135" s="18">
        <f>455967+600</f>
        <v>456567</v>
      </c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>
      <c r="A136" s="16" t="s">
        <v>109</v>
      </c>
      <c r="B136" s="16">
        <v>0</v>
      </c>
      <c r="C136" s="16"/>
      <c r="D136" s="18">
        <v>137702</v>
      </c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21" t="s">
        <v>50</v>
      </c>
      <c r="B137" s="21">
        <f>B135+B136</f>
        <v>0</v>
      </c>
      <c r="C137" s="21"/>
      <c r="D137" s="22">
        <f>D135+D136</f>
        <v>594269</v>
      </c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6:13" ht="12.75">
      <c r="F366" s="3"/>
      <c r="G366" s="3"/>
      <c r="H366" s="3"/>
      <c r="I366" s="3"/>
      <c r="J366" s="3"/>
      <c r="K366" s="3"/>
      <c r="L366" s="3"/>
      <c r="M366" s="3"/>
    </row>
  </sheetData>
  <sheetProtection selectLockedCells="1" selectUnlockedCells="1"/>
  <mergeCells count="19">
    <mergeCell ref="A2:G2"/>
    <mergeCell ref="A4:G4"/>
    <mergeCell ref="A5:A6"/>
    <mergeCell ref="B5:C5"/>
    <mergeCell ref="D5:D6"/>
    <mergeCell ref="B6:C6"/>
    <mergeCell ref="A11:G11"/>
    <mergeCell ref="A20:G20"/>
    <mergeCell ref="A44:G44"/>
    <mergeCell ref="A55:G55"/>
    <mergeCell ref="A71:G71"/>
    <mergeCell ref="A80:G80"/>
    <mergeCell ref="A90:G90"/>
    <mergeCell ref="A92:G92"/>
    <mergeCell ref="A97:G97"/>
    <mergeCell ref="A99:G99"/>
    <mergeCell ref="A107:G107"/>
    <mergeCell ref="A111:G111"/>
    <mergeCell ref="A118:G118"/>
  </mergeCells>
  <printOptions/>
  <pageMargins left="0.7083333333333334" right="0.7083333333333334" top="0.7479166666666667" bottom="0.7479166666666667" header="0.5118055555555555" footer="0.5118055555555555"/>
  <pageSetup fitToHeight="3" fitToWidth="1"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M366"/>
  <sheetViews>
    <sheetView workbookViewId="0" topLeftCell="A121">
      <selection activeCell="A130" sqref="A130"/>
    </sheetView>
  </sheetViews>
  <sheetFormatPr defaultColWidth="8.00390625" defaultRowHeight="12.75"/>
  <cols>
    <col min="1" max="1" width="18.00390625" style="0" customWidth="1"/>
    <col min="2" max="2" width="13.625" style="0" customWidth="1"/>
    <col min="3" max="3" width="13.00390625" style="0" customWidth="1"/>
    <col min="4" max="4" width="12.375" style="0" customWidth="1"/>
    <col min="5" max="5" width="15.625" style="0" customWidth="1"/>
    <col min="6" max="6" width="12.75390625" style="0" customWidth="1"/>
    <col min="7" max="7" width="13.625" style="0" customWidth="1"/>
    <col min="8" max="16384" width="9.00390625" style="0" customWidth="1"/>
  </cols>
  <sheetData>
    <row r="2" spans="1:13" ht="59.25" customHeight="1">
      <c r="A2" s="1" t="s">
        <v>217</v>
      </c>
      <c r="B2" s="1"/>
      <c r="C2" s="1"/>
      <c r="D2" s="1"/>
      <c r="E2" s="1"/>
      <c r="F2" s="1"/>
      <c r="G2" s="1"/>
      <c r="H2" s="2"/>
      <c r="I2" s="2"/>
      <c r="J2" s="2"/>
      <c r="K2" s="3"/>
      <c r="L2" s="3"/>
      <c r="M2" s="3"/>
    </row>
    <row r="3" spans="1:1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40.5" customHeight="1">
      <c r="A4" s="4" t="s">
        <v>1</v>
      </c>
      <c r="B4" s="4"/>
      <c r="C4" s="4"/>
      <c r="D4" s="4"/>
      <c r="E4" s="4"/>
      <c r="F4" s="4"/>
      <c r="G4" s="4"/>
      <c r="H4" s="3"/>
      <c r="I4" s="3"/>
      <c r="J4" s="3"/>
      <c r="K4" s="3"/>
      <c r="L4" s="3"/>
      <c r="M4" s="3"/>
    </row>
    <row r="5" spans="1:13" ht="12.75" customHeight="1">
      <c r="A5" s="5" t="s">
        <v>2</v>
      </c>
      <c r="B5" s="6" t="s">
        <v>3</v>
      </c>
      <c r="C5" s="6"/>
      <c r="D5" s="7" t="s">
        <v>4</v>
      </c>
      <c r="E5" s="3"/>
      <c r="F5" s="3"/>
      <c r="G5" s="3"/>
      <c r="H5" s="3"/>
      <c r="I5" s="3"/>
      <c r="J5" s="3"/>
      <c r="K5" s="3"/>
      <c r="L5" s="3"/>
      <c r="M5" s="3"/>
    </row>
    <row r="6" spans="1:13" ht="12.75" customHeight="1">
      <c r="A6" s="5"/>
      <c r="B6" s="8">
        <v>12</v>
      </c>
      <c r="C6" s="8"/>
      <c r="D6" s="7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 s="3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 s="3" t="s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42" customHeight="1">
      <c r="A11" s="4" t="s">
        <v>7</v>
      </c>
      <c r="B11" s="4"/>
      <c r="C11" s="4"/>
      <c r="D11" s="4"/>
      <c r="E11" s="4"/>
      <c r="F11" s="4"/>
      <c r="G11" s="4"/>
      <c r="H11" s="3"/>
      <c r="I11" s="3"/>
      <c r="J11" s="3"/>
      <c r="K11" s="3"/>
      <c r="L11" s="3"/>
      <c r="M11" s="3"/>
    </row>
    <row r="12" spans="1:1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 s="3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3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99" customHeight="1">
      <c r="A17" s="9" t="s">
        <v>10</v>
      </c>
      <c r="B17" s="9" t="s">
        <v>11</v>
      </c>
      <c r="C17" s="10" t="s">
        <v>12</v>
      </c>
      <c r="D17" s="9" t="s">
        <v>13</v>
      </c>
      <c r="E17" s="9" t="s">
        <v>218</v>
      </c>
      <c r="F17" s="9" t="s">
        <v>15</v>
      </c>
      <c r="G17" s="3"/>
      <c r="H17" s="3"/>
      <c r="I17" s="3"/>
      <c r="J17" s="3"/>
      <c r="K17" s="3"/>
      <c r="L17" s="3"/>
      <c r="M17" s="3"/>
    </row>
    <row r="18" spans="1:13" ht="29.25" customHeight="1">
      <c r="A18" s="9">
        <v>76</v>
      </c>
      <c r="B18" s="10">
        <v>0</v>
      </c>
      <c r="C18" s="9">
        <v>17</v>
      </c>
      <c r="D18" s="9">
        <v>13</v>
      </c>
      <c r="E18" s="11">
        <v>0</v>
      </c>
      <c r="F18" s="11">
        <v>69</v>
      </c>
      <c r="G18" s="3"/>
      <c r="H18" s="3"/>
      <c r="I18" s="3"/>
      <c r="J18" s="3"/>
      <c r="K18" s="3"/>
      <c r="L18" s="3"/>
      <c r="M18" s="3"/>
    </row>
    <row r="19" spans="1:1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27" customHeight="1">
      <c r="A20" s="12" t="s">
        <v>16</v>
      </c>
      <c r="B20" s="12"/>
      <c r="C20" s="12"/>
      <c r="D20" s="12"/>
      <c r="E20" s="12"/>
      <c r="F20" s="12"/>
      <c r="G20" s="12"/>
      <c r="H20" s="13"/>
      <c r="I20" s="13"/>
      <c r="J20" s="13"/>
      <c r="K20" s="3"/>
      <c r="L20" s="3"/>
      <c r="M20" s="3"/>
    </row>
    <row r="21" spans="1:13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 s="3" t="s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3" t="s">
        <v>18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3" t="s">
        <v>19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 s="3" t="s">
        <v>20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 t="s">
        <v>21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 s="3" t="s">
        <v>22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s="3" t="s">
        <v>23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63.75" customHeight="1">
      <c r="A36" s="14" t="s">
        <v>24</v>
      </c>
      <c r="B36" s="15" t="s">
        <v>25</v>
      </c>
      <c r="C36" s="14" t="s">
        <v>26</v>
      </c>
      <c r="D36" s="14" t="s">
        <v>27</v>
      </c>
      <c r="E36" s="14" t="s">
        <v>28</v>
      </c>
      <c r="F36" s="14" t="s">
        <v>29</v>
      </c>
      <c r="G36" s="3"/>
      <c r="H36" s="3"/>
      <c r="I36" s="3"/>
      <c r="J36" s="3"/>
      <c r="K36" s="3"/>
      <c r="L36" s="3"/>
      <c r="M36" s="3"/>
    </row>
    <row r="37" spans="1:13" ht="12.75">
      <c r="A37" s="16" t="s">
        <v>30</v>
      </c>
      <c r="B37" s="17">
        <f>F18</f>
        <v>69</v>
      </c>
      <c r="C37" s="18">
        <f>F53</f>
        <v>12123.43188405797</v>
      </c>
      <c r="D37" s="18">
        <f>E53</f>
        <v>836516.8</v>
      </c>
      <c r="E37" s="19">
        <f>G53</f>
        <v>0.6327933880108565</v>
      </c>
      <c r="F37" s="18">
        <f aca="true" t="shared" si="0" ref="F37:F40">D37*E37</f>
        <v>529342.3</v>
      </c>
      <c r="G37" s="3"/>
      <c r="H37" s="3"/>
      <c r="I37" s="3"/>
      <c r="J37" s="3"/>
      <c r="K37" s="3"/>
      <c r="L37" s="3"/>
      <c r="M37" s="3"/>
    </row>
    <row r="38" spans="1:13" ht="12.75">
      <c r="A38" s="16" t="s">
        <v>31</v>
      </c>
      <c r="B38" s="17">
        <f aca="true" t="shared" si="1" ref="B38:B41">B37</f>
        <v>69</v>
      </c>
      <c r="C38" s="18">
        <f>F69</f>
        <v>19515.886956521736</v>
      </c>
      <c r="D38" s="18">
        <f>E69</f>
        <v>1346596.2</v>
      </c>
      <c r="E38" s="19">
        <f>G69</f>
        <v>0.6497795701487944</v>
      </c>
      <c r="F38" s="18">
        <f t="shared" si="0"/>
        <v>874990.7</v>
      </c>
      <c r="G38" s="3"/>
      <c r="H38" s="3"/>
      <c r="I38" s="3"/>
      <c r="J38" s="3"/>
      <c r="K38" s="3"/>
      <c r="L38" s="3"/>
      <c r="M38" s="3"/>
    </row>
    <row r="39" spans="1:13" ht="12.75">
      <c r="A39" s="16" t="s">
        <v>32</v>
      </c>
      <c r="B39" s="17">
        <f t="shared" si="1"/>
        <v>69</v>
      </c>
      <c r="C39" s="18">
        <f>C78</f>
        <v>1143.7246376811595</v>
      </c>
      <c r="D39" s="18">
        <f>B78</f>
        <v>78917</v>
      </c>
      <c r="E39" s="19">
        <f>D78</f>
        <v>0.711785800271171</v>
      </c>
      <c r="F39" s="18">
        <f t="shared" si="0"/>
        <v>56172</v>
      </c>
      <c r="G39" s="3"/>
      <c r="H39" s="3"/>
      <c r="I39" s="3"/>
      <c r="J39" s="3"/>
      <c r="K39" s="3"/>
      <c r="L39" s="3"/>
      <c r="M39" s="3"/>
    </row>
    <row r="40" spans="1:13" ht="12.75">
      <c r="A40" s="16" t="s">
        <v>33</v>
      </c>
      <c r="B40" s="17">
        <f t="shared" si="1"/>
        <v>69</v>
      </c>
      <c r="C40" s="18">
        <f>F88</f>
        <v>0</v>
      </c>
      <c r="D40" s="18">
        <f>E88</f>
        <v>0</v>
      </c>
      <c r="E40" s="19">
        <v>0</v>
      </c>
      <c r="F40" s="18">
        <f t="shared" si="0"/>
        <v>0</v>
      </c>
      <c r="G40" s="3"/>
      <c r="H40" s="3"/>
      <c r="I40" s="3"/>
      <c r="J40" s="3"/>
      <c r="K40" s="3"/>
      <c r="L40" s="3"/>
      <c r="M40" s="3"/>
    </row>
    <row r="41" spans="1:13" ht="12.75">
      <c r="A41" s="16" t="s">
        <v>34</v>
      </c>
      <c r="B41" s="17">
        <f t="shared" si="1"/>
        <v>69</v>
      </c>
      <c r="C41" s="18">
        <v>0</v>
      </c>
      <c r="D41" s="18">
        <v>0</v>
      </c>
      <c r="E41" s="19">
        <v>1</v>
      </c>
      <c r="F41" s="18">
        <f>D137</f>
        <v>319532</v>
      </c>
      <c r="G41" s="3"/>
      <c r="H41" s="3"/>
      <c r="I41" s="3"/>
      <c r="J41" s="3"/>
      <c r="K41" s="3"/>
      <c r="L41" s="3"/>
      <c r="M41" s="3"/>
    </row>
    <row r="42" spans="1:13" ht="12.75">
      <c r="A42" s="20" t="s">
        <v>35</v>
      </c>
      <c r="B42" s="21"/>
      <c r="C42" s="22">
        <f>D42/B40</f>
        <v>32783.04347826087</v>
      </c>
      <c r="D42" s="22">
        <f>SUM(D37:D40)</f>
        <v>2262030</v>
      </c>
      <c r="E42" s="23">
        <f>F42/D42</f>
        <v>0.7869201557892689</v>
      </c>
      <c r="F42" s="18">
        <f>F37+F38+F39+F40+F41</f>
        <v>1780037</v>
      </c>
      <c r="G42" s="24">
        <f>F42+E95</f>
        <v>2375440</v>
      </c>
      <c r="H42" s="3"/>
      <c r="I42" s="3"/>
      <c r="J42" s="3"/>
      <c r="K42" s="3"/>
      <c r="L42" s="3"/>
      <c r="M42" s="3"/>
    </row>
    <row r="43" spans="1:13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30.75" customHeight="1">
      <c r="A44" s="25" t="s">
        <v>219</v>
      </c>
      <c r="B44" s="25"/>
      <c r="C44" s="25"/>
      <c r="D44" s="25"/>
      <c r="E44" s="25"/>
      <c r="F44" s="25"/>
      <c r="G44" s="25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3" t="s">
        <v>37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63.75">
      <c r="A48" s="14" t="s">
        <v>38</v>
      </c>
      <c r="B48" s="14" t="s">
        <v>39</v>
      </c>
      <c r="C48" s="14" t="s">
        <v>40</v>
      </c>
      <c r="D48" s="14" t="s">
        <v>41</v>
      </c>
      <c r="E48" s="14" t="s">
        <v>42</v>
      </c>
      <c r="F48" s="14" t="s">
        <v>26</v>
      </c>
      <c r="G48" s="14" t="s">
        <v>28</v>
      </c>
      <c r="H48" s="3"/>
      <c r="I48" s="3"/>
      <c r="J48" s="3"/>
      <c r="K48" s="3"/>
      <c r="L48" s="3"/>
      <c r="M48" s="3"/>
    </row>
    <row r="49" spans="1:13" ht="25.5">
      <c r="A49" s="26" t="s">
        <v>43</v>
      </c>
      <c r="B49" s="27" t="s">
        <v>44</v>
      </c>
      <c r="C49" s="19">
        <f>85.1/2</f>
        <v>42.55</v>
      </c>
      <c r="D49" s="19">
        <f>E49/C49</f>
        <v>8995.534665099884</v>
      </c>
      <c r="E49" s="19">
        <f>765520/2</f>
        <v>382760</v>
      </c>
      <c r="F49" s="19">
        <f aca="true" t="shared" si="2" ref="F49:F52">E49/$B$40</f>
        <v>5547.246376811594</v>
      </c>
      <c r="G49" s="19">
        <f>(357643/2/E49)</f>
        <v>0.46718962274009823</v>
      </c>
      <c r="H49" s="3"/>
      <c r="I49" s="3"/>
      <c r="J49" s="3"/>
      <c r="K49" s="3"/>
      <c r="L49" s="3"/>
      <c r="M49" s="3"/>
    </row>
    <row r="50" spans="1:13" ht="25.5">
      <c r="A50" s="26" t="s">
        <v>45</v>
      </c>
      <c r="B50" s="27" t="s">
        <v>46</v>
      </c>
      <c r="C50" s="19">
        <v>0</v>
      </c>
      <c r="D50" s="19">
        <v>0</v>
      </c>
      <c r="E50" s="19">
        <v>0</v>
      </c>
      <c r="F50" s="19">
        <f t="shared" si="2"/>
        <v>0</v>
      </c>
      <c r="G50" s="19">
        <v>0</v>
      </c>
      <c r="H50" s="3"/>
      <c r="I50" s="3"/>
      <c r="J50" s="3"/>
      <c r="K50" s="3"/>
      <c r="L50" s="3"/>
      <c r="M50" s="3"/>
    </row>
    <row r="51" spans="1:13" ht="25.5">
      <c r="A51" s="26" t="s">
        <v>47</v>
      </c>
      <c r="B51" s="27" t="s">
        <v>48</v>
      </c>
      <c r="C51" s="19">
        <f>30000*90%</f>
        <v>27000</v>
      </c>
      <c r="D51" s="19">
        <f aca="true" t="shared" si="3" ref="D51:D52">E51/C51</f>
        <v>11.707733333333334</v>
      </c>
      <c r="E51" s="19">
        <f>351232*90%</f>
        <v>316108.8</v>
      </c>
      <c r="F51" s="19">
        <f t="shared" si="2"/>
        <v>4581.286956521739</v>
      </c>
      <c r="G51" s="19">
        <f>(351232*90%/E51)</f>
        <v>1</v>
      </c>
      <c r="H51" s="3"/>
      <c r="I51" s="3"/>
      <c r="J51" s="3"/>
      <c r="K51" s="3"/>
      <c r="L51" s="3"/>
      <c r="M51" s="3"/>
    </row>
    <row r="52" spans="1:13" ht="25.5">
      <c r="A52" s="26" t="s">
        <v>49</v>
      </c>
      <c r="B52" s="27" t="s">
        <v>46</v>
      </c>
      <c r="C52" s="19">
        <v>2300</v>
      </c>
      <c r="D52" s="19">
        <f t="shared" si="3"/>
        <v>59.84695652173913</v>
      </c>
      <c r="E52" s="19">
        <v>137648</v>
      </c>
      <c r="F52" s="19">
        <f t="shared" si="2"/>
        <v>1994.8985507246377</v>
      </c>
      <c r="G52" s="19">
        <f>(34412/E52)</f>
        <v>0.25</v>
      </c>
      <c r="H52" s="3"/>
      <c r="I52" s="3"/>
      <c r="J52" s="3"/>
      <c r="K52" s="3"/>
      <c r="L52" s="3"/>
      <c r="M52" s="3"/>
    </row>
    <row r="53" spans="1:13" ht="20.25" customHeight="1">
      <c r="A53" s="28" t="s">
        <v>50</v>
      </c>
      <c r="B53" s="29"/>
      <c r="C53" s="23"/>
      <c r="D53" s="23"/>
      <c r="E53" s="23">
        <f>E49+E50+E51+E52</f>
        <v>836516.8</v>
      </c>
      <c r="F53" s="23">
        <f>F49+F50+F51+F52</f>
        <v>12123.43188405797</v>
      </c>
      <c r="G53" s="23">
        <f>(357643/2+351232*90%+34412)/E53</f>
        <v>0.6327933880108565</v>
      </c>
      <c r="H53" s="3"/>
      <c r="I53" s="3"/>
      <c r="J53" s="3"/>
      <c r="K53" s="3"/>
      <c r="L53" s="3"/>
      <c r="M53" s="3"/>
    </row>
    <row r="54" spans="1:13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25.5" customHeight="1">
      <c r="A55" s="25" t="s">
        <v>200</v>
      </c>
      <c r="B55" s="25"/>
      <c r="C55" s="25"/>
      <c r="D55" s="25"/>
      <c r="E55" s="25"/>
      <c r="F55" s="25"/>
      <c r="G55" s="25"/>
      <c r="H55" s="3"/>
      <c r="I55" s="3"/>
      <c r="J55" s="3"/>
      <c r="K55" s="3"/>
      <c r="L55" s="3"/>
      <c r="M55" s="3"/>
    </row>
    <row r="56" spans="1:1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75">
      <c r="A57" s="3" t="s">
        <v>52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63.75">
      <c r="A59" s="14" t="s">
        <v>38</v>
      </c>
      <c r="B59" s="14" t="s">
        <v>39</v>
      </c>
      <c r="C59" s="14" t="s">
        <v>53</v>
      </c>
      <c r="D59" s="14" t="s">
        <v>54</v>
      </c>
      <c r="E59" s="14" t="s">
        <v>42</v>
      </c>
      <c r="F59" s="14" t="s">
        <v>26</v>
      </c>
      <c r="G59" s="14" t="s">
        <v>28</v>
      </c>
      <c r="H59" s="3"/>
      <c r="I59" s="3"/>
      <c r="J59" s="3"/>
      <c r="K59" s="3"/>
      <c r="L59" s="3"/>
      <c r="M59" s="3"/>
    </row>
    <row r="60" spans="1:13" ht="45.75" customHeight="1">
      <c r="A60" s="26" t="s">
        <v>55</v>
      </c>
      <c r="B60" s="30"/>
      <c r="C60" s="19"/>
      <c r="D60" s="19"/>
      <c r="E60" s="19">
        <v>85613</v>
      </c>
      <c r="F60" s="19">
        <f aca="true" t="shared" si="4" ref="F60:F68">E60/$B$40</f>
        <v>1240.768115942029</v>
      </c>
      <c r="G60" s="19">
        <f>(60938/E60)</f>
        <v>0.7117844252625185</v>
      </c>
      <c r="H60" s="3"/>
      <c r="I60" s="3"/>
      <c r="J60" s="3"/>
      <c r="K60" s="3"/>
      <c r="L60" s="3"/>
      <c r="M60" s="3"/>
    </row>
    <row r="61" spans="1:13" ht="25.5">
      <c r="A61" s="26" t="s">
        <v>56</v>
      </c>
      <c r="B61" s="30" t="s">
        <v>57</v>
      </c>
      <c r="C61" s="19">
        <v>1</v>
      </c>
      <c r="D61" s="19">
        <f>E61/C61</f>
        <v>18684</v>
      </c>
      <c r="E61" s="19">
        <v>18684</v>
      </c>
      <c r="F61" s="19">
        <f t="shared" si="4"/>
        <v>270.7826086956522</v>
      </c>
      <c r="G61" s="19">
        <f>(13299/E61)</f>
        <v>0.7117854849068722</v>
      </c>
      <c r="H61" s="3"/>
      <c r="I61" s="3"/>
      <c r="J61" s="3"/>
      <c r="K61" s="3"/>
      <c r="L61" s="3"/>
      <c r="M61" s="3"/>
    </row>
    <row r="62" spans="1:13" ht="18" customHeight="1">
      <c r="A62" s="26" t="s">
        <v>58</v>
      </c>
      <c r="B62" s="30"/>
      <c r="C62" s="19"/>
      <c r="D62" s="19"/>
      <c r="E62" s="19">
        <v>0</v>
      </c>
      <c r="F62" s="19">
        <f t="shared" si="4"/>
        <v>0</v>
      </c>
      <c r="G62" s="19" t="e">
        <f>(0/E62)</f>
        <v>#DIV/0!</v>
      </c>
      <c r="H62" s="3"/>
      <c r="I62" s="3"/>
      <c r="J62" s="3"/>
      <c r="K62" s="3"/>
      <c r="L62" s="3"/>
      <c r="M62" s="3"/>
    </row>
    <row r="63" spans="1:13" ht="18" customHeight="1">
      <c r="A63" s="26" t="s">
        <v>59</v>
      </c>
      <c r="B63" s="30"/>
      <c r="C63" s="19"/>
      <c r="D63" s="19"/>
      <c r="E63" s="19">
        <v>809640</v>
      </c>
      <c r="F63" s="19">
        <f t="shared" si="4"/>
        <v>11733.91304347826</v>
      </c>
      <c r="G63" s="19">
        <f>(576292/E63)</f>
        <v>0.7117879551405563</v>
      </c>
      <c r="H63" s="3"/>
      <c r="I63" s="3"/>
      <c r="J63" s="3"/>
      <c r="K63" s="3"/>
      <c r="L63" s="3"/>
      <c r="M63" s="3"/>
    </row>
    <row r="64" spans="1:13" ht="25.5">
      <c r="A64" s="26" t="s">
        <v>43</v>
      </c>
      <c r="B64" s="27" t="s">
        <v>44</v>
      </c>
      <c r="C64" s="19">
        <f>85.1/2</f>
        <v>42.55</v>
      </c>
      <c r="D64" s="19">
        <f>E64/C64</f>
        <v>8995.534665099884</v>
      </c>
      <c r="E64" s="19">
        <f>765520/2</f>
        <v>382760</v>
      </c>
      <c r="F64" s="19">
        <f t="shared" si="4"/>
        <v>5547.246376811594</v>
      </c>
      <c r="G64" s="19">
        <f>(357643/2/E64)</f>
        <v>0.46718962274009823</v>
      </c>
      <c r="H64" s="3"/>
      <c r="I64" s="3"/>
      <c r="J64" s="3"/>
      <c r="K64" s="3"/>
      <c r="L64" s="3"/>
      <c r="M64" s="3"/>
    </row>
    <row r="65" spans="1:13" ht="25.5">
      <c r="A65" s="26" t="s">
        <v>45</v>
      </c>
      <c r="B65" s="27" t="s">
        <v>46</v>
      </c>
      <c r="C65" s="19">
        <v>0</v>
      </c>
      <c r="D65" s="19">
        <v>0</v>
      </c>
      <c r="E65" s="19">
        <v>0</v>
      </c>
      <c r="F65" s="19">
        <f t="shared" si="4"/>
        <v>0</v>
      </c>
      <c r="G65" s="19">
        <v>0</v>
      </c>
      <c r="H65" s="3"/>
      <c r="I65" s="3"/>
      <c r="J65" s="3"/>
      <c r="K65" s="3"/>
      <c r="L65" s="3"/>
      <c r="M65" s="3"/>
    </row>
    <row r="66" spans="1:13" ht="25.5">
      <c r="A66" s="26" t="s">
        <v>47</v>
      </c>
      <c r="B66" s="27" t="s">
        <v>48</v>
      </c>
      <c r="C66" s="19">
        <f>30000*10%</f>
        <v>3000</v>
      </c>
      <c r="D66" s="19">
        <f>E66/C66</f>
        <v>11.707733333333335</v>
      </c>
      <c r="E66" s="19">
        <f>351232*10%</f>
        <v>35123.200000000004</v>
      </c>
      <c r="F66" s="19">
        <f t="shared" si="4"/>
        <v>509.03188405797107</v>
      </c>
      <c r="G66" s="19">
        <f>(351232*10%/E66)</f>
        <v>1</v>
      </c>
      <c r="H66" s="3"/>
      <c r="I66" s="3"/>
      <c r="J66" s="3"/>
      <c r="K66" s="3"/>
      <c r="L66" s="3"/>
      <c r="M66" s="3"/>
    </row>
    <row r="67" spans="1:13" ht="25.5" customHeight="1">
      <c r="A67" s="26" t="s">
        <v>60</v>
      </c>
      <c r="B67" s="30"/>
      <c r="C67" s="19"/>
      <c r="D67" s="19"/>
      <c r="E67" s="19">
        <v>9912</v>
      </c>
      <c r="F67" s="19">
        <f t="shared" si="4"/>
        <v>143.65217391304347</v>
      </c>
      <c r="G67" s="19">
        <f>(7055/E67)</f>
        <v>0.7117635189669088</v>
      </c>
      <c r="H67" s="3"/>
      <c r="I67" s="3"/>
      <c r="J67" s="3"/>
      <c r="K67" s="3"/>
      <c r="L67" s="3"/>
      <c r="M67" s="3"/>
    </row>
    <row r="68" spans="1:13" ht="12.75">
      <c r="A68" s="26" t="s">
        <v>61</v>
      </c>
      <c r="B68" s="30"/>
      <c r="C68" s="19"/>
      <c r="D68" s="19"/>
      <c r="E68" s="19">
        <v>4864</v>
      </c>
      <c r="F68" s="19">
        <f t="shared" si="4"/>
        <v>70.4927536231884</v>
      </c>
      <c r="G68" s="19">
        <f>(3462/E68)</f>
        <v>0.7117598684210527</v>
      </c>
      <c r="H68" s="3"/>
      <c r="I68" s="3"/>
      <c r="J68" s="3"/>
      <c r="K68" s="3"/>
      <c r="L68" s="3"/>
      <c r="M68" s="3"/>
    </row>
    <row r="69" spans="1:13" ht="24.75" customHeight="1">
      <c r="A69" s="28" t="s">
        <v>50</v>
      </c>
      <c r="B69" s="31"/>
      <c r="C69" s="23"/>
      <c r="D69" s="23"/>
      <c r="E69" s="23">
        <f>SUM(E60:E68)</f>
        <v>1346596.2</v>
      </c>
      <c r="F69" s="23">
        <f>SUM(F60:F68)</f>
        <v>19515.886956521736</v>
      </c>
      <c r="G69" s="23">
        <f>(60938+13299+576292+357643/2+351232*10%+3462+7055)/E69</f>
        <v>0.6497795701487944</v>
      </c>
      <c r="H69" s="3"/>
      <c r="I69" s="3"/>
      <c r="J69" s="3"/>
      <c r="K69" s="3"/>
      <c r="L69" s="3"/>
      <c r="M69" s="3"/>
    </row>
    <row r="70" spans="1:13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37.5" customHeight="1">
      <c r="A71" s="25" t="s">
        <v>220</v>
      </c>
      <c r="B71" s="25"/>
      <c r="C71" s="25"/>
      <c r="D71" s="25"/>
      <c r="E71" s="25"/>
      <c r="F71" s="25"/>
      <c r="G71" s="25"/>
      <c r="H71" s="3"/>
      <c r="I71" s="3"/>
      <c r="J71" s="3"/>
      <c r="K71" s="3"/>
      <c r="L71" s="3"/>
      <c r="M71" s="3"/>
    </row>
    <row r="72" spans="1:13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>
      <c r="A73" s="3" t="s">
        <v>63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63.75">
      <c r="A75" s="14" t="s">
        <v>38</v>
      </c>
      <c r="B75" s="14" t="s">
        <v>42</v>
      </c>
      <c r="C75" s="14" t="s">
        <v>26</v>
      </c>
      <c r="D75" s="14" t="s">
        <v>28</v>
      </c>
      <c r="E75" s="32"/>
      <c r="F75" s="32"/>
      <c r="G75" s="32"/>
      <c r="H75" s="3"/>
      <c r="I75" s="3"/>
      <c r="J75" s="3"/>
      <c r="K75" s="3"/>
      <c r="L75" s="3"/>
      <c r="M75" s="3"/>
    </row>
    <row r="76" spans="1:13" ht="51">
      <c r="A76" s="26" t="s">
        <v>64</v>
      </c>
      <c r="B76" s="33">
        <v>1673</v>
      </c>
      <c r="C76" s="19">
        <f aca="true" t="shared" si="5" ref="C76:C77">B76/$B$40</f>
        <v>24.246376811594203</v>
      </c>
      <c r="D76" s="19">
        <f>(1191/B76)</f>
        <v>0.7118947997609085</v>
      </c>
      <c r="E76" s="34"/>
      <c r="F76" s="35"/>
      <c r="G76" s="35"/>
      <c r="H76" s="3"/>
      <c r="I76" s="3"/>
      <c r="J76" s="3"/>
      <c r="K76" s="3"/>
      <c r="L76" s="3"/>
      <c r="M76" s="3"/>
    </row>
    <row r="77" spans="1:13" ht="19.5" customHeight="1">
      <c r="A77" s="26" t="s">
        <v>65</v>
      </c>
      <c r="B77" s="33">
        <f>59789+17455</f>
        <v>77244</v>
      </c>
      <c r="C77" s="19">
        <f t="shared" si="5"/>
        <v>1119.4782608695652</v>
      </c>
      <c r="D77" s="19">
        <f>(42557+12424)/B77</f>
        <v>0.7117834394904459</v>
      </c>
      <c r="E77" s="34"/>
      <c r="F77" s="35"/>
      <c r="G77" s="35"/>
      <c r="H77" s="3"/>
      <c r="I77" s="3"/>
      <c r="J77" s="3"/>
      <c r="K77" s="3"/>
      <c r="L77" s="3"/>
      <c r="M77" s="3"/>
    </row>
    <row r="78" spans="1:13" ht="27" customHeight="1">
      <c r="A78" s="28" t="s">
        <v>50</v>
      </c>
      <c r="B78" s="36">
        <f>SUM(B76:B77)</f>
        <v>78917</v>
      </c>
      <c r="C78" s="36">
        <f>SUM(C76:C77)</f>
        <v>1143.7246376811595</v>
      </c>
      <c r="D78" s="36">
        <f>(42557+12424+1191)/B78</f>
        <v>0.711785800271171</v>
      </c>
      <c r="E78" s="37"/>
      <c r="F78" s="37"/>
      <c r="G78" s="37"/>
      <c r="H78" s="3"/>
      <c r="I78" s="3"/>
      <c r="J78" s="3"/>
      <c r="K78" s="3"/>
      <c r="L78" s="3"/>
      <c r="M78" s="3"/>
    </row>
    <row r="79" spans="1:13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29.25" customHeight="1">
      <c r="A80" s="25" t="s">
        <v>66</v>
      </c>
      <c r="B80" s="25"/>
      <c r="C80" s="25"/>
      <c r="D80" s="25"/>
      <c r="E80" s="25"/>
      <c r="F80" s="25"/>
      <c r="G80" s="25"/>
      <c r="H80" s="3"/>
      <c r="I80" s="3"/>
      <c r="J80" s="3"/>
      <c r="K80" s="3"/>
      <c r="L80" s="3"/>
      <c r="M80" s="3"/>
    </row>
    <row r="81" spans="1:13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 hidden="1">
      <c r="A82" s="3" t="s">
        <v>67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63.75" hidden="1">
      <c r="A84" s="38" t="s">
        <v>68</v>
      </c>
      <c r="B84" s="10" t="s">
        <v>69</v>
      </c>
      <c r="C84" s="14" t="s">
        <v>54</v>
      </c>
      <c r="D84" s="10" t="s">
        <v>70</v>
      </c>
      <c r="E84" s="39" t="s">
        <v>71</v>
      </c>
      <c r="F84" s="14" t="s">
        <v>26</v>
      </c>
      <c r="G84" s="14" t="s">
        <v>28</v>
      </c>
      <c r="H84" s="3"/>
      <c r="I84" s="3"/>
      <c r="J84" s="3"/>
      <c r="K84" s="3"/>
      <c r="L84" s="3"/>
      <c r="M84" s="3"/>
    </row>
    <row r="85" spans="1:13" ht="12.75" hidden="1">
      <c r="A85" s="40" t="s">
        <v>72</v>
      </c>
      <c r="B85" s="41">
        <v>1</v>
      </c>
      <c r="C85" s="42">
        <f aca="true" t="shared" si="6" ref="C85:C86">E85/D85/B85</f>
        <v>0</v>
      </c>
      <c r="D85" s="43">
        <v>12</v>
      </c>
      <c r="E85" s="44">
        <v>0</v>
      </c>
      <c r="F85" s="19">
        <f aca="true" t="shared" si="7" ref="F85:F88">E85/$B$40</f>
        <v>0</v>
      </c>
      <c r="G85" s="72" t="e">
        <f aca="true" t="shared" si="8" ref="G85:G87">(0/E85)</f>
        <v>#DIV/0!</v>
      </c>
      <c r="H85" s="3"/>
      <c r="I85" s="3"/>
      <c r="J85" s="3"/>
      <c r="K85" s="3"/>
      <c r="L85" s="3"/>
      <c r="M85" s="3"/>
    </row>
    <row r="86" spans="1:13" ht="12.75" hidden="1">
      <c r="A86" s="40" t="s">
        <v>73</v>
      </c>
      <c r="B86" s="39">
        <v>1</v>
      </c>
      <c r="C86" s="42">
        <f t="shared" si="6"/>
        <v>0</v>
      </c>
      <c r="D86" s="43">
        <v>12</v>
      </c>
      <c r="E86" s="44">
        <v>0</v>
      </c>
      <c r="F86" s="19">
        <f t="shared" si="7"/>
        <v>0</v>
      </c>
      <c r="G86" s="72" t="e">
        <f t="shared" si="8"/>
        <v>#DIV/0!</v>
      </c>
      <c r="H86" s="3"/>
      <c r="I86" s="3"/>
      <c r="J86" s="3"/>
      <c r="K86" s="3"/>
      <c r="L86" s="3"/>
      <c r="M86" s="3"/>
    </row>
    <row r="87" spans="1:13" ht="12.75" hidden="1">
      <c r="A87" s="40" t="s">
        <v>74</v>
      </c>
      <c r="B87" s="41"/>
      <c r="C87" s="41"/>
      <c r="D87" s="43"/>
      <c r="E87" s="44">
        <v>0</v>
      </c>
      <c r="F87" s="19">
        <f t="shared" si="7"/>
        <v>0</v>
      </c>
      <c r="G87" s="72" t="e">
        <f t="shared" si="8"/>
        <v>#DIV/0!</v>
      </c>
      <c r="H87" s="3"/>
      <c r="I87" s="3"/>
      <c r="J87" s="3"/>
      <c r="K87" s="3"/>
      <c r="L87" s="3"/>
      <c r="M87" s="3"/>
    </row>
    <row r="88" spans="1:13" ht="12.75" hidden="1">
      <c r="A88" s="45" t="s">
        <v>75</v>
      </c>
      <c r="B88" s="46"/>
      <c r="C88" s="46"/>
      <c r="D88" s="46"/>
      <c r="E88" s="47">
        <f>E85+E86+E87</f>
        <v>0</v>
      </c>
      <c r="F88" s="23">
        <f t="shared" si="7"/>
        <v>0</v>
      </c>
      <c r="G88" s="73" t="e">
        <f>0/E88</f>
        <v>#DIV/0!</v>
      </c>
      <c r="H88" s="3"/>
      <c r="I88" s="3"/>
      <c r="J88" s="3"/>
      <c r="K88" s="3"/>
      <c r="L88" s="3"/>
      <c r="M88" s="3"/>
    </row>
    <row r="89" spans="1:13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22.5" customHeight="1" hidden="1">
      <c r="A90" s="25" t="s">
        <v>221</v>
      </c>
      <c r="B90" s="25"/>
      <c r="C90" s="25"/>
      <c r="D90" s="25"/>
      <c r="E90" s="25"/>
      <c r="F90" s="25"/>
      <c r="G90" s="25"/>
      <c r="H90" s="3"/>
      <c r="I90" s="3"/>
      <c r="J90" s="3"/>
      <c r="K90" s="3"/>
      <c r="L90" s="3"/>
      <c r="M90" s="3"/>
    </row>
    <row r="91" spans="1:1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45" customHeight="1">
      <c r="A92" s="12" t="s">
        <v>77</v>
      </c>
      <c r="B92" s="12"/>
      <c r="C92" s="12"/>
      <c r="D92" s="12"/>
      <c r="E92" s="12"/>
      <c r="F92" s="12"/>
      <c r="G92" s="12"/>
      <c r="H92" s="13"/>
      <c r="I92" s="13"/>
      <c r="J92" s="13"/>
      <c r="K92" s="3"/>
      <c r="L92" s="3"/>
      <c r="M92" s="3"/>
    </row>
    <row r="93" spans="1:1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63.75">
      <c r="A94" s="14" t="s">
        <v>38</v>
      </c>
      <c r="B94" s="39" t="s">
        <v>71</v>
      </c>
      <c r="C94" s="14" t="s">
        <v>26</v>
      </c>
      <c r="D94" s="14" t="s">
        <v>28</v>
      </c>
      <c r="E94" s="48" t="s">
        <v>78</v>
      </c>
      <c r="F94" s="16" t="s">
        <v>79</v>
      </c>
      <c r="G94" s="3"/>
      <c r="H94" s="3"/>
      <c r="I94" s="3"/>
      <c r="J94" s="3"/>
      <c r="K94" s="3"/>
      <c r="L94" s="3"/>
      <c r="M94" s="3"/>
    </row>
    <row r="95" spans="1:13" ht="12.75">
      <c r="A95" s="49" t="s">
        <v>80</v>
      </c>
      <c r="B95" s="36">
        <v>836490</v>
      </c>
      <c r="C95" s="23">
        <f>B95/$B$40</f>
        <v>12123.04347826087</v>
      </c>
      <c r="D95" s="23">
        <f>595403/B95</f>
        <v>0.7117873495200182</v>
      </c>
      <c r="E95" s="18">
        <f>B95*D95</f>
        <v>595403</v>
      </c>
      <c r="F95" s="18">
        <f>E95-B95</f>
        <v>-241087</v>
      </c>
      <c r="G95" s="3"/>
      <c r="H95" s="3"/>
      <c r="I95" s="3"/>
      <c r="J95" s="3"/>
      <c r="K95" s="3"/>
      <c r="L95" s="3"/>
      <c r="M95" s="3"/>
    </row>
    <row r="96" spans="1:1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34.5" customHeight="1">
      <c r="A97" s="25" t="s">
        <v>81</v>
      </c>
      <c r="B97" s="25"/>
      <c r="C97" s="25"/>
      <c r="D97" s="25"/>
      <c r="E97" s="25"/>
      <c r="F97" s="25"/>
      <c r="G97" s="25"/>
      <c r="H97" s="3"/>
      <c r="I97" s="3"/>
      <c r="J97" s="3"/>
      <c r="K97" s="3"/>
      <c r="L97" s="3"/>
      <c r="M97" s="3"/>
    </row>
    <row r="98" spans="1:1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48.75" customHeight="1">
      <c r="A99" s="50" t="s">
        <v>222</v>
      </c>
      <c r="B99" s="50"/>
      <c r="C99" s="50"/>
      <c r="D99" s="50"/>
      <c r="E99" s="50"/>
      <c r="F99" s="50"/>
      <c r="G99" s="50"/>
      <c r="H99" s="3"/>
      <c r="I99" s="3"/>
      <c r="J99" s="3"/>
      <c r="K99" s="3"/>
      <c r="L99" s="3"/>
      <c r="M99" s="3"/>
    </row>
    <row r="100" spans="1:13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4.25">
      <c r="A101" s="3" t="s">
        <v>83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>
      <c r="A103" s="3" t="s">
        <v>84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>
      <c r="A105" s="3" t="s">
        <v>85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7.25" customHeight="1">
      <c r="A107" s="4" t="s">
        <v>86</v>
      </c>
      <c r="B107" s="4"/>
      <c r="C107" s="4"/>
      <c r="D107" s="4"/>
      <c r="E107" s="4"/>
      <c r="F107" s="4"/>
      <c r="G107" s="4"/>
      <c r="H107" s="3"/>
      <c r="I107" s="3"/>
      <c r="J107" s="3"/>
      <c r="K107" s="3"/>
      <c r="L107" s="3"/>
      <c r="M107" s="3"/>
    </row>
    <row r="108" spans="1:13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>
      <c r="A109" s="3" t="s">
        <v>87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3.5" customHeight="1">
      <c r="A111" s="4" t="s">
        <v>88</v>
      </c>
      <c r="B111" s="4"/>
      <c r="C111" s="4"/>
      <c r="D111" s="4"/>
      <c r="E111" s="4"/>
      <c r="F111" s="4"/>
      <c r="G111" s="4"/>
      <c r="H111" s="3"/>
      <c r="I111" s="3"/>
      <c r="J111" s="3"/>
      <c r="K111" s="3"/>
      <c r="L111" s="3"/>
      <c r="M111" s="3"/>
    </row>
    <row r="112" spans="1:1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>
      <c r="A113" s="3" t="s">
        <v>5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14.75">
      <c r="A115" s="14" t="s">
        <v>89</v>
      </c>
      <c r="B115" s="14" t="s">
        <v>90</v>
      </c>
      <c r="C115" s="39" t="s">
        <v>91</v>
      </c>
      <c r="D115" s="14" t="s">
        <v>92</v>
      </c>
      <c r="E115" s="14" t="s">
        <v>93</v>
      </c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36">
        <f>C42</f>
        <v>32783.04347826087</v>
      </c>
      <c r="B116" s="36">
        <f>E42</f>
        <v>0.7869201557892689</v>
      </c>
      <c r="C116" s="23">
        <f>C95</f>
        <v>12123.04347826087</v>
      </c>
      <c r="D116" s="23">
        <f>D95</f>
        <v>0.7117873495200182</v>
      </c>
      <c r="E116" s="36">
        <f>(A116*B116+C116*D116)*F18</f>
        <v>2375440.0000000005</v>
      </c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09.5" customHeight="1">
      <c r="A118" s="12" t="s">
        <v>223</v>
      </c>
      <c r="B118" s="12"/>
      <c r="C118" s="12"/>
      <c r="D118" s="12"/>
      <c r="E118" s="12"/>
      <c r="F118" s="12"/>
      <c r="G118" s="12"/>
      <c r="H118" s="3"/>
      <c r="I118" s="3"/>
      <c r="J118" s="3"/>
      <c r="K118" s="3"/>
      <c r="L118" s="3"/>
      <c r="M118" s="3"/>
    </row>
    <row r="119" spans="1:13" ht="12.75">
      <c r="A119" s="3"/>
      <c r="B119" s="3"/>
      <c r="C119" s="3"/>
      <c r="D119" s="3" t="s">
        <v>95</v>
      </c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>
      <c r="A121" s="3" t="s">
        <v>96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>
      <c r="A123" s="3" t="s">
        <v>97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>
      <c r="A125" s="3" t="s">
        <v>98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>
      <c r="A127" s="3" t="s">
        <v>99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40.25">
      <c r="A129" s="51" t="s">
        <v>100</v>
      </c>
      <c r="B129" s="52" t="s">
        <v>101</v>
      </c>
      <c r="C129" s="51" t="s">
        <v>102</v>
      </c>
      <c r="D129" s="51" t="s">
        <v>103</v>
      </c>
      <c r="E129" s="53"/>
      <c r="F129" s="53"/>
      <c r="G129" s="53"/>
      <c r="H129" s="3"/>
      <c r="I129" s="3"/>
      <c r="J129" s="3"/>
      <c r="K129" s="3"/>
      <c r="L129" s="3"/>
      <c r="M129" s="3"/>
    </row>
    <row r="130" spans="1:13" ht="12.75">
      <c r="A130" s="65">
        <f>4701105+150+30621+59012+24712+10000</f>
        <v>4825600</v>
      </c>
      <c r="B130" s="65">
        <f>540000+163080</f>
        <v>703080</v>
      </c>
      <c r="C130" s="66">
        <f>324000+97848</f>
        <v>421848</v>
      </c>
      <c r="D130" s="67">
        <f>A130+B130+C130</f>
        <v>5950528</v>
      </c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>
      <c r="A131" s="58"/>
      <c r="B131" s="58"/>
      <c r="C131" s="58"/>
      <c r="D131" s="58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>
      <c r="A132" s="58"/>
      <c r="B132" s="58"/>
      <c r="C132" s="58"/>
      <c r="D132" s="58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>
      <c r="A133" s="68" t="s">
        <v>107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16" t="s">
        <v>108</v>
      </c>
      <c r="B135" s="16">
        <v>0</v>
      </c>
      <c r="C135" s="16"/>
      <c r="D135" s="18">
        <v>245416</v>
      </c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>
      <c r="A136" s="16" t="s">
        <v>109</v>
      </c>
      <c r="B136" s="16">
        <v>0</v>
      </c>
      <c r="C136" s="16"/>
      <c r="D136" s="18">
        <v>74116</v>
      </c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21" t="s">
        <v>50</v>
      </c>
      <c r="B137" s="21">
        <f>B135+B136</f>
        <v>0</v>
      </c>
      <c r="C137" s="21"/>
      <c r="D137" s="22">
        <f>D135+D136</f>
        <v>319532</v>
      </c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6:13" ht="12.75">
      <c r="F366" s="3"/>
      <c r="G366" s="3"/>
      <c r="H366" s="3"/>
      <c r="I366" s="3"/>
      <c r="J366" s="3"/>
      <c r="K366" s="3"/>
      <c r="L366" s="3"/>
      <c r="M366" s="3"/>
    </row>
  </sheetData>
  <sheetProtection selectLockedCells="1" selectUnlockedCells="1"/>
  <mergeCells count="19">
    <mergeCell ref="A2:G2"/>
    <mergeCell ref="A4:G4"/>
    <mergeCell ref="A5:A6"/>
    <mergeCell ref="B5:C5"/>
    <mergeCell ref="D5:D6"/>
    <mergeCell ref="B6:C6"/>
    <mergeCell ref="A11:G11"/>
    <mergeCell ref="A20:G20"/>
    <mergeCell ref="A44:G44"/>
    <mergeCell ref="A55:G55"/>
    <mergeCell ref="A71:G71"/>
    <mergeCell ref="A80:G80"/>
    <mergeCell ref="A90:G90"/>
    <mergeCell ref="A92:G92"/>
    <mergeCell ref="A97:G97"/>
    <mergeCell ref="A99:G99"/>
    <mergeCell ref="A107:G107"/>
    <mergeCell ref="A111:G111"/>
    <mergeCell ref="A118:G118"/>
  </mergeCells>
  <printOptions/>
  <pageMargins left="0.7083333333333334" right="0.7083333333333334" top="0.7479166666666667" bottom="0.7479166666666667" header="0.5118055555555555" footer="0.5118055555555555"/>
  <pageSetup fitToHeight="3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M366"/>
  <sheetViews>
    <sheetView workbookViewId="0" topLeftCell="A124">
      <selection activeCell="E135" sqref="E135"/>
    </sheetView>
  </sheetViews>
  <sheetFormatPr defaultColWidth="8.00390625" defaultRowHeight="12.75"/>
  <cols>
    <col min="1" max="1" width="18.00390625" style="0" customWidth="1"/>
    <col min="2" max="2" width="13.625" style="0" customWidth="1"/>
    <col min="3" max="3" width="13.00390625" style="0" customWidth="1"/>
    <col min="4" max="4" width="12.375" style="0" customWidth="1"/>
    <col min="5" max="5" width="15.625" style="0" customWidth="1"/>
    <col min="6" max="6" width="12.75390625" style="0" customWidth="1"/>
    <col min="7" max="7" width="13.625" style="0" customWidth="1"/>
    <col min="8" max="16384" width="9.00390625" style="0" customWidth="1"/>
  </cols>
  <sheetData>
    <row r="2" spans="1:13" ht="46.5" customHeight="1">
      <c r="A2" s="1" t="s">
        <v>110</v>
      </c>
      <c r="B2" s="1"/>
      <c r="C2" s="1"/>
      <c r="D2" s="1"/>
      <c r="E2" s="1"/>
      <c r="F2" s="1"/>
      <c r="G2" s="1"/>
      <c r="H2" s="2"/>
      <c r="I2" s="2"/>
      <c r="J2" s="2"/>
      <c r="K2" s="3"/>
      <c r="L2" s="3"/>
      <c r="M2" s="3"/>
    </row>
    <row r="3" spans="1:1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40.5" customHeight="1">
      <c r="A4" s="4" t="s">
        <v>1</v>
      </c>
      <c r="B4" s="4"/>
      <c r="C4" s="4"/>
      <c r="D4" s="4"/>
      <c r="E4" s="4"/>
      <c r="F4" s="4"/>
      <c r="G4" s="4"/>
      <c r="H4" s="3"/>
      <c r="I4" s="3"/>
      <c r="J4" s="3"/>
      <c r="K4" s="3"/>
      <c r="L4" s="3"/>
      <c r="M4" s="3"/>
    </row>
    <row r="5" spans="1:13" ht="12.75" customHeight="1">
      <c r="A5" s="5" t="s">
        <v>2</v>
      </c>
      <c r="B5" s="6" t="s">
        <v>3</v>
      </c>
      <c r="C5" s="6"/>
      <c r="D5" s="7" t="s">
        <v>4</v>
      </c>
      <c r="E5" s="3"/>
      <c r="F5" s="3"/>
      <c r="G5" s="3"/>
      <c r="H5" s="3"/>
      <c r="I5" s="3"/>
      <c r="J5" s="3"/>
      <c r="K5" s="3"/>
      <c r="L5" s="3"/>
      <c r="M5" s="3"/>
    </row>
    <row r="6" spans="1:13" ht="12.75" customHeight="1">
      <c r="A6" s="5"/>
      <c r="B6" s="8">
        <v>12</v>
      </c>
      <c r="C6" s="8"/>
      <c r="D6" s="7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 s="3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 s="3" t="s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42" customHeight="1">
      <c r="A11" s="4" t="s">
        <v>7</v>
      </c>
      <c r="B11" s="4"/>
      <c r="C11" s="4"/>
      <c r="D11" s="4"/>
      <c r="E11" s="4"/>
      <c r="F11" s="4"/>
      <c r="G11" s="4"/>
      <c r="H11" s="3"/>
      <c r="I11" s="3"/>
      <c r="J11" s="3"/>
      <c r="K11" s="3"/>
      <c r="L11" s="3"/>
      <c r="M11" s="3"/>
    </row>
    <row r="12" spans="1:1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 s="3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3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99" customHeight="1">
      <c r="A17" s="9" t="s">
        <v>10</v>
      </c>
      <c r="B17" s="9" t="s">
        <v>11</v>
      </c>
      <c r="C17" s="10" t="s">
        <v>12</v>
      </c>
      <c r="D17" s="9" t="s">
        <v>13</v>
      </c>
      <c r="E17" s="9" t="s">
        <v>111</v>
      </c>
      <c r="F17" s="9" t="s">
        <v>15</v>
      </c>
      <c r="G17" s="3"/>
      <c r="H17" s="3"/>
      <c r="I17" s="3"/>
      <c r="J17" s="3"/>
      <c r="K17" s="3"/>
      <c r="L17" s="3"/>
      <c r="M17" s="3"/>
    </row>
    <row r="18" spans="1:13" ht="29.25" customHeight="1">
      <c r="A18" s="9">
        <v>197</v>
      </c>
      <c r="B18" s="10">
        <v>0</v>
      </c>
      <c r="C18" s="9">
        <v>20</v>
      </c>
      <c r="D18" s="9">
        <v>37</v>
      </c>
      <c r="E18" s="11">
        <v>10</v>
      </c>
      <c r="F18" s="11">
        <v>198</v>
      </c>
      <c r="G18" s="3"/>
      <c r="H18" s="3"/>
      <c r="I18" s="3"/>
      <c r="J18" s="3"/>
      <c r="K18" s="3"/>
      <c r="L18" s="3"/>
      <c r="M18" s="3"/>
    </row>
    <row r="19" spans="1:1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27" customHeight="1">
      <c r="A20" s="12" t="s">
        <v>16</v>
      </c>
      <c r="B20" s="12"/>
      <c r="C20" s="12"/>
      <c r="D20" s="12"/>
      <c r="E20" s="12"/>
      <c r="F20" s="12"/>
      <c r="G20" s="12"/>
      <c r="H20" s="13"/>
      <c r="I20" s="13"/>
      <c r="J20" s="13"/>
      <c r="K20" s="3"/>
      <c r="L20" s="3"/>
      <c r="M20" s="3"/>
    </row>
    <row r="21" spans="1:13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 s="3" t="s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3" t="s">
        <v>18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3" t="s">
        <v>19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 s="3" t="s">
        <v>20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 t="s">
        <v>21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 s="3" t="s">
        <v>22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s="3" t="s">
        <v>23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63.75" customHeight="1">
      <c r="A36" s="14" t="s">
        <v>24</v>
      </c>
      <c r="B36" s="15" t="s">
        <v>25</v>
      </c>
      <c r="C36" s="14" t="s">
        <v>26</v>
      </c>
      <c r="D36" s="14" t="s">
        <v>27</v>
      </c>
      <c r="E36" s="14" t="s">
        <v>28</v>
      </c>
      <c r="F36" s="14" t="s">
        <v>29</v>
      </c>
      <c r="G36" s="3"/>
      <c r="H36" s="3"/>
      <c r="I36" s="3"/>
      <c r="J36" s="3"/>
      <c r="K36" s="3"/>
      <c r="L36" s="3"/>
      <c r="M36" s="3"/>
    </row>
    <row r="37" spans="1:13" ht="12.75">
      <c r="A37" s="16" t="s">
        <v>30</v>
      </c>
      <c r="B37" s="17">
        <f>F18</f>
        <v>198</v>
      </c>
      <c r="C37" s="18">
        <f>F53</f>
        <v>5916.227777777777</v>
      </c>
      <c r="D37" s="18">
        <f>E53</f>
        <v>1171413.1</v>
      </c>
      <c r="E37" s="19">
        <f>G53</f>
        <v>0.7759949073473738</v>
      </c>
      <c r="F37" s="18">
        <f aca="true" t="shared" si="0" ref="F37:F40">D37*E37</f>
        <v>909010.6</v>
      </c>
      <c r="G37" s="3"/>
      <c r="H37" s="3"/>
      <c r="I37" s="3"/>
      <c r="J37" s="3"/>
      <c r="K37" s="3"/>
      <c r="L37" s="3"/>
      <c r="M37" s="3"/>
    </row>
    <row r="38" spans="1:13" ht="12.75">
      <c r="A38" s="16" t="s">
        <v>31</v>
      </c>
      <c r="B38" s="17">
        <f aca="true" t="shared" si="1" ref="B38:B41">B37</f>
        <v>198</v>
      </c>
      <c r="C38" s="18">
        <f>F69</f>
        <v>11114.519696969697</v>
      </c>
      <c r="D38" s="18">
        <f>E69</f>
        <v>2200674.9</v>
      </c>
      <c r="E38" s="19">
        <f>G69</f>
        <v>0.7155888404961587</v>
      </c>
      <c r="F38" s="18">
        <f t="shared" si="0"/>
        <v>1574778.4</v>
      </c>
      <c r="G38" s="3"/>
      <c r="H38" s="3"/>
      <c r="I38" s="3"/>
      <c r="J38" s="3"/>
      <c r="K38" s="3"/>
      <c r="L38" s="3"/>
      <c r="M38" s="3"/>
    </row>
    <row r="39" spans="1:13" ht="12.75">
      <c r="A39" s="16" t="s">
        <v>32</v>
      </c>
      <c r="B39" s="17">
        <f t="shared" si="1"/>
        <v>198</v>
      </c>
      <c r="C39" s="18">
        <f>C78</f>
        <v>3328.6161616161617</v>
      </c>
      <c r="D39" s="18">
        <f>B78</f>
        <v>659066</v>
      </c>
      <c r="E39" s="19">
        <f>D78</f>
        <v>0.7117875903172065</v>
      </c>
      <c r="F39" s="18">
        <f t="shared" si="0"/>
        <v>469115</v>
      </c>
      <c r="G39" s="3"/>
      <c r="H39" s="3"/>
      <c r="I39" s="3"/>
      <c r="J39" s="3"/>
      <c r="K39" s="3"/>
      <c r="L39" s="3"/>
      <c r="M39" s="3"/>
    </row>
    <row r="40" spans="1:13" ht="12.75">
      <c r="A40" s="16" t="s">
        <v>33</v>
      </c>
      <c r="B40" s="17">
        <f t="shared" si="1"/>
        <v>198</v>
      </c>
      <c r="C40" s="18">
        <f>F88</f>
        <v>0</v>
      </c>
      <c r="D40" s="18">
        <f>E88</f>
        <v>0</v>
      </c>
      <c r="E40" s="19">
        <v>0</v>
      </c>
      <c r="F40" s="18">
        <f t="shared" si="0"/>
        <v>0</v>
      </c>
      <c r="G40" s="3"/>
      <c r="H40" s="3"/>
      <c r="I40" s="3"/>
      <c r="J40" s="3"/>
      <c r="K40" s="3"/>
      <c r="L40" s="3"/>
      <c r="M40" s="3"/>
    </row>
    <row r="41" spans="1:13" ht="12.75">
      <c r="A41" s="16" t="s">
        <v>34</v>
      </c>
      <c r="B41" s="17">
        <f t="shared" si="1"/>
        <v>198</v>
      </c>
      <c r="C41" s="18">
        <v>0</v>
      </c>
      <c r="D41" s="18">
        <v>0</v>
      </c>
      <c r="E41" s="19">
        <v>1</v>
      </c>
      <c r="F41" s="18">
        <f>D137</f>
        <v>819920</v>
      </c>
      <c r="G41" s="3"/>
      <c r="H41" s="3"/>
      <c r="I41" s="3"/>
      <c r="J41" s="3"/>
      <c r="K41" s="3"/>
      <c r="L41" s="3"/>
      <c r="M41" s="3"/>
    </row>
    <row r="42" spans="1:13" ht="12.75">
      <c r="A42" s="20" t="s">
        <v>35</v>
      </c>
      <c r="B42" s="21"/>
      <c r="C42" s="22">
        <f>D42/B40</f>
        <v>20359.363636363636</v>
      </c>
      <c r="D42" s="22">
        <f>SUM(D37:D40)</f>
        <v>4031154</v>
      </c>
      <c r="E42" s="23">
        <f>F42/D42</f>
        <v>0.9359166134560972</v>
      </c>
      <c r="F42" s="18">
        <f>F37+F38+F39+F40+F41</f>
        <v>3772824</v>
      </c>
      <c r="G42" s="24">
        <f>F42+E95</f>
        <v>5289206</v>
      </c>
      <c r="H42" s="3"/>
      <c r="I42" s="3"/>
      <c r="J42" s="3"/>
      <c r="K42" s="3"/>
      <c r="L42" s="3"/>
      <c r="M42" s="3"/>
    </row>
    <row r="43" spans="1:13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30.75" customHeight="1">
      <c r="A44" s="25" t="s">
        <v>112</v>
      </c>
      <c r="B44" s="25"/>
      <c r="C44" s="25"/>
      <c r="D44" s="25"/>
      <c r="E44" s="25"/>
      <c r="F44" s="25"/>
      <c r="G44" s="25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3" t="s">
        <v>37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63.75">
      <c r="A48" s="14" t="s">
        <v>38</v>
      </c>
      <c r="B48" s="14" t="s">
        <v>39</v>
      </c>
      <c r="C48" s="14" t="s">
        <v>40</v>
      </c>
      <c r="D48" s="14" t="s">
        <v>41</v>
      </c>
      <c r="E48" s="14" t="s">
        <v>42</v>
      </c>
      <c r="F48" s="14" t="s">
        <v>26</v>
      </c>
      <c r="G48" s="14" t="s">
        <v>28</v>
      </c>
      <c r="H48" s="3"/>
      <c r="I48" s="3"/>
      <c r="J48" s="3"/>
      <c r="K48" s="3"/>
      <c r="L48" s="3"/>
      <c r="M48" s="3"/>
    </row>
    <row r="49" spans="1:13" ht="25.5">
      <c r="A49" s="26" t="s">
        <v>43</v>
      </c>
      <c r="B49" s="27" t="s">
        <v>44</v>
      </c>
      <c r="C49" s="19">
        <v>0</v>
      </c>
      <c r="D49" s="19">
        <v>0</v>
      </c>
      <c r="E49" s="19">
        <f>471184/2</f>
        <v>235592</v>
      </c>
      <c r="F49" s="19">
        <f aca="true" t="shared" si="2" ref="F49:F52">E49/$B$40</f>
        <v>1189.858585858586</v>
      </c>
      <c r="G49" s="19">
        <f>(210475/2/E49)</f>
        <v>0.4466938605725152</v>
      </c>
      <c r="H49" s="3"/>
      <c r="I49" s="3"/>
      <c r="J49" s="3"/>
      <c r="K49" s="3"/>
      <c r="L49" s="3"/>
      <c r="M49" s="3"/>
    </row>
    <row r="50" spans="1:13" ht="25.5">
      <c r="A50" s="26" t="s">
        <v>45</v>
      </c>
      <c r="B50" s="27" t="s">
        <v>46</v>
      </c>
      <c r="C50" s="19">
        <f>50378/2</f>
        <v>25189</v>
      </c>
      <c r="D50" s="19">
        <f aca="true" t="shared" si="3" ref="D50:D52">E50/C50</f>
        <v>7.2042359760212795</v>
      </c>
      <c r="E50" s="19">
        <f>362935/2</f>
        <v>181467.5</v>
      </c>
      <c r="F50" s="19">
        <f t="shared" si="2"/>
        <v>916.5025252525253</v>
      </c>
      <c r="G50" s="19">
        <f>(362935/2/E50)</f>
        <v>1</v>
      </c>
      <c r="H50" s="3"/>
      <c r="I50" s="3"/>
      <c r="J50" s="3"/>
      <c r="K50" s="3"/>
      <c r="L50" s="3"/>
      <c r="M50" s="3"/>
    </row>
    <row r="51" spans="1:13" ht="25.5">
      <c r="A51" s="26" t="s">
        <v>47</v>
      </c>
      <c r="B51" s="27" t="s">
        <v>48</v>
      </c>
      <c r="C51" s="19">
        <f>34100*90%</f>
        <v>30690</v>
      </c>
      <c r="D51" s="19">
        <f t="shared" si="3"/>
        <v>18.84293255131965</v>
      </c>
      <c r="E51" s="19">
        <f>642544*90%</f>
        <v>578289.6</v>
      </c>
      <c r="F51" s="19">
        <f t="shared" si="2"/>
        <v>2920.6545454545453</v>
      </c>
      <c r="G51" s="19">
        <f>(642544*90%/E51)</f>
        <v>1</v>
      </c>
      <c r="H51" s="3"/>
      <c r="I51" s="3"/>
      <c r="J51" s="3"/>
      <c r="K51" s="3"/>
      <c r="L51" s="3"/>
      <c r="M51" s="3"/>
    </row>
    <row r="52" spans="1:13" ht="25.5">
      <c r="A52" s="26" t="s">
        <v>49</v>
      </c>
      <c r="B52" s="27" t="s">
        <v>46</v>
      </c>
      <c r="C52" s="19">
        <f>3000</f>
        <v>3000</v>
      </c>
      <c r="D52" s="19">
        <f t="shared" si="3"/>
        <v>58.688</v>
      </c>
      <c r="E52" s="19">
        <v>176064</v>
      </c>
      <c r="F52" s="19">
        <f t="shared" si="2"/>
        <v>889.2121212121212</v>
      </c>
      <c r="G52" s="19">
        <f>(44016/E52)</f>
        <v>0.25</v>
      </c>
      <c r="H52" s="3"/>
      <c r="I52" s="3"/>
      <c r="J52" s="3"/>
      <c r="K52" s="3"/>
      <c r="L52" s="3"/>
      <c r="M52" s="3"/>
    </row>
    <row r="53" spans="1:13" ht="20.25" customHeight="1">
      <c r="A53" s="28" t="s">
        <v>50</v>
      </c>
      <c r="B53" s="29"/>
      <c r="C53" s="23"/>
      <c r="D53" s="23"/>
      <c r="E53" s="23">
        <f>E49+E50+E51+E52</f>
        <v>1171413.1</v>
      </c>
      <c r="F53" s="23">
        <f>F49+F50+F51+F52</f>
        <v>5916.227777777777</v>
      </c>
      <c r="G53" s="23">
        <f>(210475/2+362935/2+642544*90%+44016)/E53</f>
        <v>0.7759949073473738</v>
      </c>
      <c r="H53" s="3"/>
      <c r="I53" s="3"/>
      <c r="J53" s="3"/>
      <c r="K53" s="3"/>
      <c r="L53" s="3"/>
      <c r="M53" s="3"/>
    </row>
    <row r="54" spans="1:13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27.75" customHeight="1">
      <c r="A55" s="25" t="s">
        <v>113</v>
      </c>
      <c r="B55" s="25"/>
      <c r="C55" s="25"/>
      <c r="D55" s="25"/>
      <c r="E55" s="25"/>
      <c r="F55" s="25"/>
      <c r="G55" s="25"/>
      <c r="H55" s="3"/>
      <c r="I55" s="3"/>
      <c r="J55" s="3"/>
      <c r="K55" s="3"/>
      <c r="L55" s="3"/>
      <c r="M55" s="3"/>
    </row>
    <row r="56" spans="1:1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75">
      <c r="A57" s="3" t="s">
        <v>52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63.75">
      <c r="A59" s="14" t="s">
        <v>38</v>
      </c>
      <c r="B59" s="14" t="s">
        <v>39</v>
      </c>
      <c r="C59" s="14" t="s">
        <v>53</v>
      </c>
      <c r="D59" s="14" t="s">
        <v>54</v>
      </c>
      <c r="E59" s="14" t="s">
        <v>42</v>
      </c>
      <c r="F59" s="14" t="s">
        <v>26</v>
      </c>
      <c r="G59" s="14" t="s">
        <v>28</v>
      </c>
      <c r="H59" s="3"/>
      <c r="I59" s="3"/>
      <c r="J59" s="3"/>
      <c r="K59" s="3"/>
      <c r="L59" s="3"/>
      <c r="M59" s="3"/>
    </row>
    <row r="60" spans="1:13" ht="45.75" customHeight="1">
      <c r="A60" s="26" t="s">
        <v>55</v>
      </c>
      <c r="B60" s="30"/>
      <c r="C60" s="19"/>
      <c r="D60" s="19"/>
      <c r="E60" s="19">
        <v>90425</v>
      </c>
      <c r="F60" s="19">
        <f aca="true" t="shared" si="4" ref="F60:F68">E60/$B$40</f>
        <v>456.69191919191917</v>
      </c>
      <c r="G60" s="19">
        <f>(64363/E60)</f>
        <v>0.7117832457837987</v>
      </c>
      <c r="H60" s="3"/>
      <c r="I60" s="3"/>
      <c r="J60" s="3"/>
      <c r="K60" s="3"/>
      <c r="L60" s="3"/>
      <c r="M60" s="3"/>
    </row>
    <row r="61" spans="1:13" ht="25.5">
      <c r="A61" s="26" t="s">
        <v>56</v>
      </c>
      <c r="B61" s="30" t="s">
        <v>57</v>
      </c>
      <c r="C61" s="19">
        <v>1</v>
      </c>
      <c r="D61" s="19">
        <f>E61/C61</f>
        <v>0</v>
      </c>
      <c r="E61" s="19">
        <v>0</v>
      </c>
      <c r="F61" s="19">
        <f t="shared" si="4"/>
        <v>0</v>
      </c>
      <c r="G61" s="19" t="e">
        <f>(9/E61)</f>
        <v>#DIV/0!</v>
      </c>
      <c r="H61" s="3"/>
      <c r="I61" s="3"/>
      <c r="J61" s="3"/>
      <c r="K61" s="3"/>
      <c r="L61" s="3"/>
      <c r="M61" s="3"/>
    </row>
    <row r="62" spans="1:13" ht="18" customHeight="1">
      <c r="A62" s="26" t="s">
        <v>58</v>
      </c>
      <c r="B62" s="30"/>
      <c r="C62" s="19"/>
      <c r="D62" s="19"/>
      <c r="E62" s="19">
        <v>0</v>
      </c>
      <c r="F62" s="19">
        <f t="shared" si="4"/>
        <v>0</v>
      </c>
      <c r="G62" s="19">
        <v>0</v>
      </c>
      <c r="H62" s="3"/>
      <c r="I62" s="3"/>
      <c r="J62" s="3"/>
      <c r="K62" s="3"/>
      <c r="L62" s="3"/>
      <c r="M62" s="3"/>
    </row>
    <row r="63" spans="1:13" ht="18" customHeight="1">
      <c r="A63" s="26" t="s">
        <v>59</v>
      </c>
      <c r="B63" s="30"/>
      <c r="C63" s="19"/>
      <c r="D63" s="19"/>
      <c r="E63" s="19">
        <v>1619280</v>
      </c>
      <c r="F63" s="19">
        <f t="shared" si="4"/>
        <v>8178.181818181818</v>
      </c>
      <c r="G63" s="19">
        <f>(1152583/E63)</f>
        <v>0.7117873375821353</v>
      </c>
      <c r="H63" s="3"/>
      <c r="I63" s="3"/>
      <c r="J63" s="3"/>
      <c r="K63" s="3"/>
      <c r="L63" s="3"/>
      <c r="M63" s="3"/>
    </row>
    <row r="64" spans="1:13" ht="25.5">
      <c r="A64" s="26" t="s">
        <v>43</v>
      </c>
      <c r="B64" s="27" t="s">
        <v>44</v>
      </c>
      <c r="C64" s="19">
        <v>0</v>
      </c>
      <c r="D64" s="19">
        <v>0</v>
      </c>
      <c r="E64" s="19">
        <f>471184/2</f>
        <v>235592</v>
      </c>
      <c r="F64" s="19">
        <f t="shared" si="4"/>
        <v>1189.858585858586</v>
      </c>
      <c r="G64" s="19">
        <f>(210475/2/E64)</f>
        <v>0.4466938605725152</v>
      </c>
      <c r="H64" s="3"/>
      <c r="I64" s="3"/>
      <c r="J64" s="3"/>
      <c r="K64" s="3"/>
      <c r="L64" s="3"/>
      <c r="M64" s="3"/>
    </row>
    <row r="65" spans="1:13" ht="25.5">
      <c r="A65" s="26" t="s">
        <v>45</v>
      </c>
      <c r="B65" s="27" t="s">
        <v>46</v>
      </c>
      <c r="C65" s="19">
        <f>50378/2</f>
        <v>25189</v>
      </c>
      <c r="D65" s="19">
        <f aca="true" t="shared" si="5" ref="D65:D66">E65/C65</f>
        <v>7.2042359760212795</v>
      </c>
      <c r="E65" s="19">
        <f>362935/2</f>
        <v>181467.5</v>
      </c>
      <c r="F65" s="19">
        <f t="shared" si="4"/>
        <v>916.5025252525253</v>
      </c>
      <c r="G65" s="19">
        <f>(362935/2/E65)</f>
        <v>1</v>
      </c>
      <c r="H65" s="3"/>
      <c r="I65" s="3"/>
      <c r="J65" s="3"/>
      <c r="K65" s="3"/>
      <c r="L65" s="3"/>
      <c r="M65" s="3"/>
    </row>
    <row r="66" spans="1:13" ht="25.5">
      <c r="A66" s="26" t="s">
        <v>47</v>
      </c>
      <c r="B66" s="27" t="s">
        <v>48</v>
      </c>
      <c r="C66" s="19">
        <f>34100*10%</f>
        <v>3410</v>
      </c>
      <c r="D66" s="19">
        <f t="shared" si="5"/>
        <v>18.84293255131965</v>
      </c>
      <c r="E66" s="19">
        <f>642544*10%</f>
        <v>64254.4</v>
      </c>
      <c r="F66" s="19">
        <f t="shared" si="4"/>
        <v>324.5171717171717</v>
      </c>
      <c r="G66" s="19">
        <f>(642544*10%/E66)</f>
        <v>1</v>
      </c>
      <c r="H66" s="3"/>
      <c r="I66" s="3"/>
      <c r="J66" s="3"/>
      <c r="K66" s="3"/>
      <c r="L66" s="3"/>
      <c r="M66" s="3"/>
    </row>
    <row r="67" spans="1:13" ht="25.5" customHeight="1">
      <c r="A67" s="26" t="s">
        <v>60</v>
      </c>
      <c r="B67" s="30"/>
      <c r="C67" s="19"/>
      <c r="D67" s="19"/>
      <c r="E67" s="19">
        <v>9656</v>
      </c>
      <c r="F67" s="19">
        <f t="shared" si="4"/>
        <v>48.76767676767677</v>
      </c>
      <c r="G67" s="19">
        <f>(6873/E67)</f>
        <v>0.7117854183927091</v>
      </c>
      <c r="H67" s="3"/>
      <c r="I67" s="3"/>
      <c r="J67" s="3"/>
      <c r="K67" s="3"/>
      <c r="L67" s="3"/>
      <c r="M67" s="3"/>
    </row>
    <row r="68" spans="1:13" ht="12.75">
      <c r="A68" s="26" t="s">
        <v>61</v>
      </c>
      <c r="B68" s="30"/>
      <c r="C68" s="19"/>
      <c r="D68" s="19"/>
      <c r="E68" s="19">
        <v>0</v>
      </c>
      <c r="F68" s="19">
        <f t="shared" si="4"/>
        <v>0</v>
      </c>
      <c r="G68" s="19" t="e">
        <f>(0/E68)</f>
        <v>#DIV/0!</v>
      </c>
      <c r="H68" s="3"/>
      <c r="I68" s="3"/>
      <c r="J68" s="3"/>
      <c r="K68" s="3"/>
      <c r="L68" s="3"/>
      <c r="M68" s="3"/>
    </row>
    <row r="69" spans="1:13" ht="24.75" customHeight="1">
      <c r="A69" s="28" t="s">
        <v>50</v>
      </c>
      <c r="B69" s="31"/>
      <c r="C69" s="23"/>
      <c r="D69" s="23"/>
      <c r="E69" s="23">
        <f>SUM(E60:E68)</f>
        <v>2200674.9</v>
      </c>
      <c r="F69" s="23">
        <f>SUM(F60:F68)</f>
        <v>11114.519696969697</v>
      </c>
      <c r="G69" s="23">
        <f>(64363+1152583+210475/2+362935/2+642544*10%+6873)/E69</f>
        <v>0.7155888404961587</v>
      </c>
      <c r="H69" s="3"/>
      <c r="I69" s="3"/>
      <c r="J69" s="3"/>
      <c r="K69" s="3"/>
      <c r="L69" s="3"/>
      <c r="M69" s="3"/>
    </row>
    <row r="70" spans="1:13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24.75" customHeight="1">
      <c r="A71" s="25" t="s">
        <v>114</v>
      </c>
      <c r="B71" s="25"/>
      <c r="C71" s="25"/>
      <c r="D71" s="25"/>
      <c r="E71" s="25"/>
      <c r="F71" s="25"/>
      <c r="G71" s="25"/>
      <c r="H71" s="3"/>
      <c r="I71" s="3"/>
      <c r="J71" s="3"/>
      <c r="K71" s="3"/>
      <c r="L71" s="3"/>
      <c r="M71" s="3"/>
    </row>
    <row r="72" spans="1:13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>
      <c r="A73" s="3" t="s">
        <v>63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63.75">
      <c r="A75" s="14" t="s">
        <v>38</v>
      </c>
      <c r="B75" s="14" t="s">
        <v>42</v>
      </c>
      <c r="C75" s="14" t="s">
        <v>26</v>
      </c>
      <c r="D75" s="14" t="s">
        <v>28</v>
      </c>
      <c r="E75" s="32"/>
      <c r="F75" s="32"/>
      <c r="G75" s="32"/>
      <c r="H75" s="3"/>
      <c r="I75" s="3"/>
      <c r="J75" s="3"/>
      <c r="K75" s="3"/>
      <c r="L75" s="3"/>
      <c r="M75" s="3"/>
    </row>
    <row r="76" spans="1:13" ht="51">
      <c r="A76" s="26" t="s">
        <v>64</v>
      </c>
      <c r="B76" s="33">
        <v>195</v>
      </c>
      <c r="C76" s="19">
        <f aca="true" t="shared" si="6" ref="C76:C77">B76/$B$40</f>
        <v>0.9848484848484849</v>
      </c>
      <c r="D76" s="19">
        <f>(139/B76)</f>
        <v>0.7128205128205128</v>
      </c>
      <c r="E76" s="34"/>
      <c r="F76" s="35"/>
      <c r="G76" s="35"/>
      <c r="H76" s="3"/>
      <c r="I76" s="3"/>
      <c r="J76" s="3"/>
      <c r="K76" s="3"/>
      <c r="L76" s="3"/>
      <c r="M76" s="3"/>
    </row>
    <row r="77" spans="1:13" ht="19.5" customHeight="1">
      <c r="A77" s="26" t="s">
        <v>65</v>
      </c>
      <c r="B77" s="33">
        <f>653940+4931</f>
        <v>658871</v>
      </c>
      <c r="C77" s="19">
        <f t="shared" si="6"/>
        <v>3327.631313131313</v>
      </c>
      <c r="D77" s="19">
        <f>(465466+3510)/B77</f>
        <v>0.7117872846126176</v>
      </c>
      <c r="E77" s="34"/>
      <c r="F77" s="35"/>
      <c r="G77" s="35"/>
      <c r="H77" s="3"/>
      <c r="I77" s="3"/>
      <c r="J77" s="3"/>
      <c r="K77" s="3"/>
      <c r="L77" s="3"/>
      <c r="M77" s="3"/>
    </row>
    <row r="78" spans="1:13" ht="27" customHeight="1">
      <c r="A78" s="28" t="s">
        <v>50</v>
      </c>
      <c r="B78" s="36">
        <f>SUM(B76:B77)</f>
        <v>659066</v>
      </c>
      <c r="C78" s="36">
        <f>SUM(C76:C77)</f>
        <v>3328.6161616161617</v>
      </c>
      <c r="D78" s="36">
        <f>(465466+3510+139)/B78</f>
        <v>0.7117875903172065</v>
      </c>
      <c r="E78" s="37"/>
      <c r="F78" s="37"/>
      <c r="G78" s="37"/>
      <c r="H78" s="3"/>
      <c r="I78" s="3"/>
      <c r="J78" s="3"/>
      <c r="K78" s="3"/>
      <c r="L78" s="3"/>
      <c r="M78" s="3"/>
    </row>
    <row r="79" spans="1:13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29.25" customHeight="1">
      <c r="A80" s="25" t="s">
        <v>66</v>
      </c>
      <c r="B80" s="25"/>
      <c r="C80" s="25"/>
      <c r="D80" s="25"/>
      <c r="E80" s="25"/>
      <c r="F80" s="25"/>
      <c r="G80" s="25"/>
      <c r="H80" s="3"/>
      <c r="I80" s="3"/>
      <c r="J80" s="3"/>
      <c r="K80" s="3"/>
      <c r="L80" s="3"/>
      <c r="M80" s="3"/>
    </row>
    <row r="81" spans="1:13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 hidden="1">
      <c r="A82" s="3" t="s">
        <v>67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63.75" hidden="1">
      <c r="A84" s="38" t="s">
        <v>68</v>
      </c>
      <c r="B84" s="10" t="s">
        <v>69</v>
      </c>
      <c r="C84" s="14" t="s">
        <v>54</v>
      </c>
      <c r="D84" s="10" t="s">
        <v>70</v>
      </c>
      <c r="E84" s="39" t="s">
        <v>71</v>
      </c>
      <c r="F84" s="14" t="s">
        <v>26</v>
      </c>
      <c r="G84" s="14" t="s">
        <v>28</v>
      </c>
      <c r="H84" s="3"/>
      <c r="I84" s="3"/>
      <c r="J84" s="3"/>
      <c r="K84" s="3"/>
      <c r="L84" s="3"/>
      <c r="M84" s="3"/>
    </row>
    <row r="85" spans="1:13" ht="12.75" hidden="1">
      <c r="A85" s="40" t="s">
        <v>72</v>
      </c>
      <c r="B85" s="41">
        <v>1</v>
      </c>
      <c r="C85" s="42">
        <f aca="true" t="shared" si="7" ref="C85:C86">E85/D85/B85</f>
        <v>0</v>
      </c>
      <c r="D85" s="43">
        <v>12</v>
      </c>
      <c r="E85" s="44">
        <v>0</v>
      </c>
      <c r="F85" s="19">
        <f aca="true" t="shared" si="8" ref="F85:F88">E85/$B$40</f>
        <v>0</v>
      </c>
      <c r="G85" s="19" t="e">
        <f aca="true" t="shared" si="9" ref="G85:G87">(0/E85)</f>
        <v>#DIV/0!</v>
      </c>
      <c r="H85" s="3"/>
      <c r="I85" s="3"/>
      <c r="J85" s="3"/>
      <c r="K85" s="3"/>
      <c r="L85" s="3"/>
      <c r="M85" s="3"/>
    </row>
    <row r="86" spans="1:13" ht="12.75" hidden="1">
      <c r="A86" s="40" t="s">
        <v>73</v>
      </c>
      <c r="B86" s="39">
        <v>1</v>
      </c>
      <c r="C86" s="42">
        <f t="shared" si="7"/>
        <v>0</v>
      </c>
      <c r="D86" s="43">
        <v>12</v>
      </c>
      <c r="E86" s="44">
        <v>0</v>
      </c>
      <c r="F86" s="19">
        <f t="shared" si="8"/>
        <v>0</v>
      </c>
      <c r="G86" s="19" t="e">
        <f t="shared" si="9"/>
        <v>#DIV/0!</v>
      </c>
      <c r="H86" s="3"/>
      <c r="I86" s="3"/>
      <c r="J86" s="3"/>
      <c r="K86" s="3"/>
      <c r="L86" s="3"/>
      <c r="M86" s="3"/>
    </row>
    <row r="87" spans="1:13" ht="12.75" hidden="1">
      <c r="A87" s="40" t="s">
        <v>74</v>
      </c>
      <c r="B87" s="41"/>
      <c r="C87" s="41"/>
      <c r="D87" s="43"/>
      <c r="E87" s="44">
        <v>0</v>
      </c>
      <c r="F87" s="19">
        <f t="shared" si="8"/>
        <v>0</v>
      </c>
      <c r="G87" s="19" t="e">
        <f t="shared" si="9"/>
        <v>#DIV/0!</v>
      </c>
      <c r="H87" s="3"/>
      <c r="I87" s="3"/>
      <c r="J87" s="3"/>
      <c r="K87" s="3"/>
      <c r="L87" s="3"/>
      <c r="M87" s="3"/>
    </row>
    <row r="88" spans="1:13" ht="12.75" hidden="1">
      <c r="A88" s="45" t="s">
        <v>75</v>
      </c>
      <c r="B88" s="46"/>
      <c r="C88" s="46"/>
      <c r="D88" s="46"/>
      <c r="E88" s="47">
        <f>E85+E86+E87</f>
        <v>0</v>
      </c>
      <c r="F88" s="23">
        <f t="shared" si="8"/>
        <v>0</v>
      </c>
      <c r="G88" s="23" t="e">
        <f>0/E88</f>
        <v>#DIV/0!</v>
      </c>
      <c r="H88" s="3"/>
      <c r="I88" s="3"/>
      <c r="J88" s="3"/>
      <c r="K88" s="3"/>
      <c r="L88" s="3"/>
      <c r="M88" s="3"/>
    </row>
    <row r="89" spans="1:13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25.5" customHeight="1" hidden="1">
      <c r="A90" s="25" t="s">
        <v>115</v>
      </c>
      <c r="B90" s="25"/>
      <c r="C90" s="25"/>
      <c r="D90" s="25"/>
      <c r="E90" s="25"/>
      <c r="F90" s="25"/>
      <c r="G90" s="25"/>
      <c r="H90" s="3"/>
      <c r="I90" s="3"/>
      <c r="J90" s="3"/>
      <c r="K90" s="3"/>
      <c r="L90" s="3"/>
      <c r="M90" s="3"/>
    </row>
    <row r="91" spans="1:1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45" customHeight="1">
      <c r="A92" s="12" t="s">
        <v>77</v>
      </c>
      <c r="B92" s="12"/>
      <c r="C92" s="12"/>
      <c r="D92" s="12"/>
      <c r="E92" s="12"/>
      <c r="F92" s="12"/>
      <c r="G92" s="12"/>
      <c r="H92" s="13"/>
      <c r="I92" s="13"/>
      <c r="J92" s="13"/>
      <c r="K92" s="3"/>
      <c r="L92" s="3"/>
      <c r="M92" s="3"/>
    </row>
    <row r="93" spans="1:1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63.75">
      <c r="A94" s="14" t="s">
        <v>38</v>
      </c>
      <c r="B94" s="39" t="s">
        <v>71</v>
      </c>
      <c r="C94" s="14" t="s">
        <v>26</v>
      </c>
      <c r="D94" s="14" t="s">
        <v>28</v>
      </c>
      <c r="E94" s="48" t="s">
        <v>78</v>
      </c>
      <c r="F94" s="16" t="s">
        <v>79</v>
      </c>
      <c r="G94" s="3"/>
      <c r="H94" s="3"/>
      <c r="I94" s="3"/>
      <c r="J94" s="3"/>
      <c r="K94" s="3"/>
      <c r="L94" s="3"/>
      <c r="M94" s="3"/>
    </row>
    <row r="95" spans="1:13" ht="12.75">
      <c r="A95" s="49" t="s">
        <v>80</v>
      </c>
      <c r="B95" s="36">
        <v>2130386</v>
      </c>
      <c r="C95" s="23">
        <f>B95/$B$40</f>
        <v>10759.525252525253</v>
      </c>
      <c r="D95" s="23">
        <f>1516382/B95</f>
        <v>0.7117874413369221</v>
      </c>
      <c r="E95" s="18">
        <f>B95*D95</f>
        <v>1516382</v>
      </c>
      <c r="F95" s="18">
        <f>E95-B95</f>
        <v>-614004</v>
      </c>
      <c r="G95" s="3"/>
      <c r="H95" s="3"/>
      <c r="I95" s="3"/>
      <c r="J95" s="3"/>
      <c r="K95" s="3"/>
      <c r="L95" s="3"/>
      <c r="M95" s="3"/>
    </row>
    <row r="96" spans="1:1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34.5" customHeight="1">
      <c r="A97" s="25" t="s">
        <v>81</v>
      </c>
      <c r="B97" s="25"/>
      <c r="C97" s="25"/>
      <c r="D97" s="25"/>
      <c r="E97" s="25"/>
      <c r="F97" s="25"/>
      <c r="G97" s="25"/>
      <c r="H97" s="3"/>
      <c r="I97" s="3"/>
      <c r="J97" s="3"/>
      <c r="K97" s="3"/>
      <c r="L97" s="3"/>
      <c r="M97" s="3"/>
    </row>
    <row r="98" spans="1:1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48.75" customHeight="1">
      <c r="A99" s="50" t="s">
        <v>116</v>
      </c>
      <c r="B99" s="50"/>
      <c r="C99" s="50"/>
      <c r="D99" s="50"/>
      <c r="E99" s="50"/>
      <c r="F99" s="50"/>
      <c r="G99" s="50"/>
      <c r="H99" s="3"/>
      <c r="I99" s="3"/>
      <c r="J99" s="3"/>
      <c r="K99" s="3"/>
      <c r="L99" s="3"/>
      <c r="M99" s="3"/>
    </row>
    <row r="100" spans="1:13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4.25">
      <c r="A101" s="3" t="s">
        <v>83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>
      <c r="A103" s="3" t="s">
        <v>84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>
      <c r="A105" s="3" t="s">
        <v>85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7.25" customHeight="1">
      <c r="A107" s="4" t="s">
        <v>86</v>
      </c>
      <c r="B107" s="4"/>
      <c r="C107" s="4"/>
      <c r="D107" s="4"/>
      <c r="E107" s="4"/>
      <c r="F107" s="4"/>
      <c r="G107" s="4"/>
      <c r="H107" s="3"/>
      <c r="I107" s="3"/>
      <c r="J107" s="3"/>
      <c r="K107" s="3"/>
      <c r="L107" s="3"/>
      <c r="M107" s="3"/>
    </row>
    <row r="108" spans="1:13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>
      <c r="A109" s="3" t="s">
        <v>87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3.5" customHeight="1">
      <c r="A111" s="4" t="s">
        <v>88</v>
      </c>
      <c r="B111" s="4"/>
      <c r="C111" s="4"/>
      <c r="D111" s="4"/>
      <c r="E111" s="4"/>
      <c r="F111" s="4"/>
      <c r="G111" s="4"/>
      <c r="H111" s="3"/>
      <c r="I111" s="3"/>
      <c r="J111" s="3"/>
      <c r="K111" s="3"/>
      <c r="L111" s="3"/>
      <c r="M111" s="3"/>
    </row>
    <row r="112" spans="1:1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>
      <c r="A113" s="3" t="s">
        <v>5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14.75">
      <c r="A115" s="14" t="s">
        <v>89</v>
      </c>
      <c r="B115" s="14" t="s">
        <v>90</v>
      </c>
      <c r="C115" s="39" t="s">
        <v>91</v>
      </c>
      <c r="D115" s="14" t="s">
        <v>92</v>
      </c>
      <c r="E115" s="14" t="s">
        <v>93</v>
      </c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36">
        <f>C42</f>
        <v>20359.363636363636</v>
      </c>
      <c r="B116" s="36">
        <f>E42</f>
        <v>0.9359166134560972</v>
      </c>
      <c r="C116" s="23">
        <f>C95</f>
        <v>10759.525252525253</v>
      </c>
      <c r="D116" s="23">
        <f>D95</f>
        <v>0.7117874413369221</v>
      </c>
      <c r="E116" s="36">
        <f>(A116*B116+C116*D116)*F18</f>
        <v>5289206</v>
      </c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07.25" customHeight="1">
      <c r="A118" s="12" t="s">
        <v>117</v>
      </c>
      <c r="B118" s="12"/>
      <c r="C118" s="12"/>
      <c r="D118" s="12"/>
      <c r="E118" s="12"/>
      <c r="F118" s="12"/>
      <c r="G118" s="12"/>
      <c r="H118" s="3"/>
      <c r="I118" s="3"/>
      <c r="J118" s="3"/>
      <c r="K118" s="3"/>
      <c r="L118" s="3"/>
      <c r="M118" s="3"/>
    </row>
    <row r="119" spans="1:13" ht="12.75">
      <c r="A119" s="3"/>
      <c r="B119" s="3"/>
      <c r="C119" s="3"/>
      <c r="D119" s="3" t="s">
        <v>95</v>
      </c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>
      <c r="A121" s="3" t="s">
        <v>96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>
      <c r="A123" s="3" t="s">
        <v>97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>
      <c r="A125" s="3" t="s">
        <v>98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>
      <c r="A127" s="3" t="s">
        <v>99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40.25">
      <c r="A129" s="51" t="s">
        <v>100</v>
      </c>
      <c r="B129" s="52" t="s">
        <v>101</v>
      </c>
      <c r="C129" s="51" t="s">
        <v>102</v>
      </c>
      <c r="D129" s="51" t="s">
        <v>103</v>
      </c>
      <c r="E129" s="53"/>
      <c r="F129" s="53"/>
      <c r="G129" s="53"/>
      <c r="H129" s="3"/>
      <c r="I129" s="3"/>
      <c r="J129" s="3"/>
      <c r="K129" s="3"/>
      <c r="L129" s="3"/>
      <c r="M129" s="3"/>
    </row>
    <row r="130" spans="1:13" ht="12.75">
      <c r="A130" s="65">
        <f>9751939+1800+28337+127520+153784+10000+1</f>
        <v>10073381</v>
      </c>
      <c r="B130" s="65">
        <f>1296000+391392</f>
        <v>1687392</v>
      </c>
      <c r="C130" s="66">
        <f>828000+250056</f>
        <v>1078056</v>
      </c>
      <c r="D130" s="67">
        <f>A130+B130+C130</f>
        <v>12838829</v>
      </c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>
      <c r="A131" s="58"/>
      <c r="B131" s="58"/>
      <c r="C131" s="58"/>
      <c r="D131" s="58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>
      <c r="A132" s="58"/>
      <c r="B132" s="58"/>
      <c r="C132" s="58"/>
      <c r="D132" s="58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>
      <c r="A133" s="59" t="s">
        <v>107</v>
      </c>
      <c r="B133" s="60"/>
      <c r="C133" s="60"/>
      <c r="D133" s="60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60"/>
      <c r="B134" s="60"/>
      <c r="C134" s="60"/>
      <c r="D134" s="60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61" t="s">
        <v>108</v>
      </c>
      <c r="B135" s="61">
        <v>0</v>
      </c>
      <c r="C135" s="61"/>
      <c r="D135" s="18">
        <v>629739</v>
      </c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>
      <c r="A136" s="61" t="s">
        <v>109</v>
      </c>
      <c r="B136" s="61">
        <v>0</v>
      </c>
      <c r="C136" s="61"/>
      <c r="D136" s="18">
        <v>190181</v>
      </c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63" t="s">
        <v>50</v>
      </c>
      <c r="B137" s="63">
        <f>B135+B136</f>
        <v>0</v>
      </c>
      <c r="C137" s="63"/>
      <c r="D137" s="64">
        <f>D135+D136</f>
        <v>819920</v>
      </c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60"/>
      <c r="B138" s="60"/>
      <c r="C138" s="60"/>
      <c r="D138" s="60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6:13" ht="12.75">
      <c r="F366" s="3"/>
      <c r="G366" s="3"/>
      <c r="H366" s="3"/>
      <c r="I366" s="3"/>
      <c r="J366" s="3"/>
      <c r="K366" s="3"/>
      <c r="L366" s="3"/>
      <c r="M366" s="3"/>
    </row>
  </sheetData>
  <sheetProtection selectLockedCells="1" selectUnlockedCells="1"/>
  <mergeCells count="19">
    <mergeCell ref="A2:G2"/>
    <mergeCell ref="A4:G4"/>
    <mergeCell ref="A5:A6"/>
    <mergeCell ref="B5:C5"/>
    <mergeCell ref="D5:D6"/>
    <mergeCell ref="B6:C6"/>
    <mergeCell ref="A11:G11"/>
    <mergeCell ref="A20:G20"/>
    <mergeCell ref="A44:G44"/>
    <mergeCell ref="A55:G55"/>
    <mergeCell ref="A71:G71"/>
    <mergeCell ref="A80:G80"/>
    <mergeCell ref="A90:G90"/>
    <mergeCell ref="A92:G92"/>
    <mergeCell ref="A97:G97"/>
    <mergeCell ref="A99:G99"/>
    <mergeCell ref="A107:G107"/>
    <mergeCell ref="A111:G111"/>
    <mergeCell ref="A118:G118"/>
  </mergeCells>
  <printOptions/>
  <pageMargins left="0.7083333333333334" right="0.7083333333333334" top="0.7479166666666667" bottom="0.7479166666666667" header="0.5118055555555555" footer="0.5118055555555555"/>
  <pageSetup fitToHeight="3" fitToWidth="1"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M366"/>
  <sheetViews>
    <sheetView workbookViewId="0" topLeftCell="A121">
      <selection activeCell="A130" sqref="A130"/>
    </sheetView>
  </sheetViews>
  <sheetFormatPr defaultColWidth="8.00390625" defaultRowHeight="12.75"/>
  <cols>
    <col min="1" max="1" width="18.00390625" style="0" customWidth="1"/>
    <col min="2" max="2" width="13.625" style="0" customWidth="1"/>
    <col min="3" max="3" width="13.00390625" style="0" customWidth="1"/>
    <col min="4" max="4" width="12.375" style="0" customWidth="1"/>
    <col min="5" max="5" width="15.625" style="0" customWidth="1"/>
    <col min="6" max="6" width="12.75390625" style="0" customWidth="1"/>
    <col min="7" max="7" width="13.625" style="0" customWidth="1"/>
    <col min="8" max="16384" width="9.00390625" style="0" customWidth="1"/>
  </cols>
  <sheetData>
    <row r="2" spans="1:13" ht="59.25" customHeight="1">
      <c r="A2" s="1" t="s">
        <v>224</v>
      </c>
      <c r="B2" s="1"/>
      <c r="C2" s="1"/>
      <c r="D2" s="1"/>
      <c r="E2" s="1"/>
      <c r="F2" s="1"/>
      <c r="G2" s="1"/>
      <c r="H2" s="2"/>
      <c r="I2" s="2"/>
      <c r="J2" s="2"/>
      <c r="K2" s="3"/>
      <c r="L2" s="3"/>
      <c r="M2" s="3"/>
    </row>
    <row r="3" spans="1:1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40.5" customHeight="1">
      <c r="A4" s="4" t="s">
        <v>1</v>
      </c>
      <c r="B4" s="4"/>
      <c r="C4" s="4"/>
      <c r="D4" s="4"/>
      <c r="E4" s="4"/>
      <c r="F4" s="4"/>
      <c r="G4" s="4"/>
      <c r="H4" s="3"/>
      <c r="I4" s="3"/>
      <c r="J4" s="3"/>
      <c r="K4" s="3"/>
      <c r="L4" s="3"/>
      <c r="M4" s="3"/>
    </row>
    <row r="5" spans="1:13" ht="12.75" customHeight="1">
      <c r="A5" s="5" t="s">
        <v>2</v>
      </c>
      <c r="B5" s="6" t="s">
        <v>3</v>
      </c>
      <c r="C5" s="6"/>
      <c r="D5" s="7" t="s">
        <v>4</v>
      </c>
      <c r="E5" s="3"/>
      <c r="F5" s="3"/>
      <c r="G5" s="3"/>
      <c r="H5" s="3"/>
      <c r="I5" s="3"/>
      <c r="J5" s="3"/>
      <c r="K5" s="3"/>
      <c r="L5" s="3"/>
      <c r="M5" s="3"/>
    </row>
    <row r="6" spans="1:13" ht="12.75" customHeight="1">
      <c r="A6" s="5"/>
      <c r="B6" s="8">
        <v>12</v>
      </c>
      <c r="C6" s="8"/>
      <c r="D6" s="7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 s="3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 s="3" t="s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42" customHeight="1">
      <c r="A11" s="4" t="s">
        <v>7</v>
      </c>
      <c r="B11" s="4"/>
      <c r="C11" s="4"/>
      <c r="D11" s="4"/>
      <c r="E11" s="4"/>
      <c r="F11" s="4"/>
      <c r="G11" s="4"/>
      <c r="H11" s="3"/>
      <c r="I11" s="3"/>
      <c r="J11" s="3"/>
      <c r="K11" s="3"/>
      <c r="L11" s="3"/>
      <c r="M11" s="3"/>
    </row>
    <row r="12" spans="1:1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 s="3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3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99" customHeight="1">
      <c r="A17" s="9" t="s">
        <v>10</v>
      </c>
      <c r="B17" s="9" t="s">
        <v>11</v>
      </c>
      <c r="C17" s="10" t="s">
        <v>12</v>
      </c>
      <c r="D17" s="9" t="s">
        <v>13</v>
      </c>
      <c r="E17" s="9" t="s">
        <v>14</v>
      </c>
      <c r="F17" s="9" t="s">
        <v>15</v>
      </c>
      <c r="G17" s="3"/>
      <c r="H17" s="3"/>
      <c r="I17" s="3"/>
      <c r="J17" s="3"/>
      <c r="K17" s="3"/>
      <c r="L17" s="3"/>
      <c r="M17" s="3"/>
    </row>
    <row r="18" spans="1:13" ht="29.25" customHeight="1">
      <c r="A18" s="9">
        <v>105</v>
      </c>
      <c r="B18" s="10">
        <v>0</v>
      </c>
      <c r="C18" s="9">
        <v>23</v>
      </c>
      <c r="D18" s="9">
        <v>3</v>
      </c>
      <c r="E18" s="11">
        <v>0</v>
      </c>
      <c r="F18" s="11">
        <v>91</v>
      </c>
      <c r="G18" s="3"/>
      <c r="H18" s="3"/>
      <c r="I18" s="3"/>
      <c r="J18" s="3"/>
      <c r="K18" s="3"/>
      <c r="L18" s="3"/>
      <c r="M18" s="3"/>
    </row>
    <row r="19" spans="1:1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27" customHeight="1">
      <c r="A20" s="12" t="s">
        <v>16</v>
      </c>
      <c r="B20" s="12"/>
      <c r="C20" s="12"/>
      <c r="D20" s="12"/>
      <c r="E20" s="12"/>
      <c r="F20" s="12"/>
      <c r="G20" s="12"/>
      <c r="H20" s="13"/>
      <c r="I20" s="13"/>
      <c r="J20" s="13"/>
      <c r="K20" s="3"/>
      <c r="L20" s="3"/>
      <c r="M20" s="3"/>
    </row>
    <row r="21" spans="1:13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 s="3" t="s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3" t="s">
        <v>18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3" t="s">
        <v>19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 s="3" t="s">
        <v>20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 t="s">
        <v>21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 s="3" t="s">
        <v>22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s="3" t="s">
        <v>23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63.75" customHeight="1">
      <c r="A36" s="14" t="s">
        <v>24</v>
      </c>
      <c r="B36" s="15" t="s">
        <v>25</v>
      </c>
      <c r="C36" s="14" t="s">
        <v>26</v>
      </c>
      <c r="D36" s="14" t="s">
        <v>27</v>
      </c>
      <c r="E36" s="14" t="s">
        <v>28</v>
      </c>
      <c r="F36" s="14" t="s">
        <v>29</v>
      </c>
      <c r="G36" s="3"/>
      <c r="H36" s="3"/>
      <c r="I36" s="3"/>
      <c r="J36" s="3"/>
      <c r="K36" s="3"/>
      <c r="L36" s="3"/>
      <c r="M36" s="3"/>
    </row>
    <row r="37" spans="1:13" ht="12.75">
      <c r="A37" s="16" t="s">
        <v>30</v>
      </c>
      <c r="B37" s="17">
        <f>F18</f>
        <v>91</v>
      </c>
      <c r="C37" s="18">
        <f>F53</f>
        <v>5053.424175824177</v>
      </c>
      <c r="D37" s="18">
        <f>E53</f>
        <v>459861.60000000003</v>
      </c>
      <c r="E37" s="19">
        <f>G53</f>
        <v>0.8876618530444812</v>
      </c>
      <c r="F37" s="18">
        <f aca="true" t="shared" si="0" ref="F37:F40">D37*E37</f>
        <v>408201.60000000003</v>
      </c>
      <c r="G37" s="3"/>
      <c r="H37" s="3"/>
      <c r="I37" s="3"/>
      <c r="J37" s="3"/>
      <c r="K37" s="3"/>
      <c r="L37" s="3"/>
      <c r="M37" s="3"/>
    </row>
    <row r="38" spans="1:13" ht="12.75">
      <c r="A38" s="16" t="s">
        <v>31</v>
      </c>
      <c r="B38" s="17">
        <f aca="true" t="shared" si="1" ref="B38:B41">B37</f>
        <v>91</v>
      </c>
      <c r="C38" s="18">
        <f>F69</f>
        <v>11137.61978021978</v>
      </c>
      <c r="D38" s="18">
        <f>E69</f>
        <v>1013523.4</v>
      </c>
      <c r="E38" s="19">
        <f>G69</f>
        <v>0.7390923584004079</v>
      </c>
      <c r="F38" s="18">
        <f t="shared" si="0"/>
        <v>749087.4</v>
      </c>
      <c r="G38" s="3"/>
      <c r="H38" s="3"/>
      <c r="I38" s="3"/>
      <c r="J38" s="3"/>
      <c r="K38" s="3"/>
      <c r="L38" s="3"/>
      <c r="M38" s="3"/>
    </row>
    <row r="39" spans="1:13" ht="12.75">
      <c r="A39" s="16" t="s">
        <v>32</v>
      </c>
      <c r="B39" s="17">
        <f t="shared" si="1"/>
        <v>91</v>
      </c>
      <c r="C39" s="18">
        <f>C78</f>
        <v>860.2307692307693</v>
      </c>
      <c r="D39" s="18">
        <f>B78</f>
        <v>78281</v>
      </c>
      <c r="E39" s="19">
        <f>D78</f>
        <v>0.7117819138743756</v>
      </c>
      <c r="F39" s="18">
        <f t="shared" si="0"/>
        <v>55719</v>
      </c>
      <c r="G39" s="3"/>
      <c r="H39" s="3"/>
      <c r="I39" s="3"/>
      <c r="J39" s="3"/>
      <c r="K39" s="3"/>
      <c r="L39" s="3"/>
      <c r="M39" s="3"/>
    </row>
    <row r="40" spans="1:13" ht="12.75">
      <c r="A40" s="16" t="s">
        <v>33</v>
      </c>
      <c r="B40" s="17">
        <f t="shared" si="1"/>
        <v>91</v>
      </c>
      <c r="C40" s="18">
        <f>F88</f>
        <v>0</v>
      </c>
      <c r="D40" s="18">
        <f>E88</f>
        <v>0</v>
      </c>
      <c r="E40" s="19">
        <v>0</v>
      </c>
      <c r="F40" s="18">
        <f t="shared" si="0"/>
        <v>0</v>
      </c>
      <c r="G40" s="3"/>
      <c r="H40" s="3"/>
      <c r="I40" s="3"/>
      <c r="J40" s="3"/>
      <c r="K40" s="3"/>
      <c r="L40" s="3"/>
      <c r="M40" s="3"/>
    </row>
    <row r="41" spans="1:13" ht="12.75">
      <c r="A41" s="16" t="s">
        <v>34</v>
      </c>
      <c r="B41" s="17">
        <f t="shared" si="1"/>
        <v>91</v>
      </c>
      <c r="C41" s="18">
        <v>0</v>
      </c>
      <c r="D41" s="18">
        <v>0</v>
      </c>
      <c r="E41" s="19">
        <v>1</v>
      </c>
      <c r="F41" s="18">
        <f>D137</f>
        <v>707118</v>
      </c>
      <c r="G41" s="3"/>
      <c r="H41" s="3"/>
      <c r="I41" s="3"/>
      <c r="J41" s="3"/>
      <c r="K41" s="3"/>
      <c r="L41" s="3"/>
      <c r="M41" s="3"/>
    </row>
    <row r="42" spans="1:13" ht="12.75">
      <c r="A42" s="20" t="s">
        <v>35</v>
      </c>
      <c r="B42" s="21"/>
      <c r="C42" s="22">
        <f>D42/B40</f>
        <v>17051.274725274725</v>
      </c>
      <c r="D42" s="22">
        <f>SUM(D37:D40)</f>
        <v>1551666</v>
      </c>
      <c r="E42" s="23">
        <f>F42/D42</f>
        <v>1.2374608968682694</v>
      </c>
      <c r="F42" s="18">
        <f>F37+F38+F39+F40+F41</f>
        <v>1920126</v>
      </c>
      <c r="G42" s="24">
        <f>F42+E95</f>
        <v>2639510</v>
      </c>
      <c r="H42" s="3"/>
      <c r="I42" s="3"/>
      <c r="J42" s="3"/>
      <c r="K42" s="3"/>
      <c r="L42" s="3"/>
      <c r="M42" s="3"/>
    </row>
    <row r="43" spans="1:13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30.75" customHeight="1">
      <c r="A44" s="25" t="s">
        <v>225</v>
      </c>
      <c r="B44" s="25"/>
      <c r="C44" s="25"/>
      <c r="D44" s="25"/>
      <c r="E44" s="25"/>
      <c r="F44" s="25"/>
      <c r="G44" s="25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3" t="s">
        <v>37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63.75">
      <c r="A48" s="14" t="s">
        <v>38</v>
      </c>
      <c r="B48" s="14" t="s">
        <v>39</v>
      </c>
      <c r="C48" s="14" t="s">
        <v>40</v>
      </c>
      <c r="D48" s="14" t="s">
        <v>41</v>
      </c>
      <c r="E48" s="14" t="s">
        <v>42</v>
      </c>
      <c r="F48" s="14" t="s">
        <v>26</v>
      </c>
      <c r="G48" s="14" t="s">
        <v>28</v>
      </c>
      <c r="H48" s="3"/>
      <c r="I48" s="3"/>
      <c r="J48" s="3"/>
      <c r="K48" s="3"/>
      <c r="L48" s="3"/>
      <c r="M48" s="3"/>
    </row>
    <row r="49" spans="1:13" ht="25.5">
      <c r="A49" s="26" t="s">
        <v>43</v>
      </c>
      <c r="B49" s="27" t="s">
        <v>44</v>
      </c>
      <c r="C49" s="19">
        <v>0</v>
      </c>
      <c r="D49" s="19">
        <v>0</v>
      </c>
      <c r="E49" s="19">
        <v>0</v>
      </c>
      <c r="F49" s="19">
        <f aca="true" t="shared" si="2" ref="F49:F52">E49/$B$40</f>
        <v>0</v>
      </c>
      <c r="G49" s="19">
        <v>0</v>
      </c>
      <c r="H49" s="3"/>
      <c r="I49" s="3"/>
      <c r="J49" s="3"/>
      <c r="K49" s="3"/>
      <c r="L49" s="3"/>
      <c r="M49" s="3"/>
    </row>
    <row r="50" spans="1:13" ht="25.5">
      <c r="A50" s="26" t="s">
        <v>45</v>
      </c>
      <c r="B50" s="27" t="s">
        <v>46</v>
      </c>
      <c r="C50" s="19">
        <f>14685/2</f>
        <v>7342.5</v>
      </c>
      <c r="D50" s="19">
        <f aca="true" t="shared" si="3" ref="D50:D52">E50/C50</f>
        <v>8.055566905005108</v>
      </c>
      <c r="E50" s="19">
        <f>118296/2</f>
        <v>59148</v>
      </c>
      <c r="F50" s="19">
        <f t="shared" si="2"/>
        <v>649.978021978022</v>
      </c>
      <c r="G50" s="19">
        <f>(118296/2/E50)</f>
        <v>1</v>
      </c>
      <c r="H50" s="3"/>
      <c r="I50" s="3"/>
      <c r="J50" s="3"/>
      <c r="K50" s="3"/>
      <c r="L50" s="3"/>
      <c r="M50" s="3"/>
    </row>
    <row r="51" spans="1:13" ht="25.5">
      <c r="A51" s="26" t="s">
        <v>47</v>
      </c>
      <c r="B51" s="27" t="s">
        <v>48</v>
      </c>
      <c r="C51" s="19">
        <f>25400*90%</f>
        <v>22860</v>
      </c>
      <c r="D51" s="19">
        <f t="shared" si="3"/>
        <v>14.515905511811026</v>
      </c>
      <c r="E51" s="19">
        <f>368704*90%</f>
        <v>331833.60000000003</v>
      </c>
      <c r="F51" s="19">
        <f t="shared" si="2"/>
        <v>3646.5230769230775</v>
      </c>
      <c r="G51" s="19">
        <f>(368704*90%/E51)</f>
        <v>1</v>
      </c>
      <c r="H51" s="3"/>
      <c r="I51" s="3"/>
      <c r="J51" s="3"/>
      <c r="K51" s="3"/>
      <c r="L51" s="3"/>
      <c r="M51" s="3"/>
    </row>
    <row r="52" spans="1:13" ht="25.5">
      <c r="A52" s="26" t="s">
        <v>49</v>
      </c>
      <c r="B52" s="27" t="s">
        <v>46</v>
      </c>
      <c r="C52" s="19">
        <v>1700</v>
      </c>
      <c r="D52" s="19">
        <f t="shared" si="3"/>
        <v>40.51764705882353</v>
      </c>
      <c r="E52" s="19">
        <v>68880</v>
      </c>
      <c r="F52" s="19">
        <f t="shared" si="2"/>
        <v>756.9230769230769</v>
      </c>
      <c r="G52" s="19">
        <f>(17220/E52)</f>
        <v>0.25</v>
      </c>
      <c r="H52" s="3"/>
      <c r="I52" s="3"/>
      <c r="J52" s="3"/>
      <c r="K52" s="3"/>
      <c r="L52" s="3"/>
      <c r="M52" s="3"/>
    </row>
    <row r="53" spans="1:13" ht="20.25" customHeight="1">
      <c r="A53" s="28" t="s">
        <v>50</v>
      </c>
      <c r="B53" s="29"/>
      <c r="C53" s="23"/>
      <c r="D53" s="23"/>
      <c r="E53" s="23">
        <f>E49+E50+E51+E52</f>
        <v>459861.60000000003</v>
      </c>
      <c r="F53" s="23">
        <f>F49+F50+F51+F52</f>
        <v>5053.424175824177</v>
      </c>
      <c r="G53" s="23">
        <f>(118296/2+368704*90%+17220)/E53</f>
        <v>0.8876618530444812</v>
      </c>
      <c r="H53" s="3"/>
      <c r="I53" s="3"/>
      <c r="J53" s="3"/>
      <c r="K53" s="3"/>
      <c r="L53" s="3"/>
      <c r="M53" s="3"/>
    </row>
    <row r="54" spans="1:13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25.5" customHeight="1">
      <c r="A55" s="25" t="s">
        <v>226</v>
      </c>
      <c r="B55" s="25"/>
      <c r="C55" s="25"/>
      <c r="D55" s="25"/>
      <c r="E55" s="25"/>
      <c r="F55" s="25"/>
      <c r="G55" s="25"/>
      <c r="H55" s="3"/>
      <c r="I55" s="3"/>
      <c r="J55" s="3"/>
      <c r="K55" s="3"/>
      <c r="L55" s="3"/>
      <c r="M55" s="3"/>
    </row>
    <row r="56" spans="1:1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75">
      <c r="A57" s="3" t="s">
        <v>52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63.75">
      <c r="A59" s="14" t="s">
        <v>38</v>
      </c>
      <c r="B59" s="14" t="s">
        <v>39</v>
      </c>
      <c r="C59" s="14" t="s">
        <v>53</v>
      </c>
      <c r="D59" s="14" t="s">
        <v>54</v>
      </c>
      <c r="E59" s="14" t="s">
        <v>42</v>
      </c>
      <c r="F59" s="14" t="s">
        <v>26</v>
      </c>
      <c r="G59" s="14" t="s">
        <v>28</v>
      </c>
      <c r="H59" s="3"/>
      <c r="I59" s="3"/>
      <c r="J59" s="3"/>
      <c r="K59" s="3"/>
      <c r="L59" s="3"/>
      <c r="M59" s="3"/>
    </row>
    <row r="60" spans="1:13" ht="45.75" customHeight="1">
      <c r="A60" s="26" t="s">
        <v>55</v>
      </c>
      <c r="B60" s="30"/>
      <c r="C60" s="19"/>
      <c r="D60" s="19"/>
      <c r="E60" s="19">
        <v>89069</v>
      </c>
      <c r="F60" s="19">
        <f aca="true" t="shared" si="4" ref="F60:F68">E60/$B$40</f>
        <v>978.7802197802198</v>
      </c>
      <c r="G60" s="19">
        <f>(63398/E60)</f>
        <v>0.7117852451470208</v>
      </c>
      <c r="H60" s="3"/>
      <c r="I60" s="3"/>
      <c r="J60" s="3"/>
      <c r="K60" s="3"/>
      <c r="L60" s="3"/>
      <c r="M60" s="3"/>
    </row>
    <row r="61" spans="1:13" ht="25.5">
      <c r="A61" s="26" t="s">
        <v>56</v>
      </c>
      <c r="B61" s="30" t="s">
        <v>57</v>
      </c>
      <c r="C61" s="19">
        <v>1</v>
      </c>
      <c r="D61" s="19">
        <f>E61/C61</f>
        <v>0</v>
      </c>
      <c r="E61" s="19">
        <v>0</v>
      </c>
      <c r="F61" s="19">
        <f t="shared" si="4"/>
        <v>0</v>
      </c>
      <c r="G61" s="19" t="e">
        <f aca="true" t="shared" si="5" ref="G61:G62">(0/E61)</f>
        <v>#DIV/0!</v>
      </c>
      <c r="H61" s="3"/>
      <c r="I61" s="3"/>
      <c r="J61" s="3"/>
      <c r="K61" s="3"/>
      <c r="L61" s="3"/>
      <c r="M61" s="3"/>
    </row>
    <row r="62" spans="1:13" ht="18" customHeight="1">
      <c r="A62" s="26" t="s">
        <v>58</v>
      </c>
      <c r="B62" s="30"/>
      <c r="C62" s="19"/>
      <c r="D62" s="19"/>
      <c r="E62" s="19">
        <v>0</v>
      </c>
      <c r="F62" s="19">
        <f t="shared" si="4"/>
        <v>0</v>
      </c>
      <c r="G62" s="19" t="e">
        <f t="shared" si="5"/>
        <v>#DIV/0!</v>
      </c>
      <c r="H62" s="3"/>
      <c r="I62" s="3"/>
      <c r="J62" s="3"/>
      <c r="K62" s="3"/>
      <c r="L62" s="3"/>
      <c r="M62" s="3"/>
    </row>
    <row r="63" spans="1:13" ht="18" customHeight="1">
      <c r="A63" s="26" t="s">
        <v>59</v>
      </c>
      <c r="B63" s="30"/>
      <c r="C63" s="19"/>
      <c r="D63" s="19"/>
      <c r="E63" s="19">
        <v>809640</v>
      </c>
      <c r="F63" s="19">
        <f t="shared" si="4"/>
        <v>8897.142857142857</v>
      </c>
      <c r="G63" s="19">
        <f>(576292/E63)</f>
        <v>0.7117879551405563</v>
      </c>
      <c r="H63" s="3"/>
      <c r="I63" s="3"/>
      <c r="J63" s="3"/>
      <c r="K63" s="3"/>
      <c r="L63" s="3"/>
      <c r="M63" s="3"/>
    </row>
    <row r="64" spans="1:13" ht="25.5">
      <c r="A64" s="26" t="s">
        <v>43</v>
      </c>
      <c r="B64" s="27" t="s">
        <v>44</v>
      </c>
      <c r="C64" s="19">
        <v>0</v>
      </c>
      <c r="D64" s="19">
        <v>0</v>
      </c>
      <c r="E64" s="19">
        <v>0</v>
      </c>
      <c r="F64" s="19">
        <f t="shared" si="4"/>
        <v>0</v>
      </c>
      <c r="G64" s="19">
        <v>0</v>
      </c>
      <c r="H64" s="3"/>
      <c r="I64" s="3"/>
      <c r="J64" s="3"/>
      <c r="K64" s="3"/>
      <c r="L64" s="3"/>
      <c r="M64" s="3"/>
    </row>
    <row r="65" spans="1:13" ht="25.5">
      <c r="A65" s="26" t="s">
        <v>45</v>
      </c>
      <c r="B65" s="27" t="s">
        <v>46</v>
      </c>
      <c r="C65" s="19">
        <f>14685/2</f>
        <v>7342.5</v>
      </c>
      <c r="D65" s="19">
        <f aca="true" t="shared" si="6" ref="D65:D66">E65/C65</f>
        <v>8.055566905005108</v>
      </c>
      <c r="E65" s="19">
        <f>118296/2</f>
        <v>59148</v>
      </c>
      <c r="F65" s="19">
        <f t="shared" si="4"/>
        <v>649.978021978022</v>
      </c>
      <c r="G65" s="19">
        <f>(118296/2/E65)</f>
        <v>1</v>
      </c>
      <c r="H65" s="3"/>
      <c r="I65" s="3"/>
      <c r="J65" s="3"/>
      <c r="K65" s="3"/>
      <c r="L65" s="3"/>
      <c r="M65" s="3"/>
    </row>
    <row r="66" spans="1:13" ht="25.5">
      <c r="A66" s="26" t="s">
        <v>47</v>
      </c>
      <c r="B66" s="27" t="s">
        <v>48</v>
      </c>
      <c r="C66" s="19">
        <f>25400*10%</f>
        <v>2540</v>
      </c>
      <c r="D66" s="19">
        <f t="shared" si="6"/>
        <v>14.515905511811024</v>
      </c>
      <c r="E66" s="19">
        <f>368704*10%</f>
        <v>36870.4</v>
      </c>
      <c r="F66" s="19">
        <f t="shared" si="4"/>
        <v>405.1692307692308</v>
      </c>
      <c r="G66" s="19">
        <f>(368704*10%/E66)</f>
        <v>1</v>
      </c>
      <c r="H66" s="3"/>
      <c r="I66" s="3"/>
      <c r="J66" s="3"/>
      <c r="K66" s="3"/>
      <c r="L66" s="3"/>
      <c r="M66" s="3"/>
    </row>
    <row r="67" spans="1:13" ht="25.5" customHeight="1">
      <c r="A67" s="26" t="s">
        <v>60</v>
      </c>
      <c r="B67" s="30"/>
      <c r="C67" s="19"/>
      <c r="D67" s="19"/>
      <c r="E67" s="19">
        <v>9220</v>
      </c>
      <c r="F67" s="19">
        <f t="shared" si="4"/>
        <v>101.31868131868131</v>
      </c>
      <c r="G67" s="19">
        <f>(6563/E67)</f>
        <v>0.7118221258134491</v>
      </c>
      <c r="H67" s="3"/>
      <c r="I67" s="3"/>
      <c r="J67" s="3"/>
      <c r="K67" s="3"/>
      <c r="L67" s="3"/>
      <c r="M67" s="3"/>
    </row>
    <row r="68" spans="1:13" ht="12.75">
      <c r="A68" s="26" t="s">
        <v>61</v>
      </c>
      <c r="B68" s="30"/>
      <c r="C68" s="19"/>
      <c r="D68" s="19"/>
      <c r="E68" s="19">
        <v>9576</v>
      </c>
      <c r="F68" s="19">
        <f t="shared" si="4"/>
        <v>105.23076923076923</v>
      </c>
      <c r="G68" s="19">
        <f>(6816/E68)</f>
        <v>0.7117794486215538</v>
      </c>
      <c r="H68" s="3"/>
      <c r="I68" s="3"/>
      <c r="J68" s="3"/>
      <c r="K68" s="3"/>
      <c r="L68" s="3"/>
      <c r="M68" s="3"/>
    </row>
    <row r="69" spans="1:13" ht="24.75" customHeight="1">
      <c r="A69" s="28" t="s">
        <v>50</v>
      </c>
      <c r="B69" s="31"/>
      <c r="C69" s="23"/>
      <c r="D69" s="23"/>
      <c r="E69" s="23">
        <f>SUM(E60:E68)</f>
        <v>1013523.4</v>
      </c>
      <c r="F69" s="23">
        <f>SUM(F60:F68)</f>
        <v>11137.61978021978</v>
      </c>
      <c r="G69" s="23">
        <f>(63398+576292+118296/2+368704*10%+6816+6563)/E69</f>
        <v>0.7390923584004079</v>
      </c>
      <c r="H69" s="3"/>
      <c r="I69" s="3"/>
      <c r="J69" s="3"/>
      <c r="K69" s="3"/>
      <c r="L69" s="3"/>
      <c r="M69" s="3"/>
    </row>
    <row r="70" spans="1:13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37.5" customHeight="1">
      <c r="A71" s="25" t="s">
        <v>62</v>
      </c>
      <c r="B71" s="25"/>
      <c r="C71" s="25"/>
      <c r="D71" s="25"/>
      <c r="E71" s="25"/>
      <c r="F71" s="25"/>
      <c r="G71" s="25"/>
      <c r="H71" s="3"/>
      <c r="I71" s="3"/>
      <c r="J71" s="3"/>
      <c r="K71" s="3"/>
      <c r="L71" s="3"/>
      <c r="M71" s="3"/>
    </row>
    <row r="72" spans="1:13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>
      <c r="A73" s="3" t="s">
        <v>63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63.75">
      <c r="A75" s="14" t="s">
        <v>38</v>
      </c>
      <c r="B75" s="14" t="s">
        <v>42</v>
      </c>
      <c r="C75" s="14" t="s">
        <v>26</v>
      </c>
      <c r="D75" s="14" t="s">
        <v>28</v>
      </c>
      <c r="E75" s="32"/>
      <c r="F75" s="32"/>
      <c r="G75" s="32"/>
      <c r="H75" s="3"/>
      <c r="I75" s="3"/>
      <c r="J75" s="3"/>
      <c r="K75" s="3"/>
      <c r="L75" s="3"/>
      <c r="M75" s="3"/>
    </row>
    <row r="76" spans="1:13" ht="51">
      <c r="A76" s="26" t="s">
        <v>64</v>
      </c>
      <c r="B76" s="33">
        <v>1037</v>
      </c>
      <c r="C76" s="19">
        <f aca="true" t="shared" si="7" ref="C76:C77">B76/$B$40</f>
        <v>11.395604395604396</v>
      </c>
      <c r="D76" s="19">
        <f>(738/B76)</f>
        <v>0.7116682738669238</v>
      </c>
      <c r="E76" s="34"/>
      <c r="F76" s="35"/>
      <c r="G76" s="35"/>
      <c r="H76" s="3"/>
      <c r="I76" s="3"/>
      <c r="J76" s="3"/>
      <c r="K76" s="3"/>
      <c r="L76" s="3"/>
      <c r="M76" s="3"/>
    </row>
    <row r="77" spans="1:13" ht="19.5" customHeight="1">
      <c r="A77" s="26" t="s">
        <v>65</v>
      </c>
      <c r="B77" s="33">
        <f>59789+17455</f>
        <v>77244</v>
      </c>
      <c r="C77" s="19">
        <f t="shared" si="7"/>
        <v>848.8351648351648</v>
      </c>
      <c r="D77" s="19">
        <f>(42557+12424)/B77</f>
        <v>0.7117834394904459</v>
      </c>
      <c r="E77" s="34"/>
      <c r="F77" s="35"/>
      <c r="G77" s="35"/>
      <c r="H77" s="3"/>
      <c r="I77" s="3"/>
      <c r="J77" s="3"/>
      <c r="K77" s="3"/>
      <c r="L77" s="3"/>
      <c r="M77" s="3"/>
    </row>
    <row r="78" spans="1:13" ht="27" customHeight="1">
      <c r="A78" s="28" t="s">
        <v>50</v>
      </c>
      <c r="B78" s="36">
        <f>SUM(B76:B77)</f>
        <v>78281</v>
      </c>
      <c r="C78" s="36">
        <f>SUM(C76:C77)</f>
        <v>860.2307692307693</v>
      </c>
      <c r="D78" s="36">
        <f>(42557+12424+738)/B78</f>
        <v>0.7117819138743756</v>
      </c>
      <c r="E78" s="37"/>
      <c r="F78" s="37"/>
      <c r="G78" s="37"/>
      <c r="H78" s="3"/>
      <c r="I78" s="3"/>
      <c r="J78" s="3"/>
      <c r="K78" s="3"/>
      <c r="L78" s="3"/>
      <c r="M78" s="3"/>
    </row>
    <row r="79" spans="1:13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29.25" customHeight="1">
      <c r="A80" s="25" t="s">
        <v>66</v>
      </c>
      <c r="B80" s="25"/>
      <c r="C80" s="25"/>
      <c r="D80" s="25"/>
      <c r="E80" s="25"/>
      <c r="F80" s="25"/>
      <c r="G80" s="25"/>
      <c r="H80" s="3"/>
      <c r="I80" s="3"/>
      <c r="J80" s="3"/>
      <c r="K80" s="3"/>
      <c r="L80" s="3"/>
      <c r="M80" s="3"/>
    </row>
    <row r="81" spans="1:13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 hidden="1">
      <c r="A82" s="3" t="s">
        <v>67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63.75" hidden="1">
      <c r="A84" s="38" t="s">
        <v>68</v>
      </c>
      <c r="B84" s="10" t="s">
        <v>69</v>
      </c>
      <c r="C84" s="14" t="s">
        <v>54</v>
      </c>
      <c r="D84" s="10" t="s">
        <v>70</v>
      </c>
      <c r="E84" s="39" t="s">
        <v>71</v>
      </c>
      <c r="F84" s="14" t="s">
        <v>26</v>
      </c>
      <c r="G84" s="14" t="s">
        <v>28</v>
      </c>
      <c r="H84" s="3"/>
      <c r="I84" s="3"/>
      <c r="J84" s="3"/>
      <c r="K84" s="3"/>
      <c r="L84" s="3"/>
      <c r="M84" s="3"/>
    </row>
    <row r="85" spans="1:13" ht="12.75" hidden="1">
      <c r="A85" s="40" t="s">
        <v>72</v>
      </c>
      <c r="B85" s="41">
        <v>1</v>
      </c>
      <c r="C85" s="42">
        <f aca="true" t="shared" si="8" ref="C85:C86">E85/D85/B85</f>
        <v>0</v>
      </c>
      <c r="D85" s="43">
        <v>12</v>
      </c>
      <c r="E85" s="44">
        <v>0</v>
      </c>
      <c r="F85" s="19">
        <f aca="true" t="shared" si="9" ref="F85:F88">E85/$B$40</f>
        <v>0</v>
      </c>
      <c r="G85" s="72" t="e">
        <f aca="true" t="shared" si="10" ref="G85:G87">(0/E85)</f>
        <v>#DIV/0!</v>
      </c>
      <c r="H85" s="3"/>
      <c r="I85" s="3"/>
      <c r="J85" s="3"/>
      <c r="K85" s="3"/>
      <c r="L85" s="3"/>
      <c r="M85" s="3"/>
    </row>
    <row r="86" spans="1:13" ht="12.75" hidden="1">
      <c r="A86" s="40" t="s">
        <v>73</v>
      </c>
      <c r="B86" s="39">
        <v>1</v>
      </c>
      <c r="C86" s="42">
        <f t="shared" si="8"/>
        <v>0</v>
      </c>
      <c r="D86" s="43">
        <v>12</v>
      </c>
      <c r="E86" s="44">
        <v>0</v>
      </c>
      <c r="F86" s="19">
        <f t="shared" si="9"/>
        <v>0</v>
      </c>
      <c r="G86" s="72" t="e">
        <f t="shared" si="10"/>
        <v>#DIV/0!</v>
      </c>
      <c r="H86" s="3"/>
      <c r="I86" s="3"/>
      <c r="J86" s="3"/>
      <c r="K86" s="3"/>
      <c r="L86" s="3"/>
      <c r="M86" s="3"/>
    </row>
    <row r="87" spans="1:13" ht="12.75" hidden="1">
      <c r="A87" s="40" t="s">
        <v>74</v>
      </c>
      <c r="B87" s="41"/>
      <c r="C87" s="41"/>
      <c r="D87" s="43"/>
      <c r="E87" s="44">
        <v>0</v>
      </c>
      <c r="F87" s="19">
        <f t="shared" si="9"/>
        <v>0</v>
      </c>
      <c r="G87" s="72" t="e">
        <f t="shared" si="10"/>
        <v>#DIV/0!</v>
      </c>
      <c r="H87" s="3"/>
      <c r="I87" s="3"/>
      <c r="J87" s="3"/>
      <c r="K87" s="3"/>
      <c r="L87" s="3"/>
      <c r="M87" s="3"/>
    </row>
    <row r="88" spans="1:13" ht="12.75" hidden="1">
      <c r="A88" s="45" t="s">
        <v>75</v>
      </c>
      <c r="B88" s="46"/>
      <c r="C88" s="46"/>
      <c r="D88" s="46"/>
      <c r="E88" s="47">
        <f>E85+E86+E87</f>
        <v>0</v>
      </c>
      <c r="F88" s="23">
        <f t="shared" si="9"/>
        <v>0</v>
      </c>
      <c r="G88" s="73" t="e">
        <f>0/E88</f>
        <v>#DIV/0!</v>
      </c>
      <c r="H88" s="3"/>
      <c r="I88" s="3"/>
      <c r="J88" s="3"/>
      <c r="K88" s="3"/>
      <c r="L88" s="3"/>
      <c r="M88" s="3"/>
    </row>
    <row r="89" spans="1:13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26.25" customHeight="1" hidden="1">
      <c r="A90" s="25" t="s">
        <v>227</v>
      </c>
      <c r="B90" s="25"/>
      <c r="C90" s="25"/>
      <c r="D90" s="25"/>
      <c r="E90" s="25"/>
      <c r="F90" s="25"/>
      <c r="G90" s="25"/>
      <c r="H90" s="3"/>
      <c r="I90" s="3"/>
      <c r="J90" s="3"/>
      <c r="K90" s="3"/>
      <c r="L90" s="3"/>
      <c r="M90" s="3"/>
    </row>
    <row r="91" spans="1:1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45" customHeight="1">
      <c r="A92" s="12" t="s">
        <v>77</v>
      </c>
      <c r="B92" s="12"/>
      <c r="C92" s="12"/>
      <c r="D92" s="12"/>
      <c r="E92" s="12"/>
      <c r="F92" s="12"/>
      <c r="G92" s="12"/>
      <c r="H92" s="13"/>
      <c r="I92" s="13"/>
      <c r="J92" s="13"/>
      <c r="K92" s="3"/>
      <c r="L92" s="3"/>
      <c r="M92" s="3"/>
    </row>
    <row r="93" spans="1:1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63.75">
      <c r="A94" s="14" t="s">
        <v>38</v>
      </c>
      <c r="B94" s="39" t="s">
        <v>71</v>
      </c>
      <c r="C94" s="14" t="s">
        <v>26</v>
      </c>
      <c r="D94" s="14" t="s">
        <v>28</v>
      </c>
      <c r="E94" s="48" t="s">
        <v>78</v>
      </c>
      <c r="F94" s="16" t="s">
        <v>79</v>
      </c>
      <c r="G94" s="3"/>
      <c r="H94" s="3"/>
      <c r="I94" s="3"/>
      <c r="J94" s="3"/>
      <c r="K94" s="3"/>
      <c r="L94" s="3"/>
      <c r="M94" s="3"/>
    </row>
    <row r="95" spans="1:13" ht="12.75">
      <c r="A95" s="49" t="s">
        <v>80</v>
      </c>
      <c r="B95" s="36">
        <v>1010672</v>
      </c>
      <c r="C95" s="23">
        <f>B95/$B$40</f>
        <v>11106.285714285714</v>
      </c>
      <c r="D95" s="23">
        <f>719384/B95</f>
        <v>0.7117878005920814</v>
      </c>
      <c r="E95" s="18">
        <f>B95*D95</f>
        <v>719384</v>
      </c>
      <c r="F95" s="18">
        <f>E95-B95</f>
        <v>-291288</v>
      </c>
      <c r="G95" s="3"/>
      <c r="H95" s="3"/>
      <c r="I95" s="3"/>
      <c r="J95" s="3"/>
      <c r="K95" s="3"/>
      <c r="L95" s="3"/>
      <c r="M95" s="3"/>
    </row>
    <row r="96" spans="1:1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34.5" customHeight="1">
      <c r="A97" s="25" t="s">
        <v>81</v>
      </c>
      <c r="B97" s="25"/>
      <c r="C97" s="25"/>
      <c r="D97" s="25"/>
      <c r="E97" s="25"/>
      <c r="F97" s="25"/>
      <c r="G97" s="25"/>
      <c r="H97" s="3"/>
      <c r="I97" s="3"/>
      <c r="J97" s="3"/>
      <c r="K97" s="3"/>
      <c r="L97" s="3"/>
      <c r="M97" s="3"/>
    </row>
    <row r="98" spans="1:1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48.75" customHeight="1">
      <c r="A99" s="50" t="s">
        <v>228</v>
      </c>
      <c r="B99" s="50"/>
      <c r="C99" s="50"/>
      <c r="D99" s="50"/>
      <c r="E99" s="50"/>
      <c r="F99" s="50"/>
      <c r="G99" s="50"/>
      <c r="H99" s="3"/>
      <c r="I99" s="3"/>
      <c r="J99" s="3"/>
      <c r="K99" s="3"/>
      <c r="L99" s="3"/>
      <c r="M99" s="3"/>
    </row>
    <row r="100" spans="1:13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4.25">
      <c r="A101" s="3" t="s">
        <v>83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>
      <c r="A103" s="3" t="s">
        <v>84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>
      <c r="A105" s="3" t="s">
        <v>85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7.25" customHeight="1">
      <c r="A107" s="4" t="s">
        <v>86</v>
      </c>
      <c r="B107" s="4"/>
      <c r="C107" s="4"/>
      <c r="D107" s="4"/>
      <c r="E107" s="4"/>
      <c r="F107" s="4"/>
      <c r="G107" s="4"/>
      <c r="H107" s="3"/>
      <c r="I107" s="3"/>
      <c r="J107" s="3"/>
      <c r="K107" s="3"/>
      <c r="L107" s="3"/>
      <c r="M107" s="3"/>
    </row>
    <row r="108" spans="1:13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>
      <c r="A109" s="3" t="s">
        <v>87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3.5" customHeight="1">
      <c r="A111" s="4" t="s">
        <v>88</v>
      </c>
      <c r="B111" s="4"/>
      <c r="C111" s="4"/>
      <c r="D111" s="4"/>
      <c r="E111" s="4"/>
      <c r="F111" s="4"/>
      <c r="G111" s="4"/>
      <c r="H111" s="3"/>
      <c r="I111" s="3"/>
      <c r="J111" s="3"/>
      <c r="K111" s="3"/>
      <c r="L111" s="3"/>
      <c r="M111" s="3"/>
    </row>
    <row r="112" spans="1:1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>
      <c r="A113" s="3" t="s">
        <v>5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14.75">
      <c r="A115" s="14" t="s">
        <v>89</v>
      </c>
      <c r="B115" s="14" t="s">
        <v>90</v>
      </c>
      <c r="C115" s="39" t="s">
        <v>91</v>
      </c>
      <c r="D115" s="14" t="s">
        <v>92</v>
      </c>
      <c r="E115" s="14" t="s">
        <v>93</v>
      </c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36">
        <f>C42</f>
        <v>17051.274725274725</v>
      </c>
      <c r="B116" s="36">
        <f>E42</f>
        <v>1.2374608968682694</v>
      </c>
      <c r="C116" s="23">
        <f>C95</f>
        <v>11106.285714285714</v>
      </c>
      <c r="D116" s="23">
        <f>D95</f>
        <v>0.7117878005920814</v>
      </c>
      <c r="E116" s="36">
        <f>(A116*B116+C116*D116)*F18</f>
        <v>2639510</v>
      </c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97.5" customHeight="1">
      <c r="A118" s="12" t="s">
        <v>229</v>
      </c>
      <c r="B118" s="12"/>
      <c r="C118" s="12"/>
      <c r="D118" s="12"/>
      <c r="E118" s="12"/>
      <c r="F118" s="12"/>
      <c r="G118" s="12"/>
      <c r="H118" s="3"/>
      <c r="I118" s="3"/>
      <c r="J118" s="3"/>
      <c r="K118" s="3"/>
      <c r="L118" s="3"/>
      <c r="M118" s="3"/>
    </row>
    <row r="119" spans="1:13" ht="12.75">
      <c r="A119" s="3"/>
      <c r="B119" s="3"/>
      <c r="C119" s="3"/>
      <c r="D119" s="3" t="s">
        <v>95</v>
      </c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>
      <c r="A121" s="3" t="s">
        <v>96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>
      <c r="A123" s="3" t="s">
        <v>97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>
      <c r="A125" s="3" t="s">
        <v>98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>
      <c r="A127" s="3" t="s">
        <v>99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40.25">
      <c r="A129" s="51" t="s">
        <v>100</v>
      </c>
      <c r="B129" s="52" t="s">
        <v>101</v>
      </c>
      <c r="C129" s="51" t="s">
        <v>102</v>
      </c>
      <c r="D129" s="51" t="s">
        <v>103</v>
      </c>
      <c r="E129" s="53"/>
      <c r="F129" s="53"/>
      <c r="G129" s="53"/>
      <c r="H129" s="3"/>
      <c r="I129" s="3"/>
      <c r="J129" s="3"/>
      <c r="K129" s="3"/>
      <c r="L129" s="3"/>
      <c r="M129" s="3"/>
    </row>
    <row r="130" spans="1:13" ht="12.75">
      <c r="A130" s="65">
        <f>5321761+26780+77041+48730+10791</f>
        <v>5485103</v>
      </c>
      <c r="B130" s="65">
        <f>648000+195696</f>
        <v>843696</v>
      </c>
      <c r="C130" s="66">
        <f>396000+119592</f>
        <v>515592</v>
      </c>
      <c r="D130" s="67">
        <f>A130+B130+C130</f>
        <v>6844391</v>
      </c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>
      <c r="A131" s="58"/>
      <c r="B131" s="58"/>
      <c r="C131" s="58"/>
      <c r="D131" s="58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>
      <c r="A132" s="58"/>
      <c r="B132" s="58"/>
      <c r="C132" s="58"/>
      <c r="D132" s="58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>
      <c r="A133" s="68" t="s">
        <v>107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16" t="s">
        <v>108</v>
      </c>
      <c r="B135" s="16">
        <v>0</v>
      </c>
      <c r="C135" s="16"/>
      <c r="D135" s="18">
        <v>543101</v>
      </c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>
      <c r="A136" s="16" t="s">
        <v>109</v>
      </c>
      <c r="B136" s="16">
        <v>0</v>
      </c>
      <c r="C136" s="16"/>
      <c r="D136" s="18">
        <v>164017</v>
      </c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21" t="s">
        <v>50</v>
      </c>
      <c r="B137" s="21">
        <f>B135+B136</f>
        <v>0</v>
      </c>
      <c r="C137" s="21"/>
      <c r="D137" s="22">
        <f>D135+D136</f>
        <v>707118</v>
      </c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6:13" ht="12.75">
      <c r="F366" s="3"/>
      <c r="G366" s="3"/>
      <c r="H366" s="3"/>
      <c r="I366" s="3"/>
      <c r="J366" s="3"/>
      <c r="K366" s="3"/>
      <c r="L366" s="3"/>
      <c r="M366" s="3"/>
    </row>
  </sheetData>
  <sheetProtection selectLockedCells="1" selectUnlockedCells="1"/>
  <mergeCells count="19">
    <mergeCell ref="A2:G2"/>
    <mergeCell ref="A4:G4"/>
    <mergeCell ref="A5:A6"/>
    <mergeCell ref="B5:C5"/>
    <mergeCell ref="D5:D6"/>
    <mergeCell ref="B6:C6"/>
    <mergeCell ref="A11:G11"/>
    <mergeCell ref="A20:G20"/>
    <mergeCell ref="A44:G44"/>
    <mergeCell ref="A55:G55"/>
    <mergeCell ref="A71:G71"/>
    <mergeCell ref="A80:G80"/>
    <mergeCell ref="A90:G90"/>
    <mergeCell ref="A92:G92"/>
    <mergeCell ref="A97:G97"/>
    <mergeCell ref="A99:G99"/>
    <mergeCell ref="A107:G107"/>
    <mergeCell ref="A111:G111"/>
    <mergeCell ref="A118:G118"/>
  </mergeCells>
  <printOptions/>
  <pageMargins left="0.7083333333333334" right="0.7083333333333334" top="0.7479166666666667" bottom="0.7479166666666667" header="0.5118055555555555" footer="0.5118055555555555"/>
  <pageSetup fitToHeight="3" fitToWidth="1"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M366"/>
  <sheetViews>
    <sheetView workbookViewId="0" topLeftCell="A118">
      <selection activeCell="A130" sqref="A130"/>
    </sheetView>
  </sheetViews>
  <sheetFormatPr defaultColWidth="8.00390625" defaultRowHeight="12.75"/>
  <cols>
    <col min="1" max="1" width="18.00390625" style="0" customWidth="1"/>
    <col min="2" max="2" width="13.625" style="0" customWidth="1"/>
    <col min="3" max="3" width="13.00390625" style="0" customWidth="1"/>
    <col min="4" max="4" width="12.375" style="0" customWidth="1"/>
    <col min="5" max="5" width="15.625" style="0" customWidth="1"/>
    <col min="6" max="6" width="12.75390625" style="0" customWidth="1"/>
    <col min="7" max="7" width="13.625" style="0" customWidth="1"/>
    <col min="8" max="16384" width="9.00390625" style="0" customWidth="1"/>
  </cols>
  <sheetData>
    <row r="2" spans="1:13" ht="59.25" customHeight="1">
      <c r="A2" s="1" t="s">
        <v>230</v>
      </c>
      <c r="B2" s="1"/>
      <c r="C2" s="1"/>
      <c r="D2" s="1"/>
      <c r="E2" s="1"/>
      <c r="F2" s="1"/>
      <c r="G2" s="1"/>
      <c r="H2" s="2"/>
      <c r="I2" s="2"/>
      <c r="J2" s="2"/>
      <c r="K2" s="3"/>
      <c r="L2" s="3"/>
      <c r="M2" s="3"/>
    </row>
    <row r="3" spans="1:1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40.5" customHeight="1">
      <c r="A4" s="4" t="s">
        <v>1</v>
      </c>
      <c r="B4" s="4"/>
      <c r="C4" s="4"/>
      <c r="D4" s="4"/>
      <c r="E4" s="4"/>
      <c r="F4" s="4"/>
      <c r="G4" s="4"/>
      <c r="H4" s="3"/>
      <c r="I4" s="3"/>
      <c r="J4" s="3"/>
      <c r="K4" s="3"/>
      <c r="L4" s="3"/>
      <c r="M4" s="3"/>
    </row>
    <row r="5" spans="1:13" ht="12.75" customHeight="1">
      <c r="A5" s="5" t="s">
        <v>2</v>
      </c>
      <c r="B5" s="6" t="s">
        <v>3</v>
      </c>
      <c r="C5" s="6"/>
      <c r="D5" s="7" t="s">
        <v>4</v>
      </c>
      <c r="E5" s="3"/>
      <c r="F5" s="3"/>
      <c r="G5" s="3"/>
      <c r="H5" s="3"/>
      <c r="I5" s="3"/>
      <c r="J5" s="3"/>
      <c r="K5" s="3"/>
      <c r="L5" s="3"/>
      <c r="M5" s="3"/>
    </row>
    <row r="6" spans="1:13" ht="12.75" customHeight="1">
      <c r="A6" s="5"/>
      <c r="B6" s="8">
        <v>12</v>
      </c>
      <c r="C6" s="8"/>
      <c r="D6" s="7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 s="3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 s="3" t="s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42" customHeight="1">
      <c r="A11" s="4" t="s">
        <v>7</v>
      </c>
      <c r="B11" s="4"/>
      <c r="C11" s="4"/>
      <c r="D11" s="4"/>
      <c r="E11" s="4"/>
      <c r="F11" s="4"/>
      <c r="G11" s="4"/>
      <c r="H11" s="3"/>
      <c r="I11" s="3"/>
      <c r="J11" s="3"/>
      <c r="K11" s="3"/>
      <c r="L11" s="3"/>
      <c r="M11" s="3"/>
    </row>
    <row r="12" spans="1:1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 s="3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3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99" customHeight="1">
      <c r="A17" s="9" t="s">
        <v>10</v>
      </c>
      <c r="B17" s="9" t="s">
        <v>119</v>
      </c>
      <c r="C17" s="10" t="s">
        <v>12</v>
      </c>
      <c r="D17" s="9" t="s">
        <v>13</v>
      </c>
      <c r="E17" s="9" t="s">
        <v>111</v>
      </c>
      <c r="F17" s="9" t="s">
        <v>15</v>
      </c>
      <c r="G17" s="3"/>
      <c r="H17" s="3"/>
      <c r="I17" s="3"/>
      <c r="J17" s="3"/>
      <c r="K17" s="3"/>
      <c r="L17" s="3"/>
      <c r="M17" s="3"/>
    </row>
    <row r="18" spans="1:13" ht="29.25" customHeight="1">
      <c r="A18" s="9">
        <v>52</v>
      </c>
      <c r="B18" s="10">
        <v>0</v>
      </c>
      <c r="C18" s="9">
        <v>5</v>
      </c>
      <c r="D18" s="9">
        <v>6</v>
      </c>
      <c r="E18" s="11">
        <v>0</v>
      </c>
      <c r="F18" s="11">
        <v>51</v>
      </c>
      <c r="G18" s="3"/>
      <c r="H18" s="3"/>
      <c r="I18" s="3"/>
      <c r="J18" s="3"/>
      <c r="K18" s="3"/>
      <c r="L18" s="3"/>
      <c r="M18" s="3"/>
    </row>
    <row r="19" spans="1:1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27" customHeight="1">
      <c r="A20" s="12" t="s">
        <v>16</v>
      </c>
      <c r="B20" s="12"/>
      <c r="C20" s="12"/>
      <c r="D20" s="12"/>
      <c r="E20" s="12"/>
      <c r="F20" s="12"/>
      <c r="G20" s="12"/>
      <c r="H20" s="13"/>
      <c r="I20" s="13"/>
      <c r="J20" s="13"/>
      <c r="K20" s="3"/>
      <c r="L20" s="3"/>
      <c r="M20" s="3"/>
    </row>
    <row r="21" spans="1:13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 s="3" t="s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3" t="s">
        <v>18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3" t="s">
        <v>19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 s="3" t="s">
        <v>20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 t="s">
        <v>21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 s="3" t="s">
        <v>22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s="3" t="s">
        <v>23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63.75" customHeight="1">
      <c r="A36" s="14" t="s">
        <v>24</v>
      </c>
      <c r="B36" s="15" t="s">
        <v>25</v>
      </c>
      <c r="C36" s="14" t="s">
        <v>26</v>
      </c>
      <c r="D36" s="14" t="s">
        <v>27</v>
      </c>
      <c r="E36" s="14" t="s">
        <v>28</v>
      </c>
      <c r="F36" s="14" t="s">
        <v>29</v>
      </c>
      <c r="G36" s="3"/>
      <c r="H36" s="3"/>
      <c r="I36" s="3"/>
      <c r="J36" s="3"/>
      <c r="K36" s="3"/>
      <c r="L36" s="3"/>
      <c r="M36" s="3"/>
    </row>
    <row r="37" spans="1:13" ht="12.75">
      <c r="A37" s="16" t="s">
        <v>30</v>
      </c>
      <c r="B37" s="17">
        <f>F18</f>
        <v>51</v>
      </c>
      <c r="C37" s="18">
        <f>F53</f>
        <v>10772.360784313727</v>
      </c>
      <c r="D37" s="18">
        <f>E53</f>
        <v>549390.4</v>
      </c>
      <c r="E37" s="19">
        <f>G53</f>
        <v>0.744815344425385</v>
      </c>
      <c r="F37" s="18">
        <f aca="true" t="shared" si="0" ref="F37:F40">D37*E37</f>
        <v>409194.4</v>
      </c>
      <c r="G37" s="3"/>
      <c r="H37" s="3"/>
      <c r="I37" s="3"/>
      <c r="J37" s="3"/>
      <c r="K37" s="3"/>
      <c r="L37" s="3"/>
      <c r="M37" s="3"/>
    </row>
    <row r="38" spans="1:13" ht="12.75">
      <c r="A38" s="16" t="s">
        <v>31</v>
      </c>
      <c r="B38" s="17">
        <f aca="true" t="shared" si="1" ref="B38:B41">B37</f>
        <v>51</v>
      </c>
      <c r="C38" s="18">
        <f>F69</f>
        <v>20265.54117647059</v>
      </c>
      <c r="D38" s="18">
        <f>E69</f>
        <v>1033542.6</v>
      </c>
      <c r="E38" s="19">
        <f>G69</f>
        <v>0.7462020433410292</v>
      </c>
      <c r="F38" s="18">
        <f t="shared" si="0"/>
        <v>771231.6</v>
      </c>
      <c r="G38" s="3"/>
      <c r="H38" s="3"/>
      <c r="I38" s="3"/>
      <c r="J38" s="3"/>
      <c r="K38" s="3"/>
      <c r="L38" s="3"/>
      <c r="M38" s="3"/>
    </row>
    <row r="39" spans="1:13" ht="12.75">
      <c r="A39" s="16" t="s">
        <v>32</v>
      </c>
      <c r="B39" s="17">
        <f t="shared" si="1"/>
        <v>51</v>
      </c>
      <c r="C39" s="18">
        <f>C78</f>
        <v>1257.7450980392157</v>
      </c>
      <c r="D39" s="18">
        <f>B78</f>
        <v>64145</v>
      </c>
      <c r="E39" s="19">
        <f>D78</f>
        <v>0.7117780029620391</v>
      </c>
      <c r="F39" s="18">
        <f t="shared" si="0"/>
        <v>45657</v>
      </c>
      <c r="G39" s="3"/>
      <c r="H39" s="3"/>
      <c r="I39" s="3"/>
      <c r="J39" s="3"/>
      <c r="K39" s="3"/>
      <c r="L39" s="3"/>
      <c r="M39" s="3"/>
    </row>
    <row r="40" spans="1:13" ht="12.75">
      <c r="A40" s="16" t="s">
        <v>33</v>
      </c>
      <c r="B40" s="17">
        <f t="shared" si="1"/>
        <v>51</v>
      </c>
      <c r="C40" s="18">
        <f>F88</f>
        <v>0</v>
      </c>
      <c r="D40" s="18">
        <f>E88</f>
        <v>0</v>
      </c>
      <c r="E40" s="19">
        <v>0</v>
      </c>
      <c r="F40" s="18">
        <f t="shared" si="0"/>
        <v>0</v>
      </c>
      <c r="G40" s="3"/>
      <c r="H40" s="3"/>
      <c r="I40" s="3"/>
      <c r="J40" s="3"/>
      <c r="K40" s="3"/>
      <c r="L40" s="3"/>
      <c r="M40" s="3"/>
    </row>
    <row r="41" spans="1:13" ht="12.75">
      <c r="A41" s="16" t="s">
        <v>34</v>
      </c>
      <c r="B41" s="17">
        <f t="shared" si="1"/>
        <v>51</v>
      </c>
      <c r="C41" s="18">
        <v>0</v>
      </c>
      <c r="D41" s="18">
        <v>0</v>
      </c>
      <c r="E41" s="19">
        <v>1</v>
      </c>
      <c r="F41" s="18">
        <f>D137</f>
        <v>673318</v>
      </c>
      <c r="G41" s="3"/>
      <c r="H41" s="3"/>
      <c r="I41" s="3"/>
      <c r="J41" s="3"/>
      <c r="K41" s="3"/>
      <c r="L41" s="3"/>
      <c r="M41" s="3"/>
    </row>
    <row r="42" spans="1:13" ht="12.75">
      <c r="A42" s="20" t="s">
        <v>35</v>
      </c>
      <c r="B42" s="21"/>
      <c r="C42" s="22">
        <f>D42/B40</f>
        <v>32295.647058823528</v>
      </c>
      <c r="D42" s="22">
        <f>SUM(D37:D40)</f>
        <v>1647078</v>
      </c>
      <c r="E42" s="23">
        <f>F42/D42</f>
        <v>1.1531943235232334</v>
      </c>
      <c r="F42" s="18">
        <f>F37+F38+F39+F40+F41</f>
        <v>1899401</v>
      </c>
      <c r="G42" s="24">
        <f>F42+E95</f>
        <v>2296299</v>
      </c>
      <c r="H42" s="3"/>
      <c r="I42" s="3"/>
      <c r="J42" s="3"/>
      <c r="K42" s="3"/>
      <c r="L42" s="3"/>
      <c r="M42" s="3"/>
    </row>
    <row r="43" spans="1:13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30.75" customHeight="1">
      <c r="A44" s="25" t="s">
        <v>231</v>
      </c>
      <c r="B44" s="25"/>
      <c r="C44" s="25"/>
      <c r="D44" s="25"/>
      <c r="E44" s="25"/>
      <c r="F44" s="25"/>
      <c r="G44" s="25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3" t="s">
        <v>37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63.75">
      <c r="A48" s="14" t="s">
        <v>38</v>
      </c>
      <c r="B48" s="14" t="s">
        <v>39</v>
      </c>
      <c r="C48" s="14" t="s">
        <v>40</v>
      </c>
      <c r="D48" s="14" t="s">
        <v>41</v>
      </c>
      <c r="E48" s="14" t="s">
        <v>42</v>
      </c>
      <c r="F48" s="14" t="s">
        <v>26</v>
      </c>
      <c r="G48" s="14" t="s">
        <v>28</v>
      </c>
      <c r="H48" s="3"/>
      <c r="I48" s="3"/>
      <c r="J48" s="3"/>
      <c r="K48" s="3"/>
      <c r="L48" s="3"/>
      <c r="M48" s="3"/>
    </row>
    <row r="49" spans="1:13" ht="25.5">
      <c r="A49" s="26" t="s">
        <v>43</v>
      </c>
      <c r="B49" s="27" t="s">
        <v>44</v>
      </c>
      <c r="C49" s="19">
        <v>0</v>
      </c>
      <c r="D49" s="19">
        <v>0</v>
      </c>
      <c r="E49" s="19">
        <v>0</v>
      </c>
      <c r="F49" s="19">
        <f aca="true" t="shared" si="2" ref="F49:F52">E49/$B$40</f>
        <v>0</v>
      </c>
      <c r="G49" s="19">
        <v>0</v>
      </c>
      <c r="H49" s="3"/>
      <c r="I49" s="3"/>
      <c r="J49" s="3"/>
      <c r="K49" s="3"/>
      <c r="L49" s="3"/>
      <c r="M49" s="3"/>
    </row>
    <row r="50" spans="1:13" ht="25.5">
      <c r="A50" s="26" t="s">
        <v>45</v>
      </c>
      <c r="B50" s="27" t="s">
        <v>46</v>
      </c>
      <c r="C50" s="19">
        <f>22361/2</f>
        <v>11180.5</v>
      </c>
      <c r="D50" s="19">
        <f aca="true" t="shared" si="3" ref="D50:D52">E50/C50</f>
        <v>8.365278833683645</v>
      </c>
      <c r="E50" s="19">
        <f>187056/2</f>
        <v>93528</v>
      </c>
      <c r="F50" s="19">
        <f t="shared" si="2"/>
        <v>1833.8823529411766</v>
      </c>
      <c r="G50" s="19">
        <f>(187056/2/E50)</f>
        <v>1</v>
      </c>
      <c r="H50" s="3"/>
      <c r="I50" s="3"/>
      <c r="J50" s="3"/>
      <c r="K50" s="3"/>
      <c r="L50" s="3"/>
      <c r="M50" s="3"/>
    </row>
    <row r="51" spans="1:13" ht="25.5">
      <c r="A51" s="26" t="s">
        <v>47</v>
      </c>
      <c r="B51" s="27" t="s">
        <v>48</v>
      </c>
      <c r="C51" s="19">
        <f>23600*90%</f>
        <v>21240</v>
      </c>
      <c r="D51" s="19">
        <f t="shared" si="3"/>
        <v>12.661694915254238</v>
      </c>
      <c r="E51" s="19">
        <f>298816*90%</f>
        <v>268934.4</v>
      </c>
      <c r="F51" s="19">
        <f t="shared" si="2"/>
        <v>5273.223529411765</v>
      </c>
      <c r="G51" s="19">
        <f>(298816*90%/E51)</f>
        <v>1</v>
      </c>
      <c r="H51" s="3"/>
      <c r="I51" s="3"/>
      <c r="J51" s="3"/>
      <c r="K51" s="3"/>
      <c r="L51" s="3"/>
      <c r="M51" s="3"/>
    </row>
    <row r="52" spans="1:13" ht="25.5">
      <c r="A52" s="26" t="s">
        <v>49</v>
      </c>
      <c r="B52" s="27" t="s">
        <v>46</v>
      </c>
      <c r="C52" s="19">
        <v>2700</v>
      </c>
      <c r="D52" s="19">
        <f t="shared" si="3"/>
        <v>69.2325925925926</v>
      </c>
      <c r="E52" s="19">
        <v>186928</v>
      </c>
      <c r="F52" s="19">
        <f t="shared" si="2"/>
        <v>3665.2549019607845</v>
      </c>
      <c r="G52" s="19">
        <f>(46732/E52)</f>
        <v>0.25</v>
      </c>
      <c r="H52" s="3"/>
      <c r="I52" s="3"/>
      <c r="J52" s="3"/>
      <c r="K52" s="3"/>
      <c r="L52" s="3"/>
      <c r="M52" s="3"/>
    </row>
    <row r="53" spans="1:13" ht="20.25" customHeight="1">
      <c r="A53" s="28" t="s">
        <v>50</v>
      </c>
      <c r="B53" s="29"/>
      <c r="C53" s="23"/>
      <c r="D53" s="23"/>
      <c r="E53" s="23">
        <f>E49+E50+E51+E52</f>
        <v>549390.4</v>
      </c>
      <c r="F53" s="23">
        <f>F49+F50+F51+F52</f>
        <v>10772.360784313727</v>
      </c>
      <c r="G53" s="23">
        <f>(187056/2+298816*90%+46732)/E53</f>
        <v>0.744815344425385</v>
      </c>
      <c r="H53" s="3"/>
      <c r="I53" s="3"/>
      <c r="J53" s="3"/>
      <c r="K53" s="3"/>
      <c r="L53" s="3"/>
      <c r="M53" s="3"/>
    </row>
    <row r="54" spans="1:13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23.25" customHeight="1">
      <c r="A55" s="25" t="s">
        <v>232</v>
      </c>
      <c r="B55" s="25"/>
      <c r="C55" s="25"/>
      <c r="D55" s="25"/>
      <c r="E55" s="25"/>
      <c r="F55" s="25"/>
      <c r="G55" s="25"/>
      <c r="H55" s="3"/>
      <c r="I55" s="3"/>
      <c r="J55" s="3"/>
      <c r="K55" s="3"/>
      <c r="L55" s="3"/>
      <c r="M55" s="3"/>
    </row>
    <row r="56" spans="1:1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75">
      <c r="A57" s="3" t="s">
        <v>52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63.75">
      <c r="A59" s="14" t="s">
        <v>38</v>
      </c>
      <c r="B59" s="14" t="s">
        <v>39</v>
      </c>
      <c r="C59" s="14" t="s">
        <v>53</v>
      </c>
      <c r="D59" s="14" t="s">
        <v>54</v>
      </c>
      <c r="E59" s="14" t="s">
        <v>42</v>
      </c>
      <c r="F59" s="14" t="s">
        <v>26</v>
      </c>
      <c r="G59" s="14" t="s">
        <v>28</v>
      </c>
      <c r="H59" s="3"/>
      <c r="I59" s="3"/>
      <c r="J59" s="3"/>
      <c r="K59" s="3"/>
      <c r="L59" s="3"/>
      <c r="M59" s="3"/>
    </row>
    <row r="60" spans="1:13" ht="45.75" customHeight="1">
      <c r="A60" s="26" t="s">
        <v>55</v>
      </c>
      <c r="B60" s="30"/>
      <c r="C60" s="19"/>
      <c r="D60" s="19"/>
      <c r="E60" s="19">
        <v>65193</v>
      </c>
      <c r="F60" s="19">
        <f aca="true" t="shared" si="4" ref="F60:F68">E60/$B$40</f>
        <v>1278.2941176470588</v>
      </c>
      <c r="G60" s="19">
        <f>(46404/E60)</f>
        <v>0.711794211034927</v>
      </c>
      <c r="H60" s="3"/>
      <c r="I60" s="3"/>
      <c r="J60" s="3"/>
      <c r="K60" s="3"/>
      <c r="L60" s="3"/>
      <c r="M60" s="3"/>
    </row>
    <row r="61" spans="1:13" ht="25.5">
      <c r="A61" s="26" t="s">
        <v>56</v>
      </c>
      <c r="B61" s="30" t="s">
        <v>57</v>
      </c>
      <c r="C61" s="19">
        <v>1</v>
      </c>
      <c r="D61" s="19">
        <f>E61/C61</f>
        <v>0</v>
      </c>
      <c r="E61" s="19">
        <v>0</v>
      </c>
      <c r="F61" s="19">
        <f t="shared" si="4"/>
        <v>0</v>
      </c>
      <c r="G61" s="19" t="e">
        <f aca="true" t="shared" si="5" ref="G61:G62">(0/E61)</f>
        <v>#DIV/0!</v>
      </c>
      <c r="H61" s="3"/>
      <c r="I61" s="3"/>
      <c r="J61" s="3"/>
      <c r="K61" s="3"/>
      <c r="L61" s="3"/>
      <c r="M61" s="3"/>
    </row>
    <row r="62" spans="1:13" ht="18" customHeight="1">
      <c r="A62" s="26" t="s">
        <v>58</v>
      </c>
      <c r="B62" s="30"/>
      <c r="C62" s="19"/>
      <c r="D62" s="19"/>
      <c r="E62" s="19">
        <v>0</v>
      </c>
      <c r="F62" s="19">
        <f t="shared" si="4"/>
        <v>0</v>
      </c>
      <c r="G62" s="19" t="e">
        <f t="shared" si="5"/>
        <v>#DIV/0!</v>
      </c>
      <c r="H62" s="3"/>
      <c r="I62" s="3"/>
      <c r="J62" s="3"/>
      <c r="K62" s="3"/>
      <c r="L62" s="3"/>
      <c r="M62" s="3"/>
    </row>
    <row r="63" spans="1:13" ht="18" customHeight="1">
      <c r="A63" s="26" t="s">
        <v>59</v>
      </c>
      <c r="B63" s="30"/>
      <c r="C63" s="19"/>
      <c r="D63" s="19"/>
      <c r="E63" s="19">
        <v>809640</v>
      </c>
      <c r="F63" s="19">
        <f t="shared" si="4"/>
        <v>15875.29411764706</v>
      </c>
      <c r="G63" s="19">
        <f>(576292/E63)</f>
        <v>0.7117879551405563</v>
      </c>
      <c r="H63" s="3"/>
      <c r="I63" s="3"/>
      <c r="J63" s="3"/>
      <c r="K63" s="3"/>
      <c r="L63" s="3"/>
      <c r="M63" s="3"/>
    </row>
    <row r="64" spans="1:13" ht="25.5">
      <c r="A64" s="26" t="s">
        <v>43</v>
      </c>
      <c r="B64" s="27" t="s">
        <v>44</v>
      </c>
      <c r="C64" s="19">
        <v>0</v>
      </c>
      <c r="D64" s="19">
        <v>0</v>
      </c>
      <c r="E64" s="19">
        <v>0</v>
      </c>
      <c r="F64" s="19">
        <f t="shared" si="4"/>
        <v>0</v>
      </c>
      <c r="G64" s="19">
        <v>0</v>
      </c>
      <c r="H64" s="3"/>
      <c r="I64" s="3"/>
      <c r="J64" s="3"/>
      <c r="K64" s="3"/>
      <c r="L64" s="3"/>
      <c r="M64" s="3"/>
    </row>
    <row r="65" spans="1:13" ht="25.5">
      <c r="A65" s="26" t="s">
        <v>45</v>
      </c>
      <c r="B65" s="27" t="s">
        <v>46</v>
      </c>
      <c r="C65" s="19">
        <f>22361/2</f>
        <v>11180.5</v>
      </c>
      <c r="D65" s="19">
        <f aca="true" t="shared" si="6" ref="D65:D66">E65/C65</f>
        <v>8.365278833683645</v>
      </c>
      <c r="E65" s="19">
        <f>187056/2</f>
        <v>93528</v>
      </c>
      <c r="F65" s="19">
        <f t="shared" si="4"/>
        <v>1833.8823529411766</v>
      </c>
      <c r="G65" s="19">
        <f>(187056/2/E65)</f>
        <v>1</v>
      </c>
      <c r="H65" s="3"/>
      <c r="I65" s="3"/>
      <c r="J65" s="3"/>
      <c r="K65" s="3"/>
      <c r="L65" s="3"/>
      <c r="M65" s="3"/>
    </row>
    <row r="66" spans="1:13" ht="25.5">
      <c r="A66" s="26" t="s">
        <v>47</v>
      </c>
      <c r="B66" s="27" t="s">
        <v>48</v>
      </c>
      <c r="C66" s="19">
        <f>23600*10%</f>
        <v>2360</v>
      </c>
      <c r="D66" s="19">
        <f t="shared" si="6"/>
        <v>12.661694915254238</v>
      </c>
      <c r="E66" s="19">
        <f>298816*10%</f>
        <v>29881.600000000002</v>
      </c>
      <c r="F66" s="19">
        <f t="shared" si="4"/>
        <v>585.9137254901962</v>
      </c>
      <c r="G66" s="19">
        <f>(298816*10%/E66)</f>
        <v>1</v>
      </c>
      <c r="H66" s="3"/>
      <c r="I66" s="3"/>
      <c r="J66" s="3"/>
      <c r="K66" s="3"/>
      <c r="L66" s="3"/>
      <c r="M66" s="3"/>
    </row>
    <row r="67" spans="1:13" ht="25.5" customHeight="1">
      <c r="A67" s="26" t="s">
        <v>60</v>
      </c>
      <c r="B67" s="30"/>
      <c r="C67" s="19"/>
      <c r="D67" s="19"/>
      <c r="E67" s="19">
        <v>0</v>
      </c>
      <c r="F67" s="19">
        <f t="shared" si="4"/>
        <v>0</v>
      </c>
      <c r="G67" s="19" t="e">
        <f>(0/E67)</f>
        <v>#DIV/0!</v>
      </c>
      <c r="H67" s="3"/>
      <c r="I67" s="3"/>
      <c r="J67" s="3"/>
      <c r="K67" s="3"/>
      <c r="L67" s="3"/>
      <c r="M67" s="3"/>
    </row>
    <row r="68" spans="1:13" ht="12.75">
      <c r="A68" s="26" t="s">
        <v>61</v>
      </c>
      <c r="B68" s="30"/>
      <c r="C68" s="19"/>
      <c r="D68" s="19"/>
      <c r="E68" s="19">
        <v>35300</v>
      </c>
      <c r="F68" s="19">
        <f t="shared" si="4"/>
        <v>692.156862745098</v>
      </c>
      <c r="G68" s="19">
        <f>(25126/E68)</f>
        <v>0.711784702549575</v>
      </c>
      <c r="H68" s="3"/>
      <c r="I68" s="3"/>
      <c r="J68" s="3"/>
      <c r="K68" s="3"/>
      <c r="L68" s="3"/>
      <c r="M68" s="3"/>
    </row>
    <row r="69" spans="1:13" ht="24.75" customHeight="1">
      <c r="A69" s="28" t="s">
        <v>50</v>
      </c>
      <c r="B69" s="31"/>
      <c r="C69" s="23"/>
      <c r="D69" s="23"/>
      <c r="E69" s="23">
        <f>SUM(E60:E68)</f>
        <v>1033542.6</v>
      </c>
      <c r="F69" s="23">
        <f>SUM(F60:F68)</f>
        <v>20265.54117647059</v>
      </c>
      <c r="G69" s="23">
        <f>(46404+576292+187056/2+298816*10%+25126)/E69</f>
        <v>0.7462020433410292</v>
      </c>
      <c r="H69" s="3"/>
      <c r="I69" s="3"/>
      <c r="J69" s="3"/>
      <c r="K69" s="3"/>
      <c r="L69" s="3"/>
      <c r="M69" s="3"/>
    </row>
    <row r="70" spans="1:13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37.5" customHeight="1">
      <c r="A71" s="25" t="s">
        <v>233</v>
      </c>
      <c r="B71" s="25"/>
      <c r="C71" s="25"/>
      <c r="D71" s="25"/>
      <c r="E71" s="25"/>
      <c r="F71" s="25"/>
      <c r="G71" s="25"/>
      <c r="H71" s="3"/>
      <c r="I71" s="3"/>
      <c r="J71" s="3"/>
      <c r="K71" s="3"/>
      <c r="L71" s="3"/>
      <c r="M71" s="3"/>
    </row>
    <row r="72" spans="1:13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>
      <c r="A73" s="3" t="s">
        <v>63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63.75">
      <c r="A75" s="14" t="s">
        <v>38</v>
      </c>
      <c r="B75" s="14" t="s">
        <v>42</v>
      </c>
      <c r="C75" s="14" t="s">
        <v>26</v>
      </c>
      <c r="D75" s="14" t="s">
        <v>28</v>
      </c>
      <c r="E75" s="32"/>
      <c r="F75" s="32"/>
      <c r="G75" s="32"/>
      <c r="H75" s="3"/>
      <c r="I75" s="3"/>
      <c r="J75" s="3"/>
      <c r="K75" s="3"/>
      <c r="L75" s="3"/>
      <c r="M75" s="3"/>
    </row>
    <row r="76" spans="1:13" ht="51">
      <c r="A76" s="26" t="s">
        <v>64</v>
      </c>
      <c r="B76" s="33">
        <v>603</v>
      </c>
      <c r="C76" s="19">
        <f aca="true" t="shared" si="7" ref="C76:C77">B76/$B$40</f>
        <v>11.823529411764707</v>
      </c>
      <c r="D76" s="19">
        <f>(429/B76)</f>
        <v>0.7114427860696517</v>
      </c>
      <c r="E76" s="34"/>
      <c r="F76" s="35"/>
      <c r="G76" s="35"/>
      <c r="H76" s="3"/>
      <c r="I76" s="3"/>
      <c r="J76" s="3"/>
      <c r="K76" s="3"/>
      <c r="L76" s="3"/>
      <c r="M76" s="3"/>
    </row>
    <row r="77" spans="1:13" ht="19.5" customHeight="1">
      <c r="A77" s="26" t="s">
        <v>65</v>
      </c>
      <c r="B77" s="33">
        <f>46087+17455</f>
        <v>63542</v>
      </c>
      <c r="C77" s="19">
        <f t="shared" si="7"/>
        <v>1245.921568627451</v>
      </c>
      <c r="D77" s="19">
        <f>(32804+12424)/B77</f>
        <v>0.7117811840987064</v>
      </c>
      <c r="E77" s="34"/>
      <c r="F77" s="35"/>
      <c r="G77" s="35"/>
      <c r="H77" s="3"/>
      <c r="I77" s="3"/>
      <c r="J77" s="3"/>
      <c r="K77" s="3"/>
      <c r="L77" s="3"/>
      <c r="M77" s="3"/>
    </row>
    <row r="78" spans="1:13" ht="27" customHeight="1">
      <c r="A78" s="28" t="s">
        <v>50</v>
      </c>
      <c r="B78" s="36">
        <f>SUM(B76:B77)</f>
        <v>64145</v>
      </c>
      <c r="C78" s="36">
        <f>SUM(C76:C77)</f>
        <v>1257.7450980392157</v>
      </c>
      <c r="D78" s="36">
        <f>(32804+12424+429)/B78</f>
        <v>0.7117780029620391</v>
      </c>
      <c r="E78" s="37"/>
      <c r="F78" s="37"/>
      <c r="G78" s="37"/>
      <c r="H78" s="3"/>
      <c r="I78" s="3"/>
      <c r="J78" s="3"/>
      <c r="K78" s="3"/>
      <c r="L78" s="3"/>
      <c r="M78" s="3"/>
    </row>
    <row r="79" spans="1:13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29.25" customHeight="1">
      <c r="A80" s="25" t="s">
        <v>66</v>
      </c>
      <c r="B80" s="25"/>
      <c r="C80" s="25"/>
      <c r="D80" s="25"/>
      <c r="E80" s="25"/>
      <c r="F80" s="25"/>
      <c r="G80" s="25"/>
      <c r="H80" s="3"/>
      <c r="I80" s="3"/>
      <c r="J80" s="3"/>
      <c r="K80" s="3"/>
      <c r="L80" s="3"/>
      <c r="M80" s="3"/>
    </row>
    <row r="81" spans="1:13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 hidden="1">
      <c r="A82" s="3" t="s">
        <v>67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63.75" hidden="1">
      <c r="A84" s="38" t="s">
        <v>68</v>
      </c>
      <c r="B84" s="10" t="s">
        <v>69</v>
      </c>
      <c r="C84" s="14" t="s">
        <v>54</v>
      </c>
      <c r="D84" s="10" t="s">
        <v>70</v>
      </c>
      <c r="E84" s="39" t="s">
        <v>71</v>
      </c>
      <c r="F84" s="14" t="s">
        <v>26</v>
      </c>
      <c r="G84" s="14" t="s">
        <v>28</v>
      </c>
      <c r="H84" s="3"/>
      <c r="I84" s="3"/>
      <c r="J84" s="3"/>
      <c r="K84" s="3"/>
      <c r="L84" s="3"/>
      <c r="M84" s="3"/>
    </row>
    <row r="85" spans="1:13" ht="12.75" hidden="1">
      <c r="A85" s="40" t="s">
        <v>72</v>
      </c>
      <c r="B85" s="41">
        <v>1</v>
      </c>
      <c r="C85" s="42">
        <f aca="true" t="shared" si="8" ref="C85:C86">E85/D85/B85</f>
        <v>0</v>
      </c>
      <c r="D85" s="43">
        <v>12</v>
      </c>
      <c r="E85" s="44">
        <v>0</v>
      </c>
      <c r="F85" s="19">
        <f aca="true" t="shared" si="9" ref="F85:F88">E85/$B$40</f>
        <v>0</v>
      </c>
      <c r="G85" s="72" t="e">
        <f aca="true" t="shared" si="10" ref="G85:G87">(0/E85)</f>
        <v>#DIV/0!</v>
      </c>
      <c r="H85" s="3"/>
      <c r="I85" s="3"/>
      <c r="J85" s="3"/>
      <c r="K85" s="3"/>
      <c r="L85" s="3"/>
      <c r="M85" s="3"/>
    </row>
    <row r="86" spans="1:13" ht="12.75" hidden="1">
      <c r="A86" s="40" t="s">
        <v>73</v>
      </c>
      <c r="B86" s="39">
        <v>1</v>
      </c>
      <c r="C86" s="42">
        <f t="shared" si="8"/>
        <v>0</v>
      </c>
      <c r="D86" s="43">
        <v>12</v>
      </c>
      <c r="E86" s="44">
        <v>0</v>
      </c>
      <c r="F86" s="19">
        <f t="shared" si="9"/>
        <v>0</v>
      </c>
      <c r="G86" s="72" t="e">
        <f t="shared" si="10"/>
        <v>#DIV/0!</v>
      </c>
      <c r="H86" s="3"/>
      <c r="I86" s="3"/>
      <c r="J86" s="3"/>
      <c r="K86" s="3"/>
      <c r="L86" s="3"/>
      <c r="M86" s="3"/>
    </row>
    <row r="87" spans="1:13" ht="12.75" hidden="1">
      <c r="A87" s="40" t="s">
        <v>74</v>
      </c>
      <c r="B87" s="41"/>
      <c r="C87" s="41"/>
      <c r="D87" s="43"/>
      <c r="E87" s="44">
        <v>0</v>
      </c>
      <c r="F87" s="19">
        <f t="shared" si="9"/>
        <v>0</v>
      </c>
      <c r="G87" s="72" t="e">
        <f t="shared" si="10"/>
        <v>#DIV/0!</v>
      </c>
      <c r="H87" s="3"/>
      <c r="I87" s="3"/>
      <c r="J87" s="3"/>
      <c r="K87" s="3"/>
      <c r="L87" s="3"/>
      <c r="M87" s="3"/>
    </row>
    <row r="88" spans="1:13" ht="12.75" hidden="1">
      <c r="A88" s="45" t="s">
        <v>75</v>
      </c>
      <c r="B88" s="46"/>
      <c r="C88" s="46"/>
      <c r="D88" s="46"/>
      <c r="E88" s="47">
        <f>E85+E86+E87</f>
        <v>0</v>
      </c>
      <c r="F88" s="23">
        <f t="shared" si="9"/>
        <v>0</v>
      </c>
      <c r="G88" s="73" t="e">
        <f>0/E88</f>
        <v>#DIV/0!</v>
      </c>
      <c r="H88" s="3"/>
      <c r="I88" s="3"/>
      <c r="J88" s="3"/>
      <c r="K88" s="3"/>
      <c r="L88" s="3"/>
      <c r="M88" s="3"/>
    </row>
    <row r="89" spans="1:13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24.75" customHeight="1" hidden="1">
      <c r="A90" s="25" t="s">
        <v>234</v>
      </c>
      <c r="B90" s="25"/>
      <c r="C90" s="25"/>
      <c r="D90" s="25"/>
      <c r="E90" s="25"/>
      <c r="F90" s="25"/>
      <c r="G90" s="25"/>
      <c r="H90" s="3"/>
      <c r="I90" s="3"/>
      <c r="J90" s="3"/>
      <c r="K90" s="3"/>
      <c r="L90" s="3"/>
      <c r="M90" s="3"/>
    </row>
    <row r="91" spans="1:1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45" customHeight="1">
      <c r="A92" s="12" t="s">
        <v>77</v>
      </c>
      <c r="B92" s="12"/>
      <c r="C92" s="12"/>
      <c r="D92" s="12"/>
      <c r="E92" s="12"/>
      <c r="F92" s="12"/>
      <c r="G92" s="12"/>
      <c r="H92" s="13"/>
      <c r="I92" s="13"/>
      <c r="J92" s="13"/>
      <c r="K92" s="3"/>
      <c r="L92" s="3"/>
      <c r="M92" s="3"/>
    </row>
    <row r="93" spans="1:1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63.75">
      <c r="A94" s="14" t="s">
        <v>38</v>
      </c>
      <c r="B94" s="39" t="s">
        <v>71</v>
      </c>
      <c r="C94" s="14" t="s">
        <v>26</v>
      </c>
      <c r="D94" s="14" t="s">
        <v>28</v>
      </c>
      <c r="E94" s="48" t="s">
        <v>78</v>
      </c>
      <c r="F94" s="16" t="s">
        <v>79</v>
      </c>
      <c r="G94" s="3"/>
      <c r="H94" s="3"/>
      <c r="I94" s="3"/>
      <c r="J94" s="3"/>
      <c r="K94" s="3"/>
      <c r="L94" s="3"/>
      <c r="M94" s="3"/>
    </row>
    <row r="95" spans="1:13" ht="12.75">
      <c r="A95" s="49" t="s">
        <v>80</v>
      </c>
      <c r="B95" s="36">
        <v>557607</v>
      </c>
      <c r="C95" s="23">
        <f>B95/$B$40</f>
        <v>10933.470588235294</v>
      </c>
      <c r="D95" s="23">
        <f>396898/B95</f>
        <v>0.711788051441248</v>
      </c>
      <c r="E95" s="18">
        <f>B95*D95</f>
        <v>396898</v>
      </c>
      <c r="F95" s="18">
        <f>E95-B95</f>
        <v>-160709</v>
      </c>
      <c r="G95" s="3"/>
      <c r="H95" s="3"/>
      <c r="I95" s="3"/>
      <c r="J95" s="3"/>
      <c r="K95" s="3"/>
      <c r="L95" s="3"/>
      <c r="M95" s="3"/>
    </row>
    <row r="96" spans="1:1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34.5" customHeight="1">
      <c r="A97" s="25" t="s">
        <v>81</v>
      </c>
      <c r="B97" s="25"/>
      <c r="C97" s="25"/>
      <c r="D97" s="25"/>
      <c r="E97" s="25"/>
      <c r="F97" s="25"/>
      <c r="G97" s="25"/>
      <c r="H97" s="3"/>
      <c r="I97" s="3"/>
      <c r="J97" s="3"/>
      <c r="K97" s="3"/>
      <c r="L97" s="3"/>
      <c r="M97" s="3"/>
    </row>
    <row r="98" spans="1:1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48.75" customHeight="1">
      <c r="A99" s="50" t="s">
        <v>235</v>
      </c>
      <c r="B99" s="50"/>
      <c r="C99" s="50"/>
      <c r="D99" s="50"/>
      <c r="E99" s="50"/>
      <c r="F99" s="50"/>
      <c r="G99" s="50"/>
      <c r="H99" s="3"/>
      <c r="I99" s="3"/>
      <c r="J99" s="3"/>
      <c r="K99" s="3"/>
      <c r="L99" s="3"/>
      <c r="M99" s="3"/>
    </row>
    <row r="100" spans="1:13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4.25">
      <c r="A101" s="3" t="s">
        <v>83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>
      <c r="A103" s="3" t="s">
        <v>84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>
      <c r="A105" s="3" t="s">
        <v>85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7.25" customHeight="1">
      <c r="A107" s="4" t="s">
        <v>86</v>
      </c>
      <c r="B107" s="4"/>
      <c r="C107" s="4"/>
      <c r="D107" s="4"/>
      <c r="E107" s="4"/>
      <c r="F107" s="4"/>
      <c r="G107" s="4"/>
      <c r="H107" s="3"/>
      <c r="I107" s="3"/>
      <c r="J107" s="3"/>
      <c r="K107" s="3"/>
      <c r="L107" s="3"/>
      <c r="M107" s="3"/>
    </row>
    <row r="108" spans="1:13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>
      <c r="A109" s="3" t="s">
        <v>87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3.5" customHeight="1">
      <c r="A111" s="4" t="s">
        <v>88</v>
      </c>
      <c r="B111" s="4"/>
      <c r="C111" s="4"/>
      <c r="D111" s="4"/>
      <c r="E111" s="4"/>
      <c r="F111" s="4"/>
      <c r="G111" s="4"/>
      <c r="H111" s="3"/>
      <c r="I111" s="3"/>
      <c r="J111" s="3"/>
      <c r="K111" s="3"/>
      <c r="L111" s="3"/>
      <c r="M111" s="3"/>
    </row>
    <row r="112" spans="1:1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>
      <c r="A113" s="3" t="s">
        <v>5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76.5">
      <c r="A115" s="14" t="s">
        <v>89</v>
      </c>
      <c r="B115" s="14" t="s">
        <v>90</v>
      </c>
      <c r="C115" s="14" t="s">
        <v>26</v>
      </c>
      <c r="D115" s="14" t="s">
        <v>28</v>
      </c>
      <c r="E115" s="48" t="s">
        <v>78</v>
      </c>
      <c r="F115" s="16" t="s">
        <v>79</v>
      </c>
      <c r="G115" s="3"/>
      <c r="H115" s="3"/>
      <c r="I115" s="3"/>
      <c r="J115" s="3"/>
      <c r="K115" s="3"/>
      <c r="L115" s="3"/>
      <c r="M115" s="3"/>
    </row>
    <row r="116" spans="1:13" ht="12.75">
      <c r="A116" s="36">
        <f>C42</f>
        <v>32295.647058823528</v>
      </c>
      <c r="B116" s="36">
        <f>E42</f>
        <v>1.1531943235232334</v>
      </c>
      <c r="C116" s="23">
        <f>C95</f>
        <v>10933.470588235294</v>
      </c>
      <c r="D116" s="23">
        <f>D95</f>
        <v>0.711788051441248</v>
      </c>
      <c r="E116" s="36">
        <f>(A116*B116+C116*D116)*F18</f>
        <v>2296299</v>
      </c>
      <c r="F116" s="18">
        <f>E116-B116</f>
        <v>2296297.8468056764</v>
      </c>
      <c r="G116" s="3"/>
      <c r="H116" s="3"/>
      <c r="I116" s="3"/>
      <c r="J116" s="3"/>
      <c r="K116" s="3"/>
      <c r="L116" s="3"/>
      <c r="M116" s="3"/>
    </row>
    <row r="117" spans="1:1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99" customHeight="1">
      <c r="A118" s="12" t="s">
        <v>236</v>
      </c>
      <c r="B118" s="12"/>
      <c r="C118" s="12"/>
      <c r="D118" s="12"/>
      <c r="E118" s="12"/>
      <c r="F118" s="12"/>
      <c r="G118" s="12"/>
      <c r="H118" s="3"/>
      <c r="I118" s="3"/>
      <c r="J118" s="3"/>
      <c r="K118" s="3"/>
      <c r="L118" s="3"/>
      <c r="M118" s="3"/>
    </row>
    <row r="119" spans="1:13" ht="12.75">
      <c r="A119" s="3"/>
      <c r="B119" s="3"/>
      <c r="C119" s="3"/>
      <c r="D119" s="3" t="s">
        <v>95</v>
      </c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>
      <c r="A121" s="3" t="s">
        <v>96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>
      <c r="A123" s="3" t="s">
        <v>97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>
      <c r="A125" s="3" t="s">
        <v>98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>
      <c r="A127" s="3" t="s">
        <v>99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40.25">
      <c r="A129" s="51" t="s">
        <v>100</v>
      </c>
      <c r="B129" s="52" t="s">
        <v>101</v>
      </c>
      <c r="C129" s="51" t="s">
        <v>102</v>
      </c>
      <c r="D129" s="51" t="s">
        <v>103</v>
      </c>
      <c r="E129" s="53"/>
      <c r="F129" s="53"/>
      <c r="G129" s="53"/>
      <c r="H129" s="3"/>
      <c r="I129" s="3"/>
      <c r="J129" s="3"/>
      <c r="K129" s="3"/>
      <c r="L129" s="3"/>
      <c r="M129" s="3"/>
    </row>
    <row r="130" spans="1:13" ht="12.75">
      <c r="A130" s="65">
        <f>3912580+28234+55454+7695-1</f>
        <v>4003962</v>
      </c>
      <c r="B130" s="65">
        <f>468000+141336</f>
        <v>609336</v>
      </c>
      <c r="C130" s="66">
        <f>288000+86976</f>
        <v>374976</v>
      </c>
      <c r="D130" s="67">
        <f>A130+B130+C130</f>
        <v>4988274</v>
      </c>
      <c r="E130" s="24"/>
      <c r="F130" s="24"/>
      <c r="G130" s="24"/>
      <c r="H130" s="24"/>
      <c r="I130" s="3"/>
      <c r="J130" s="3"/>
      <c r="K130" s="3"/>
      <c r="L130" s="3"/>
      <c r="M130" s="3"/>
    </row>
    <row r="131" spans="1:13" ht="12.75">
      <c r="A131" s="58"/>
      <c r="B131" s="58"/>
      <c r="C131" s="58"/>
      <c r="D131" s="58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>
      <c r="A132" s="58"/>
      <c r="B132" s="58"/>
      <c r="C132" s="58"/>
      <c r="D132" s="58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>
      <c r="A133" s="68" t="s">
        <v>107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16" t="s">
        <v>108</v>
      </c>
      <c r="B135" s="16">
        <v>0</v>
      </c>
      <c r="C135" s="16"/>
      <c r="D135" s="18">
        <v>517141</v>
      </c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>
      <c r="A136" s="16" t="s">
        <v>109</v>
      </c>
      <c r="B136" s="16">
        <v>0</v>
      </c>
      <c r="C136" s="16"/>
      <c r="D136" s="18">
        <v>156177</v>
      </c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21" t="s">
        <v>50</v>
      </c>
      <c r="B137" s="21">
        <f>B135+B136</f>
        <v>0</v>
      </c>
      <c r="C137" s="21"/>
      <c r="D137" s="22">
        <f>D135+D136</f>
        <v>673318</v>
      </c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6:13" ht="12.75">
      <c r="F366" s="3"/>
      <c r="G366" s="3"/>
      <c r="H366" s="3"/>
      <c r="I366" s="3"/>
      <c r="J366" s="3"/>
      <c r="K366" s="3"/>
      <c r="L366" s="3"/>
      <c r="M366" s="3"/>
    </row>
  </sheetData>
  <sheetProtection selectLockedCells="1" selectUnlockedCells="1"/>
  <mergeCells count="19">
    <mergeCell ref="A2:G2"/>
    <mergeCell ref="A4:G4"/>
    <mergeCell ref="A5:A6"/>
    <mergeCell ref="B5:C5"/>
    <mergeCell ref="D5:D6"/>
    <mergeCell ref="B6:C6"/>
    <mergeCell ref="A11:G11"/>
    <mergeCell ref="A20:G20"/>
    <mergeCell ref="A44:G44"/>
    <mergeCell ref="A55:G55"/>
    <mergeCell ref="A71:G71"/>
    <mergeCell ref="A80:G80"/>
    <mergeCell ref="A90:G90"/>
    <mergeCell ref="A92:G92"/>
    <mergeCell ref="A97:G97"/>
    <mergeCell ref="A99:G99"/>
    <mergeCell ref="A107:G107"/>
    <mergeCell ref="A111:G111"/>
    <mergeCell ref="A118:G118"/>
  </mergeCells>
  <printOptions/>
  <pageMargins left="0.7083333333333334" right="0.7083333333333334" top="0.7479166666666667" bottom="0.7479166666666667" header="0.5118055555555555" footer="0.5118055555555555"/>
  <pageSetup fitToHeight="3" fitToWidth="1"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M366"/>
  <sheetViews>
    <sheetView workbookViewId="0" topLeftCell="A118">
      <selection activeCell="A130" sqref="A130"/>
    </sheetView>
  </sheetViews>
  <sheetFormatPr defaultColWidth="8.00390625" defaultRowHeight="12.75"/>
  <cols>
    <col min="1" max="1" width="18.00390625" style="0" customWidth="1"/>
    <col min="2" max="2" width="13.625" style="0" customWidth="1"/>
    <col min="3" max="3" width="13.00390625" style="0" customWidth="1"/>
    <col min="4" max="4" width="12.375" style="0" customWidth="1"/>
    <col min="5" max="5" width="15.625" style="0" customWidth="1"/>
    <col min="6" max="6" width="12.75390625" style="0" customWidth="1"/>
    <col min="7" max="7" width="13.625" style="0" customWidth="1"/>
    <col min="8" max="16384" width="9.00390625" style="0" customWidth="1"/>
  </cols>
  <sheetData>
    <row r="2" spans="1:13" ht="59.25" customHeight="1">
      <c r="A2" s="1" t="s">
        <v>237</v>
      </c>
      <c r="B2" s="1"/>
      <c r="C2" s="1"/>
      <c r="D2" s="1"/>
      <c r="E2" s="1"/>
      <c r="F2" s="1"/>
      <c r="G2" s="1"/>
      <c r="H2" s="2"/>
      <c r="I2" s="2"/>
      <c r="J2" s="2"/>
      <c r="K2" s="3"/>
      <c r="L2" s="3"/>
      <c r="M2" s="3"/>
    </row>
    <row r="3" spans="1:1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40.5" customHeight="1">
      <c r="A4" s="4" t="s">
        <v>1</v>
      </c>
      <c r="B4" s="4"/>
      <c r="C4" s="4"/>
      <c r="D4" s="4"/>
      <c r="E4" s="4"/>
      <c r="F4" s="4"/>
      <c r="G4" s="4"/>
      <c r="H4" s="3"/>
      <c r="I4" s="3"/>
      <c r="J4" s="3"/>
      <c r="K4" s="3"/>
      <c r="L4" s="3"/>
      <c r="M4" s="3"/>
    </row>
    <row r="5" spans="1:13" ht="12.75" customHeight="1">
      <c r="A5" s="5" t="s">
        <v>2</v>
      </c>
      <c r="B5" s="6" t="s">
        <v>3</v>
      </c>
      <c r="C5" s="6"/>
      <c r="D5" s="7" t="s">
        <v>4</v>
      </c>
      <c r="E5" s="3"/>
      <c r="F5" s="3"/>
      <c r="G5" s="3"/>
      <c r="H5" s="3"/>
      <c r="I5" s="3"/>
      <c r="J5" s="3"/>
      <c r="K5" s="3"/>
      <c r="L5" s="3"/>
      <c r="M5" s="3"/>
    </row>
    <row r="6" spans="1:13" ht="12.75" customHeight="1">
      <c r="A6" s="5"/>
      <c r="B6" s="8">
        <v>12</v>
      </c>
      <c r="C6" s="8"/>
      <c r="D6" s="7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 s="3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 s="3" t="s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42" customHeight="1">
      <c r="A11" s="4" t="s">
        <v>7</v>
      </c>
      <c r="B11" s="4"/>
      <c r="C11" s="4"/>
      <c r="D11" s="4"/>
      <c r="E11" s="4"/>
      <c r="F11" s="4"/>
      <c r="G11" s="4"/>
      <c r="H11" s="3"/>
      <c r="I11" s="3"/>
      <c r="J11" s="3"/>
      <c r="K11" s="3"/>
      <c r="L11" s="3"/>
      <c r="M11" s="3"/>
    </row>
    <row r="12" spans="1:1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 s="3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3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99" customHeight="1">
      <c r="A17" s="9" t="s">
        <v>10</v>
      </c>
      <c r="B17" s="9" t="s">
        <v>11</v>
      </c>
      <c r="C17" s="10" t="s">
        <v>12</v>
      </c>
      <c r="D17" s="9" t="s">
        <v>13</v>
      </c>
      <c r="E17" s="9" t="s">
        <v>111</v>
      </c>
      <c r="F17" s="9" t="s">
        <v>15</v>
      </c>
      <c r="G17" s="3"/>
      <c r="H17" s="3"/>
      <c r="I17" s="3"/>
      <c r="J17" s="3"/>
      <c r="K17" s="3"/>
      <c r="L17" s="3"/>
      <c r="M17" s="3"/>
    </row>
    <row r="18" spans="1:13" ht="29.25" customHeight="1">
      <c r="A18" s="9">
        <v>66</v>
      </c>
      <c r="B18" s="10">
        <v>0</v>
      </c>
      <c r="C18" s="9">
        <v>12</v>
      </c>
      <c r="D18" s="9">
        <v>0</v>
      </c>
      <c r="E18" s="11">
        <v>0</v>
      </c>
      <c r="F18" s="11">
        <v>58</v>
      </c>
      <c r="G18" s="3"/>
      <c r="H18" s="3"/>
      <c r="I18" s="3"/>
      <c r="J18" s="3"/>
      <c r="K18" s="3"/>
      <c r="L18" s="3"/>
      <c r="M18" s="3"/>
    </row>
    <row r="19" spans="1:1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27" customHeight="1">
      <c r="A20" s="12" t="s">
        <v>16</v>
      </c>
      <c r="B20" s="12"/>
      <c r="C20" s="12"/>
      <c r="D20" s="12"/>
      <c r="E20" s="12"/>
      <c r="F20" s="12"/>
      <c r="G20" s="12"/>
      <c r="H20" s="13"/>
      <c r="I20" s="13"/>
      <c r="J20" s="13"/>
      <c r="K20" s="3"/>
      <c r="L20" s="3"/>
      <c r="M20" s="3"/>
    </row>
    <row r="21" spans="1:13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 s="3" t="s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3" t="s">
        <v>18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3" t="s">
        <v>19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 s="3" t="s">
        <v>20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 t="s">
        <v>21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 s="3" t="s">
        <v>22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s="3" t="s">
        <v>23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63.75" customHeight="1">
      <c r="A36" s="14" t="s">
        <v>24</v>
      </c>
      <c r="B36" s="15" t="s">
        <v>25</v>
      </c>
      <c r="C36" s="14" t="s">
        <v>26</v>
      </c>
      <c r="D36" s="14" t="s">
        <v>27</v>
      </c>
      <c r="E36" s="14" t="s">
        <v>28</v>
      </c>
      <c r="F36" s="14" t="s">
        <v>29</v>
      </c>
      <c r="G36" s="3"/>
      <c r="H36" s="3"/>
      <c r="I36" s="3"/>
      <c r="J36" s="3"/>
      <c r="K36" s="3"/>
      <c r="L36" s="3"/>
      <c r="M36" s="3"/>
    </row>
    <row r="37" spans="1:13" ht="12.75">
      <c r="A37" s="16" t="s">
        <v>30</v>
      </c>
      <c r="B37" s="17">
        <f>F18</f>
        <v>58</v>
      </c>
      <c r="C37" s="18">
        <f>F53</f>
        <v>11031.420689655173</v>
      </c>
      <c r="D37" s="18">
        <f>E53</f>
        <v>639822.4</v>
      </c>
      <c r="E37" s="19">
        <f>G53</f>
        <v>0.7363979441795099</v>
      </c>
      <c r="F37" s="18">
        <f aca="true" t="shared" si="0" ref="F37:F40">D37*E37</f>
        <v>471163.9000000001</v>
      </c>
      <c r="G37" s="3"/>
      <c r="H37" s="3"/>
      <c r="I37" s="3"/>
      <c r="J37" s="3"/>
      <c r="K37" s="3"/>
      <c r="L37" s="3"/>
      <c r="M37" s="3"/>
    </row>
    <row r="38" spans="1:13" ht="12.75">
      <c r="A38" s="16" t="s">
        <v>31</v>
      </c>
      <c r="B38" s="17">
        <f aca="true" t="shared" si="1" ref="B38:B41">B37</f>
        <v>58</v>
      </c>
      <c r="C38" s="18">
        <f>F69</f>
        <v>30075.096551724135</v>
      </c>
      <c r="D38" s="18">
        <f>E69</f>
        <v>1744355.6</v>
      </c>
      <c r="E38" s="19">
        <f>G69</f>
        <v>0.6799393999709692</v>
      </c>
      <c r="F38" s="18">
        <f t="shared" si="0"/>
        <v>1186056.1</v>
      </c>
      <c r="G38" s="3"/>
      <c r="H38" s="3"/>
      <c r="I38" s="3"/>
      <c r="J38" s="3"/>
      <c r="K38" s="3"/>
      <c r="L38" s="3"/>
      <c r="M38" s="3"/>
    </row>
    <row r="39" spans="1:13" ht="12.75">
      <c r="A39" s="16" t="s">
        <v>32</v>
      </c>
      <c r="B39" s="17">
        <f t="shared" si="1"/>
        <v>58</v>
      </c>
      <c r="C39" s="18">
        <f>C78</f>
        <v>870.0862068965517</v>
      </c>
      <c r="D39" s="18">
        <f>B78</f>
        <v>50465</v>
      </c>
      <c r="E39" s="19">
        <f>D78</f>
        <v>0.9579708709006242</v>
      </c>
      <c r="F39" s="18">
        <f t="shared" si="0"/>
        <v>48344</v>
      </c>
      <c r="G39" s="3"/>
      <c r="H39" s="3"/>
      <c r="I39" s="3"/>
      <c r="J39" s="3"/>
      <c r="K39" s="3"/>
      <c r="L39" s="3"/>
      <c r="M39" s="3"/>
    </row>
    <row r="40" spans="1:13" ht="12.75">
      <c r="A40" s="16" t="s">
        <v>33</v>
      </c>
      <c r="B40" s="17">
        <f t="shared" si="1"/>
        <v>58</v>
      </c>
      <c r="C40" s="18">
        <f>F88</f>
        <v>0</v>
      </c>
      <c r="D40" s="18">
        <f>E88</f>
        <v>0</v>
      </c>
      <c r="E40" s="19">
        <v>0</v>
      </c>
      <c r="F40" s="18">
        <f t="shared" si="0"/>
        <v>0</v>
      </c>
      <c r="G40" s="3"/>
      <c r="H40" s="3"/>
      <c r="I40" s="3"/>
      <c r="J40" s="3"/>
      <c r="K40" s="3"/>
      <c r="L40" s="3"/>
      <c r="M40" s="3"/>
    </row>
    <row r="41" spans="1:13" ht="12.75">
      <c r="A41" s="16" t="s">
        <v>34</v>
      </c>
      <c r="B41" s="17">
        <f t="shared" si="1"/>
        <v>58</v>
      </c>
      <c r="C41" s="18">
        <v>0</v>
      </c>
      <c r="D41" s="18">
        <v>0</v>
      </c>
      <c r="E41" s="19">
        <v>1</v>
      </c>
      <c r="F41" s="18">
        <f>D137</f>
        <v>350372</v>
      </c>
      <c r="G41" s="3"/>
      <c r="H41" s="3"/>
      <c r="I41" s="3"/>
      <c r="J41" s="3"/>
      <c r="K41" s="3"/>
      <c r="L41" s="3"/>
      <c r="M41" s="3"/>
    </row>
    <row r="42" spans="1:13" ht="12.75">
      <c r="A42" s="20" t="s">
        <v>35</v>
      </c>
      <c r="B42" s="21"/>
      <c r="C42" s="22">
        <f>D42/B40</f>
        <v>41976.60344827586</v>
      </c>
      <c r="D42" s="22">
        <f>SUM(D37:D40)</f>
        <v>2434643</v>
      </c>
      <c r="E42" s="23">
        <f>F42/D42</f>
        <v>0.8444507059145838</v>
      </c>
      <c r="F42" s="18">
        <f>F37+F38+F39+F40+F41</f>
        <v>2055936.0000000002</v>
      </c>
      <c r="G42" s="24">
        <f>F42+E95</f>
        <v>2407714</v>
      </c>
      <c r="H42" s="3"/>
      <c r="I42" s="3"/>
      <c r="J42" s="3"/>
      <c r="K42" s="3"/>
      <c r="L42" s="3"/>
      <c r="M42" s="3"/>
    </row>
    <row r="43" spans="1:13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30.75" customHeight="1">
      <c r="A44" s="25" t="s">
        <v>238</v>
      </c>
      <c r="B44" s="25"/>
      <c r="C44" s="25"/>
      <c r="D44" s="25"/>
      <c r="E44" s="25"/>
      <c r="F44" s="25"/>
      <c r="G44" s="25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3" t="s">
        <v>37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63.75">
      <c r="A48" s="14" t="s">
        <v>38</v>
      </c>
      <c r="B48" s="14" t="s">
        <v>39</v>
      </c>
      <c r="C48" s="14" t="s">
        <v>40</v>
      </c>
      <c r="D48" s="14" t="s">
        <v>41</v>
      </c>
      <c r="E48" s="14" t="s">
        <v>42</v>
      </c>
      <c r="F48" s="14" t="s">
        <v>26</v>
      </c>
      <c r="G48" s="14" t="s">
        <v>28</v>
      </c>
      <c r="H48" s="3"/>
      <c r="I48" s="3"/>
      <c r="J48" s="3"/>
      <c r="K48" s="3"/>
      <c r="L48" s="3"/>
      <c r="M48" s="3"/>
    </row>
    <row r="49" spans="1:13" ht="25.5">
      <c r="A49" s="26" t="s">
        <v>43</v>
      </c>
      <c r="B49" s="27" t="s">
        <v>44</v>
      </c>
      <c r="C49" s="19">
        <f>107.4/2</f>
        <v>53.7</v>
      </c>
      <c r="D49" s="19">
        <f>E49/C49</f>
        <v>4756.35009310987</v>
      </c>
      <c r="E49" s="19">
        <f>510832/2</f>
        <v>255416</v>
      </c>
      <c r="F49" s="19">
        <f aca="true" t="shared" si="2" ref="F49:F52">E49/$B$40</f>
        <v>4403.724137931034</v>
      </c>
      <c r="G49" s="19">
        <f>(230299/2/E49)</f>
        <v>0.45083119303410907</v>
      </c>
      <c r="H49" s="3"/>
      <c r="I49" s="3"/>
      <c r="J49" s="3"/>
      <c r="K49" s="3"/>
      <c r="L49" s="3"/>
      <c r="M49" s="3"/>
    </row>
    <row r="50" spans="1:13" ht="25.5">
      <c r="A50" s="26" t="s">
        <v>45</v>
      </c>
      <c r="B50" s="27" t="s">
        <v>46</v>
      </c>
      <c r="C50" s="19">
        <v>0</v>
      </c>
      <c r="D50" s="19">
        <v>0</v>
      </c>
      <c r="E50" s="19">
        <v>0</v>
      </c>
      <c r="F50" s="19">
        <f t="shared" si="2"/>
        <v>0</v>
      </c>
      <c r="G50" s="19">
        <v>0</v>
      </c>
      <c r="H50" s="3"/>
      <c r="I50" s="3"/>
      <c r="J50" s="3"/>
      <c r="K50" s="3"/>
      <c r="L50" s="3"/>
      <c r="M50" s="3"/>
    </row>
    <row r="51" spans="1:13" ht="25.5">
      <c r="A51" s="26" t="s">
        <v>47</v>
      </c>
      <c r="B51" s="27" t="s">
        <v>48</v>
      </c>
      <c r="C51" s="19">
        <f>19300*90%</f>
        <v>17370</v>
      </c>
      <c r="D51" s="19">
        <f aca="true" t="shared" si="3" ref="D51:D52">E51/C51</f>
        <v>19.951088082901556</v>
      </c>
      <c r="E51" s="19">
        <f>385056*90%</f>
        <v>346550.4</v>
      </c>
      <c r="F51" s="19">
        <f t="shared" si="2"/>
        <v>5975.006896551725</v>
      </c>
      <c r="G51" s="19">
        <f>(385056*90%/E51)</f>
        <v>1</v>
      </c>
      <c r="H51" s="3"/>
      <c r="I51" s="3"/>
      <c r="J51" s="3"/>
      <c r="K51" s="3"/>
      <c r="L51" s="3"/>
      <c r="M51" s="3"/>
    </row>
    <row r="52" spans="1:13" ht="25.5">
      <c r="A52" s="26" t="s">
        <v>49</v>
      </c>
      <c r="B52" s="27" t="s">
        <v>46</v>
      </c>
      <c r="C52" s="19">
        <f>930+846</f>
        <v>1776</v>
      </c>
      <c r="D52" s="19">
        <f t="shared" si="3"/>
        <v>21.315315315315317</v>
      </c>
      <c r="E52" s="19">
        <v>37856</v>
      </c>
      <c r="F52" s="19">
        <f t="shared" si="2"/>
        <v>652.6896551724138</v>
      </c>
      <c r="G52" s="19">
        <f>(9464/E52)</f>
        <v>0.25</v>
      </c>
      <c r="H52" s="3"/>
      <c r="I52" s="3"/>
      <c r="J52" s="3"/>
      <c r="K52" s="3"/>
      <c r="L52" s="3"/>
      <c r="M52" s="3"/>
    </row>
    <row r="53" spans="1:13" ht="20.25" customHeight="1">
      <c r="A53" s="28" t="s">
        <v>50</v>
      </c>
      <c r="B53" s="29"/>
      <c r="C53" s="23"/>
      <c r="D53" s="23"/>
      <c r="E53" s="23">
        <f>E49+E50+E51+E52</f>
        <v>639822.4</v>
      </c>
      <c r="F53" s="23">
        <f>F49+F50+F51+F52</f>
        <v>11031.420689655173</v>
      </c>
      <c r="G53" s="23">
        <f>(230299/2+385056*90%+9464)/E53</f>
        <v>0.7363979441795099</v>
      </c>
      <c r="H53" s="3"/>
      <c r="I53" s="3"/>
      <c r="J53" s="3"/>
      <c r="K53" s="3"/>
      <c r="L53" s="3"/>
      <c r="M53" s="3"/>
    </row>
    <row r="54" spans="1:13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26.25" customHeight="1">
      <c r="A55" s="25" t="s">
        <v>232</v>
      </c>
      <c r="B55" s="25"/>
      <c r="C55" s="25"/>
      <c r="D55" s="25"/>
      <c r="E55" s="25"/>
      <c r="F55" s="25"/>
      <c r="G55" s="25"/>
      <c r="H55" s="3"/>
      <c r="I55" s="3"/>
      <c r="J55" s="3"/>
      <c r="K55" s="3"/>
      <c r="L55" s="3"/>
      <c r="M55" s="3"/>
    </row>
    <row r="56" spans="1:1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75">
      <c r="A57" s="3" t="s">
        <v>52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63.75">
      <c r="A59" s="14" t="s">
        <v>38</v>
      </c>
      <c r="B59" s="14" t="s">
        <v>39</v>
      </c>
      <c r="C59" s="14" t="s">
        <v>53</v>
      </c>
      <c r="D59" s="14" t="s">
        <v>54</v>
      </c>
      <c r="E59" s="14" t="s">
        <v>42</v>
      </c>
      <c r="F59" s="14" t="s">
        <v>26</v>
      </c>
      <c r="G59" s="14" t="s">
        <v>28</v>
      </c>
      <c r="H59" s="3"/>
      <c r="I59" s="3"/>
      <c r="J59" s="3"/>
      <c r="K59" s="3"/>
      <c r="L59" s="3"/>
      <c r="M59" s="3"/>
    </row>
    <row r="60" spans="1:13" ht="45.75" customHeight="1">
      <c r="A60" s="26" t="s">
        <v>55</v>
      </c>
      <c r="B60" s="30"/>
      <c r="C60" s="19"/>
      <c r="D60" s="19"/>
      <c r="E60" s="19">
        <v>57438</v>
      </c>
      <c r="F60" s="19">
        <f aca="true" t="shared" si="4" ref="F60:F68">E60/$B$40</f>
        <v>990.3103448275862</v>
      </c>
      <c r="G60" s="19">
        <f>(40884/E60)</f>
        <v>0.7117935861276506</v>
      </c>
      <c r="H60" s="3"/>
      <c r="I60" s="3"/>
      <c r="J60" s="3"/>
      <c r="K60" s="3"/>
      <c r="L60" s="3"/>
      <c r="M60" s="3"/>
    </row>
    <row r="61" spans="1:13" ht="25.5">
      <c r="A61" s="26" t="s">
        <v>56</v>
      </c>
      <c r="B61" s="30" t="s">
        <v>57</v>
      </c>
      <c r="C61" s="19">
        <v>1</v>
      </c>
      <c r="D61" s="19">
        <f>E61/C61</f>
        <v>18684</v>
      </c>
      <c r="E61" s="19">
        <v>18684</v>
      </c>
      <c r="F61" s="19">
        <f t="shared" si="4"/>
        <v>322.13793103448273</v>
      </c>
      <c r="G61" s="19">
        <f>(13299/E61)</f>
        <v>0.7117854849068722</v>
      </c>
      <c r="H61" s="3"/>
      <c r="I61" s="3"/>
      <c r="J61" s="3"/>
      <c r="K61" s="3"/>
      <c r="L61" s="3"/>
      <c r="M61" s="3"/>
    </row>
    <row r="62" spans="1:13" ht="18" customHeight="1">
      <c r="A62" s="26" t="s">
        <v>58</v>
      </c>
      <c r="B62" s="30"/>
      <c r="C62" s="19"/>
      <c r="D62" s="19"/>
      <c r="E62" s="19">
        <v>0</v>
      </c>
      <c r="F62" s="19">
        <f t="shared" si="4"/>
        <v>0</v>
      </c>
      <c r="G62" s="19" t="e">
        <f>(0/E62)</f>
        <v>#DIV/0!</v>
      </c>
      <c r="H62" s="3"/>
      <c r="I62" s="3"/>
      <c r="J62" s="3"/>
      <c r="K62" s="3"/>
      <c r="L62" s="3"/>
      <c r="M62" s="3"/>
    </row>
    <row r="63" spans="1:13" ht="18" customHeight="1">
      <c r="A63" s="26" t="s">
        <v>59</v>
      </c>
      <c r="B63" s="30"/>
      <c r="C63" s="19"/>
      <c r="D63" s="19"/>
      <c r="E63" s="19">
        <v>809640</v>
      </c>
      <c r="F63" s="19">
        <f t="shared" si="4"/>
        <v>13959.310344827587</v>
      </c>
      <c r="G63" s="19">
        <v>576292</v>
      </c>
      <c r="H63" s="3"/>
      <c r="I63" s="3"/>
      <c r="J63" s="3"/>
      <c r="K63" s="3"/>
      <c r="L63" s="3"/>
      <c r="M63" s="3"/>
    </row>
    <row r="64" spans="1:13" ht="25.5">
      <c r="A64" s="26" t="s">
        <v>43</v>
      </c>
      <c r="B64" s="27" t="s">
        <v>44</v>
      </c>
      <c r="C64" s="19">
        <f>107.4/2</f>
        <v>53.7</v>
      </c>
      <c r="D64" s="19">
        <f>E64/C64</f>
        <v>4756.35009310987</v>
      </c>
      <c r="E64" s="19">
        <f>510832/2</f>
        <v>255416</v>
      </c>
      <c r="F64" s="19">
        <f t="shared" si="4"/>
        <v>4403.724137931034</v>
      </c>
      <c r="G64" s="19">
        <f>(230299/2/E64)</f>
        <v>0.45083119303410907</v>
      </c>
      <c r="H64" s="3"/>
      <c r="I64" s="3"/>
      <c r="J64" s="3"/>
      <c r="K64" s="3"/>
      <c r="L64" s="3"/>
      <c r="M64" s="3"/>
    </row>
    <row r="65" spans="1:13" ht="25.5">
      <c r="A65" s="26" t="s">
        <v>45</v>
      </c>
      <c r="B65" s="27" t="s">
        <v>46</v>
      </c>
      <c r="C65" s="19">
        <v>0</v>
      </c>
      <c r="D65" s="19">
        <v>0</v>
      </c>
      <c r="E65" s="19">
        <v>0</v>
      </c>
      <c r="F65" s="19">
        <f t="shared" si="4"/>
        <v>0</v>
      </c>
      <c r="G65" s="19">
        <v>0</v>
      </c>
      <c r="H65" s="3"/>
      <c r="I65" s="3"/>
      <c r="J65" s="3"/>
      <c r="K65" s="3"/>
      <c r="L65" s="3"/>
      <c r="M65" s="3"/>
    </row>
    <row r="66" spans="1:13" ht="25.5">
      <c r="A66" s="26" t="s">
        <v>47</v>
      </c>
      <c r="B66" s="27" t="s">
        <v>48</v>
      </c>
      <c r="C66" s="19">
        <f>19300*10%</f>
        <v>1930</v>
      </c>
      <c r="D66" s="19">
        <f>E66/C66</f>
        <v>19.951088082901553</v>
      </c>
      <c r="E66" s="19">
        <f>385056*10%</f>
        <v>38505.6</v>
      </c>
      <c r="F66" s="19">
        <f t="shared" si="4"/>
        <v>663.8896551724138</v>
      </c>
      <c r="G66" s="19">
        <f>(385056*10%/E66)</f>
        <v>1</v>
      </c>
      <c r="H66" s="3"/>
      <c r="I66" s="3"/>
      <c r="J66" s="3"/>
      <c r="K66" s="3"/>
      <c r="L66" s="3"/>
      <c r="M66" s="3"/>
    </row>
    <row r="67" spans="1:13" ht="25.5" customHeight="1">
      <c r="A67" s="26" t="s">
        <v>60</v>
      </c>
      <c r="B67" s="30"/>
      <c r="C67" s="19"/>
      <c r="D67" s="19"/>
      <c r="E67" s="19">
        <v>3792</v>
      </c>
      <c r="F67" s="19">
        <f t="shared" si="4"/>
        <v>65.37931034482759</v>
      </c>
      <c r="G67" s="19">
        <f>(2699/E67)</f>
        <v>0.7117616033755274</v>
      </c>
      <c r="H67" s="3"/>
      <c r="I67" s="3"/>
      <c r="J67" s="3"/>
      <c r="K67" s="3"/>
      <c r="L67" s="3"/>
      <c r="M67" s="3"/>
    </row>
    <row r="68" spans="1:13" ht="12.75">
      <c r="A68" s="26" t="s">
        <v>61</v>
      </c>
      <c r="B68" s="30"/>
      <c r="C68" s="19"/>
      <c r="D68" s="19"/>
      <c r="E68" s="19">
        <v>560880</v>
      </c>
      <c r="F68" s="19">
        <f t="shared" si="4"/>
        <v>9670.344827586207</v>
      </c>
      <c r="G68" s="19">
        <f>(399227/E68)</f>
        <v>0.711786834973613</v>
      </c>
      <c r="H68" s="3"/>
      <c r="I68" s="3"/>
      <c r="J68" s="3"/>
      <c r="K68" s="3"/>
      <c r="L68" s="3"/>
      <c r="M68" s="3"/>
    </row>
    <row r="69" spans="1:13" ht="24.75" customHeight="1">
      <c r="A69" s="28" t="s">
        <v>50</v>
      </c>
      <c r="B69" s="31"/>
      <c r="C69" s="23"/>
      <c r="D69" s="23"/>
      <c r="E69" s="23">
        <f>SUM(E60:E68)</f>
        <v>1744355.6</v>
      </c>
      <c r="F69" s="23">
        <f>SUM(F60:F68)</f>
        <v>30075.096551724135</v>
      </c>
      <c r="G69" s="23">
        <f>(40884+13299+576292+230299/2+385056*10%+399227+2699)/E69</f>
        <v>0.6799393999709692</v>
      </c>
      <c r="H69" s="3"/>
      <c r="I69" s="3"/>
      <c r="J69" s="3"/>
      <c r="K69" s="3"/>
      <c r="L69" s="3"/>
      <c r="M69" s="3"/>
    </row>
    <row r="70" spans="1:13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37.5" customHeight="1">
      <c r="A71" s="25" t="s">
        <v>130</v>
      </c>
      <c r="B71" s="25"/>
      <c r="C71" s="25"/>
      <c r="D71" s="25"/>
      <c r="E71" s="25"/>
      <c r="F71" s="25"/>
      <c r="G71" s="25"/>
      <c r="H71" s="3"/>
      <c r="I71" s="3"/>
      <c r="J71" s="3"/>
      <c r="K71" s="3"/>
      <c r="L71" s="3"/>
      <c r="M71" s="3"/>
    </row>
    <row r="72" spans="1:13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>
      <c r="A73" s="3" t="s">
        <v>63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63.75">
      <c r="A75" s="14" t="s">
        <v>38</v>
      </c>
      <c r="B75" s="14" t="s">
        <v>42</v>
      </c>
      <c r="C75" s="14" t="s">
        <v>26</v>
      </c>
      <c r="D75" s="14" t="s">
        <v>28</v>
      </c>
      <c r="E75" s="32"/>
      <c r="F75" s="32"/>
      <c r="G75" s="32"/>
      <c r="H75" s="3"/>
      <c r="I75" s="3"/>
      <c r="J75" s="3"/>
      <c r="K75" s="3"/>
      <c r="L75" s="3"/>
      <c r="M75" s="3"/>
    </row>
    <row r="76" spans="1:13" ht="51">
      <c r="A76" s="26" t="s">
        <v>64</v>
      </c>
      <c r="B76" s="33">
        <v>641</v>
      </c>
      <c r="C76" s="19">
        <f aca="true" t="shared" si="5" ref="C76:C77">B76/$B$40</f>
        <v>11.051724137931034</v>
      </c>
      <c r="D76" s="19">
        <f>(456/B76)</f>
        <v>0.7113884555382215</v>
      </c>
      <c r="E76" s="34"/>
      <c r="F76" s="35"/>
      <c r="G76" s="35"/>
      <c r="H76" s="3"/>
      <c r="I76" s="3"/>
      <c r="J76" s="3"/>
      <c r="K76" s="3"/>
      <c r="L76" s="3"/>
      <c r="M76" s="3"/>
    </row>
    <row r="77" spans="1:13" ht="19.5" customHeight="1">
      <c r="A77" s="26" t="s">
        <v>65</v>
      </c>
      <c r="B77" s="33">
        <v>49824</v>
      </c>
      <c r="C77" s="19">
        <f t="shared" si="5"/>
        <v>859.0344827586207</v>
      </c>
      <c r="D77" s="19">
        <f>(35464+12424)/B77</f>
        <v>0.9611432241490045</v>
      </c>
      <c r="E77" s="34"/>
      <c r="F77" s="35"/>
      <c r="G77" s="35"/>
      <c r="H77" s="3"/>
      <c r="I77" s="3"/>
      <c r="J77" s="3"/>
      <c r="K77" s="3"/>
      <c r="L77" s="3"/>
      <c r="M77" s="3"/>
    </row>
    <row r="78" spans="1:13" ht="27" customHeight="1">
      <c r="A78" s="28" t="s">
        <v>50</v>
      </c>
      <c r="B78" s="36">
        <f>SUM(B76:B77)</f>
        <v>50465</v>
      </c>
      <c r="C78" s="36">
        <f>SUM(C76:C77)</f>
        <v>870.0862068965517</v>
      </c>
      <c r="D78" s="36">
        <f>(35464+12424+456)/B78</f>
        <v>0.9579708709006242</v>
      </c>
      <c r="E78" s="37"/>
      <c r="F78" s="37"/>
      <c r="G78" s="37"/>
      <c r="H78" s="3"/>
      <c r="I78" s="3"/>
      <c r="J78" s="3"/>
      <c r="K78" s="3"/>
      <c r="L78" s="3"/>
      <c r="M78" s="3"/>
    </row>
    <row r="79" spans="1:13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30" customHeight="1">
      <c r="A80" s="25" t="s">
        <v>239</v>
      </c>
      <c r="B80" s="25"/>
      <c r="C80" s="25"/>
      <c r="D80" s="25"/>
      <c r="E80" s="25"/>
      <c r="F80" s="25"/>
      <c r="G80" s="25"/>
      <c r="H80" s="3"/>
      <c r="I80" s="3"/>
      <c r="J80" s="3"/>
      <c r="K80" s="3"/>
      <c r="L80" s="3"/>
      <c r="M80" s="3"/>
    </row>
    <row r="81" spans="1:13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 hidden="1">
      <c r="A82" s="3" t="s">
        <v>67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63.75" hidden="1">
      <c r="A84" s="38" t="s">
        <v>68</v>
      </c>
      <c r="B84" s="10" t="s">
        <v>69</v>
      </c>
      <c r="C84" s="14" t="s">
        <v>54</v>
      </c>
      <c r="D84" s="10" t="s">
        <v>70</v>
      </c>
      <c r="E84" s="39" t="s">
        <v>71</v>
      </c>
      <c r="F84" s="14" t="s">
        <v>26</v>
      </c>
      <c r="G84" s="14" t="s">
        <v>28</v>
      </c>
      <c r="H84" s="3"/>
      <c r="I84" s="3"/>
      <c r="J84" s="3"/>
      <c r="K84" s="3"/>
      <c r="L84" s="3"/>
      <c r="M84" s="3"/>
    </row>
    <row r="85" spans="1:13" ht="12.75" hidden="1">
      <c r="A85" s="40" t="s">
        <v>72</v>
      </c>
      <c r="B85" s="41">
        <v>1</v>
      </c>
      <c r="C85" s="42">
        <f aca="true" t="shared" si="6" ref="C85:C86">E85/D85/B85</f>
        <v>0</v>
      </c>
      <c r="D85" s="43">
        <v>12</v>
      </c>
      <c r="E85" s="44">
        <v>0</v>
      </c>
      <c r="F85" s="19">
        <f aca="true" t="shared" si="7" ref="F85:F88">E85/$B$40</f>
        <v>0</v>
      </c>
      <c r="G85" s="72" t="e">
        <f aca="true" t="shared" si="8" ref="G85:G87">(0/E85)</f>
        <v>#DIV/0!</v>
      </c>
      <c r="H85" s="3"/>
      <c r="I85" s="3"/>
      <c r="J85" s="3"/>
      <c r="K85" s="3"/>
      <c r="L85" s="3"/>
      <c r="M85" s="3"/>
    </row>
    <row r="86" spans="1:13" ht="12.75" hidden="1">
      <c r="A86" s="40" t="s">
        <v>73</v>
      </c>
      <c r="B86" s="39">
        <v>1</v>
      </c>
      <c r="C86" s="42">
        <f t="shared" si="6"/>
        <v>0</v>
      </c>
      <c r="D86" s="43">
        <v>12</v>
      </c>
      <c r="E86" s="44">
        <v>0</v>
      </c>
      <c r="F86" s="19">
        <f t="shared" si="7"/>
        <v>0</v>
      </c>
      <c r="G86" s="72" t="e">
        <f t="shared" si="8"/>
        <v>#DIV/0!</v>
      </c>
      <c r="H86" s="3"/>
      <c r="I86" s="3"/>
      <c r="J86" s="3"/>
      <c r="K86" s="3"/>
      <c r="L86" s="3"/>
      <c r="M86" s="3"/>
    </row>
    <row r="87" spans="1:13" ht="12.75" hidden="1">
      <c r="A87" s="40" t="s">
        <v>74</v>
      </c>
      <c r="B87" s="41"/>
      <c r="C87" s="41"/>
      <c r="D87" s="43"/>
      <c r="E87" s="44">
        <v>0</v>
      </c>
      <c r="F87" s="19">
        <f t="shared" si="7"/>
        <v>0</v>
      </c>
      <c r="G87" s="72" t="e">
        <f t="shared" si="8"/>
        <v>#DIV/0!</v>
      </c>
      <c r="H87" s="3"/>
      <c r="I87" s="3"/>
      <c r="J87" s="3"/>
      <c r="K87" s="3"/>
      <c r="L87" s="3"/>
      <c r="M87" s="3"/>
    </row>
    <row r="88" spans="1:13" ht="12.75" hidden="1">
      <c r="A88" s="45" t="s">
        <v>75</v>
      </c>
      <c r="B88" s="46"/>
      <c r="C88" s="46"/>
      <c r="D88" s="46"/>
      <c r="E88" s="47">
        <f>E85+E86+E87</f>
        <v>0</v>
      </c>
      <c r="F88" s="23">
        <f t="shared" si="7"/>
        <v>0</v>
      </c>
      <c r="G88" s="73" t="e">
        <f>0/E88</f>
        <v>#DIV/0!</v>
      </c>
      <c r="H88" s="3"/>
      <c r="I88" s="3"/>
      <c r="J88" s="3"/>
      <c r="K88" s="3"/>
      <c r="L88" s="3"/>
      <c r="M88" s="3"/>
    </row>
    <row r="89" spans="1:13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28.5" customHeight="1" hidden="1">
      <c r="A90" s="25" t="s">
        <v>240</v>
      </c>
      <c r="B90" s="25"/>
      <c r="C90" s="25"/>
      <c r="D90" s="25"/>
      <c r="E90" s="25"/>
      <c r="F90" s="25"/>
      <c r="G90" s="25"/>
      <c r="H90" s="3"/>
      <c r="I90" s="3"/>
      <c r="J90" s="3"/>
      <c r="K90" s="3"/>
      <c r="L90" s="3"/>
      <c r="M90" s="3"/>
    </row>
    <row r="91" spans="1:1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45" customHeight="1">
      <c r="A92" s="12" t="s">
        <v>77</v>
      </c>
      <c r="B92" s="12"/>
      <c r="C92" s="12"/>
      <c r="D92" s="12"/>
      <c r="E92" s="12"/>
      <c r="F92" s="12"/>
      <c r="G92" s="12"/>
      <c r="H92" s="13"/>
      <c r="I92" s="13"/>
      <c r="J92" s="13"/>
      <c r="K92" s="3"/>
      <c r="L92" s="3"/>
      <c r="M92" s="3"/>
    </row>
    <row r="93" spans="1:1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63.75">
      <c r="A94" s="14" t="s">
        <v>38</v>
      </c>
      <c r="B94" s="39" t="s">
        <v>71</v>
      </c>
      <c r="C94" s="14" t="s">
        <v>26</v>
      </c>
      <c r="D94" s="14" t="s">
        <v>28</v>
      </c>
      <c r="E94" s="48" t="s">
        <v>78</v>
      </c>
      <c r="F94" s="16" t="s">
        <v>79</v>
      </c>
      <c r="G94" s="3"/>
      <c r="H94" s="3"/>
      <c r="I94" s="3"/>
      <c r="J94" s="3"/>
      <c r="K94" s="3"/>
      <c r="L94" s="3"/>
      <c r="M94" s="3"/>
    </row>
    <row r="95" spans="1:13" ht="12.75">
      <c r="A95" s="49" t="s">
        <v>80</v>
      </c>
      <c r="B95" s="36">
        <v>494218</v>
      </c>
      <c r="C95" s="23">
        <f>B95/$B$40</f>
        <v>8521</v>
      </c>
      <c r="D95" s="23">
        <f>351778/B95</f>
        <v>0.7117871060948812</v>
      </c>
      <c r="E95" s="18">
        <f>B95*D95</f>
        <v>351778</v>
      </c>
      <c r="F95" s="18">
        <f>E95-B95</f>
        <v>-142440</v>
      </c>
      <c r="G95" s="3"/>
      <c r="H95" s="3"/>
      <c r="I95" s="3"/>
      <c r="J95" s="3"/>
      <c r="K95" s="3"/>
      <c r="L95" s="3"/>
      <c r="M95" s="3"/>
    </row>
    <row r="96" spans="1:1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31.5" customHeight="1">
      <c r="A97" s="25" t="s">
        <v>241</v>
      </c>
      <c r="B97" s="25"/>
      <c r="C97" s="25"/>
      <c r="D97" s="25"/>
      <c r="E97" s="25"/>
      <c r="F97" s="25"/>
      <c r="G97" s="25"/>
      <c r="H97" s="3"/>
      <c r="I97" s="3"/>
      <c r="J97" s="3"/>
      <c r="K97" s="3"/>
      <c r="L97" s="3"/>
      <c r="M97" s="3"/>
    </row>
    <row r="98" spans="1:1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48.75" customHeight="1">
      <c r="A99" s="50" t="s">
        <v>242</v>
      </c>
      <c r="B99" s="50"/>
      <c r="C99" s="50"/>
      <c r="D99" s="50"/>
      <c r="E99" s="50"/>
      <c r="F99" s="50"/>
      <c r="G99" s="50"/>
      <c r="H99" s="3"/>
      <c r="I99" s="3"/>
      <c r="J99" s="3"/>
      <c r="K99" s="3"/>
      <c r="L99" s="3"/>
      <c r="M99" s="3"/>
    </row>
    <row r="100" spans="1:13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4.25">
      <c r="A101" s="3" t="s">
        <v>83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>
      <c r="A103" s="3" t="s">
        <v>84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>
      <c r="A105" s="3" t="s">
        <v>85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7.25" customHeight="1">
      <c r="A107" s="4" t="s">
        <v>86</v>
      </c>
      <c r="B107" s="4"/>
      <c r="C107" s="4"/>
      <c r="D107" s="4"/>
      <c r="E107" s="4"/>
      <c r="F107" s="4"/>
      <c r="G107" s="4"/>
      <c r="H107" s="3"/>
      <c r="I107" s="3"/>
      <c r="J107" s="3"/>
      <c r="K107" s="3"/>
      <c r="L107" s="3"/>
      <c r="M107" s="3"/>
    </row>
    <row r="108" spans="1:13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>
      <c r="A109" s="3" t="s">
        <v>87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3.5" customHeight="1">
      <c r="A111" s="4" t="s">
        <v>88</v>
      </c>
      <c r="B111" s="4"/>
      <c r="C111" s="4"/>
      <c r="D111" s="4"/>
      <c r="E111" s="4"/>
      <c r="F111" s="4"/>
      <c r="G111" s="4"/>
      <c r="H111" s="3"/>
      <c r="I111" s="3"/>
      <c r="J111" s="3"/>
      <c r="K111" s="3"/>
      <c r="L111" s="3"/>
      <c r="M111" s="3"/>
    </row>
    <row r="112" spans="1:1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>
      <c r="A113" s="3" t="s">
        <v>5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14.75">
      <c r="A115" s="14" t="s">
        <v>89</v>
      </c>
      <c r="B115" s="14" t="s">
        <v>90</v>
      </c>
      <c r="C115" s="39" t="s">
        <v>91</v>
      </c>
      <c r="D115" s="14" t="s">
        <v>92</v>
      </c>
      <c r="E115" s="14" t="s">
        <v>93</v>
      </c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36">
        <f>C42</f>
        <v>41976.60344827586</v>
      </c>
      <c r="B116" s="36">
        <f>E42</f>
        <v>0.8444507059145838</v>
      </c>
      <c r="C116" s="23">
        <f>C95</f>
        <v>8521</v>
      </c>
      <c r="D116" s="23">
        <f>D95</f>
        <v>0.7117871060948812</v>
      </c>
      <c r="E116" s="36">
        <f>(A116*B116+C116*D116)*F18</f>
        <v>2407714.0000000005</v>
      </c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99" customHeight="1">
      <c r="A118" s="12" t="s">
        <v>243</v>
      </c>
      <c r="B118" s="12"/>
      <c r="C118" s="12"/>
      <c r="D118" s="12"/>
      <c r="E118" s="12"/>
      <c r="F118" s="12"/>
      <c r="G118" s="12"/>
      <c r="H118" s="3"/>
      <c r="I118" s="3"/>
      <c r="J118" s="3"/>
      <c r="K118" s="3"/>
      <c r="L118" s="3"/>
      <c r="M118" s="3"/>
    </row>
    <row r="119" spans="1:13" ht="12.75">
      <c r="A119" s="3"/>
      <c r="B119" s="3"/>
      <c r="C119" s="3"/>
      <c r="D119" s="3" t="s">
        <v>95</v>
      </c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>
      <c r="A121" s="3" t="s">
        <v>96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>
      <c r="A123" s="3" t="s">
        <v>97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>
      <c r="A125" s="3" t="s">
        <v>98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>
      <c r="A127" s="3" t="s">
        <v>99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40.25">
      <c r="A129" s="74" t="s">
        <v>100</v>
      </c>
      <c r="B129" s="9" t="s">
        <v>101</v>
      </c>
      <c r="C129" s="74" t="s">
        <v>102</v>
      </c>
      <c r="D129" s="74" t="s">
        <v>103</v>
      </c>
      <c r="E129" s="53"/>
      <c r="F129" s="53"/>
      <c r="G129" s="53"/>
      <c r="H129" s="3"/>
      <c r="I129" s="3"/>
      <c r="J129" s="3"/>
      <c r="K129" s="3"/>
      <c r="L129" s="3"/>
      <c r="M129" s="3"/>
    </row>
    <row r="130" spans="1:13" ht="12.75">
      <c r="A130" s="65">
        <f>3964711+17335+56636+23387+8000</f>
        <v>4070069</v>
      </c>
      <c r="B130" s="65">
        <f>396000+119592</f>
        <v>515592</v>
      </c>
      <c r="C130" s="66">
        <f>288000+86976</f>
        <v>374976</v>
      </c>
      <c r="D130" s="67">
        <f>A130+B130+C130</f>
        <v>4960637</v>
      </c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>
      <c r="A133" s="68" t="s">
        <v>107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16" t="s">
        <v>108</v>
      </c>
      <c r="B135" s="16">
        <v>0</v>
      </c>
      <c r="C135" s="16"/>
      <c r="D135" s="18">
        <f>268642+600</f>
        <v>269242</v>
      </c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>
      <c r="A136" s="16" t="s">
        <v>109</v>
      </c>
      <c r="B136" s="16">
        <v>0</v>
      </c>
      <c r="C136" s="16"/>
      <c r="D136" s="18">
        <v>81130</v>
      </c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21" t="s">
        <v>50</v>
      </c>
      <c r="B137" s="21">
        <f>B135+B136</f>
        <v>0</v>
      </c>
      <c r="C137" s="21"/>
      <c r="D137" s="22">
        <f>D135+D136</f>
        <v>350372</v>
      </c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6:13" ht="12.75">
      <c r="F366" s="3"/>
      <c r="G366" s="3"/>
      <c r="H366" s="3"/>
      <c r="I366" s="3"/>
      <c r="J366" s="3"/>
      <c r="K366" s="3"/>
      <c r="L366" s="3"/>
      <c r="M366" s="3"/>
    </row>
  </sheetData>
  <sheetProtection selectLockedCells="1" selectUnlockedCells="1"/>
  <mergeCells count="19">
    <mergeCell ref="A2:G2"/>
    <mergeCell ref="A4:G4"/>
    <mergeCell ref="A5:A6"/>
    <mergeCell ref="B5:C5"/>
    <mergeCell ref="D5:D6"/>
    <mergeCell ref="B6:C6"/>
    <mergeCell ref="A11:G11"/>
    <mergeCell ref="A20:G20"/>
    <mergeCell ref="A44:G44"/>
    <mergeCell ref="A55:G55"/>
    <mergeCell ref="A71:G71"/>
    <mergeCell ref="A80:G80"/>
    <mergeCell ref="A90:G90"/>
    <mergeCell ref="A92:G92"/>
    <mergeCell ref="A97:G97"/>
    <mergeCell ref="A99:G99"/>
    <mergeCell ref="A107:G107"/>
    <mergeCell ref="A111:G111"/>
    <mergeCell ref="A118:G118"/>
  </mergeCells>
  <printOptions/>
  <pageMargins left="0.7083333333333334" right="0.7083333333333334" top="0.7479166666666667" bottom="0.7479166666666667" header="0.5118055555555555" footer="0.5118055555555555"/>
  <pageSetup fitToHeight="3" fitToWidth="1"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M366"/>
  <sheetViews>
    <sheetView workbookViewId="0" topLeftCell="A121">
      <selection activeCell="A131" sqref="A131"/>
    </sheetView>
  </sheetViews>
  <sheetFormatPr defaultColWidth="8.00390625" defaultRowHeight="12.75"/>
  <cols>
    <col min="1" max="1" width="18.00390625" style="0" customWidth="1"/>
    <col min="2" max="2" width="13.625" style="0" customWidth="1"/>
    <col min="3" max="3" width="13.00390625" style="0" customWidth="1"/>
    <col min="4" max="4" width="12.375" style="0" customWidth="1"/>
    <col min="5" max="5" width="15.625" style="0" customWidth="1"/>
    <col min="6" max="6" width="12.75390625" style="0" customWidth="1"/>
    <col min="7" max="7" width="13.625" style="0" customWidth="1"/>
    <col min="8" max="16384" width="9.00390625" style="0" customWidth="1"/>
  </cols>
  <sheetData>
    <row r="2" spans="1:13" ht="59.25" customHeight="1">
      <c r="A2" s="1" t="s">
        <v>244</v>
      </c>
      <c r="B2" s="1"/>
      <c r="C2" s="1"/>
      <c r="D2" s="1"/>
      <c r="E2" s="1"/>
      <c r="F2" s="1"/>
      <c r="G2" s="1"/>
      <c r="H2" s="2"/>
      <c r="I2" s="2"/>
      <c r="J2" s="2"/>
      <c r="K2" s="3"/>
      <c r="L2" s="3"/>
      <c r="M2" s="3"/>
    </row>
    <row r="3" spans="1:1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40.5" customHeight="1">
      <c r="A4" s="4" t="s">
        <v>1</v>
      </c>
      <c r="B4" s="4"/>
      <c r="C4" s="4"/>
      <c r="D4" s="4"/>
      <c r="E4" s="4"/>
      <c r="F4" s="4"/>
      <c r="G4" s="4"/>
      <c r="H4" s="3"/>
      <c r="I4" s="3"/>
      <c r="J4" s="3"/>
      <c r="K4" s="3"/>
      <c r="L4" s="3"/>
      <c r="M4" s="3"/>
    </row>
    <row r="5" spans="1:13" ht="12.75" customHeight="1">
      <c r="A5" s="5" t="s">
        <v>2</v>
      </c>
      <c r="B5" s="6" t="s">
        <v>3</v>
      </c>
      <c r="C5" s="6"/>
      <c r="D5" s="7" t="s">
        <v>4</v>
      </c>
      <c r="E5" s="3"/>
      <c r="F5" s="3"/>
      <c r="G5" s="3"/>
      <c r="H5" s="3"/>
      <c r="I5" s="3"/>
      <c r="J5" s="3"/>
      <c r="K5" s="3"/>
      <c r="L5" s="3"/>
      <c r="M5" s="3"/>
    </row>
    <row r="6" spans="1:13" ht="12.75" customHeight="1">
      <c r="A6" s="5"/>
      <c r="B6" s="8">
        <v>12</v>
      </c>
      <c r="C6" s="8"/>
      <c r="D6" s="7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 s="3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 s="3" t="s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42" customHeight="1">
      <c r="A11" s="4" t="s">
        <v>7</v>
      </c>
      <c r="B11" s="4"/>
      <c r="C11" s="4"/>
      <c r="D11" s="4"/>
      <c r="E11" s="4"/>
      <c r="F11" s="4"/>
      <c r="G11" s="4"/>
      <c r="H11" s="3"/>
      <c r="I11" s="3"/>
      <c r="J11" s="3"/>
      <c r="K11" s="3"/>
      <c r="L11" s="3"/>
      <c r="M11" s="3"/>
    </row>
    <row r="12" spans="1:1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 s="3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3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99" customHeight="1">
      <c r="A17" s="9" t="s">
        <v>10</v>
      </c>
      <c r="B17" s="9" t="s">
        <v>11</v>
      </c>
      <c r="C17" s="10" t="s">
        <v>12</v>
      </c>
      <c r="D17" s="9" t="s">
        <v>13</v>
      </c>
      <c r="E17" s="9" t="s">
        <v>14</v>
      </c>
      <c r="F17" s="9" t="s">
        <v>15</v>
      </c>
      <c r="G17" s="3"/>
      <c r="H17" s="3"/>
      <c r="I17" s="3"/>
      <c r="J17" s="3"/>
      <c r="K17" s="3"/>
      <c r="L17" s="3"/>
      <c r="M17" s="3"/>
    </row>
    <row r="18" spans="1:13" ht="29.25" customHeight="1">
      <c r="A18" s="9">
        <v>130</v>
      </c>
      <c r="B18" s="10">
        <v>0</v>
      </c>
      <c r="C18" s="9">
        <v>20</v>
      </c>
      <c r="D18" s="9">
        <v>18</v>
      </c>
      <c r="E18" s="11">
        <v>0</v>
      </c>
      <c r="F18" s="11">
        <v>123</v>
      </c>
      <c r="G18" s="3"/>
      <c r="H18" s="3"/>
      <c r="I18" s="3"/>
      <c r="J18" s="3"/>
      <c r="K18" s="3"/>
      <c r="L18" s="3"/>
      <c r="M18" s="3"/>
    </row>
    <row r="19" spans="1:1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27" customHeight="1">
      <c r="A20" s="12" t="s">
        <v>16</v>
      </c>
      <c r="B20" s="12"/>
      <c r="C20" s="12"/>
      <c r="D20" s="12"/>
      <c r="E20" s="12"/>
      <c r="F20" s="12"/>
      <c r="G20" s="12"/>
      <c r="H20" s="13"/>
      <c r="I20" s="13"/>
      <c r="J20" s="13"/>
      <c r="K20" s="3"/>
      <c r="L20" s="3"/>
      <c r="M20" s="3"/>
    </row>
    <row r="21" spans="1:13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 s="3" t="s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3" t="s">
        <v>18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3" t="s">
        <v>19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 s="3" t="s">
        <v>20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 t="s">
        <v>21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 s="3" t="s">
        <v>22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s="3" t="s">
        <v>23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63.75" customHeight="1">
      <c r="A36" s="14" t="s">
        <v>24</v>
      </c>
      <c r="B36" s="15" t="s">
        <v>25</v>
      </c>
      <c r="C36" s="14" t="s">
        <v>26</v>
      </c>
      <c r="D36" s="14" t="s">
        <v>27</v>
      </c>
      <c r="E36" s="14" t="s">
        <v>28</v>
      </c>
      <c r="F36" s="14" t="s">
        <v>29</v>
      </c>
      <c r="G36" s="3"/>
      <c r="H36" s="3"/>
      <c r="I36" s="3"/>
      <c r="J36" s="3"/>
      <c r="K36" s="3"/>
      <c r="L36" s="3"/>
      <c r="M36" s="3"/>
    </row>
    <row r="37" spans="1:13" ht="12.75">
      <c r="A37" s="16" t="s">
        <v>30</v>
      </c>
      <c r="B37" s="17">
        <f>F18</f>
        <v>123</v>
      </c>
      <c r="C37" s="18">
        <f>F53</f>
        <v>5414.260975609756</v>
      </c>
      <c r="D37" s="18">
        <f>E53</f>
        <v>665954.1000000001</v>
      </c>
      <c r="E37" s="19">
        <f>G53</f>
        <v>0.8486382169581957</v>
      </c>
      <c r="F37" s="18">
        <f aca="true" t="shared" si="0" ref="F37:F40">D37*E37</f>
        <v>565154.1000000001</v>
      </c>
      <c r="G37" s="3"/>
      <c r="H37" s="3"/>
      <c r="I37" s="3"/>
      <c r="J37" s="3"/>
      <c r="K37" s="3"/>
      <c r="L37" s="3"/>
      <c r="M37" s="3"/>
    </row>
    <row r="38" spans="1:13" ht="12.75">
      <c r="A38" s="16" t="s">
        <v>31</v>
      </c>
      <c r="B38" s="17">
        <f aca="true" t="shared" si="1" ref="B38:B41">B37</f>
        <v>123</v>
      </c>
      <c r="C38" s="18">
        <f>F69</f>
        <v>11220.771544715446</v>
      </c>
      <c r="D38" s="18">
        <f>E69</f>
        <v>1380154.9</v>
      </c>
      <c r="E38" s="19">
        <f>G69</f>
        <v>0.7479116293395763</v>
      </c>
      <c r="F38" s="18">
        <f t="shared" si="0"/>
        <v>1032233.9</v>
      </c>
      <c r="G38" s="3"/>
      <c r="H38" s="3"/>
      <c r="I38" s="3"/>
      <c r="J38" s="3"/>
      <c r="K38" s="3"/>
      <c r="L38" s="3"/>
      <c r="M38" s="3"/>
    </row>
    <row r="39" spans="1:13" ht="12.75">
      <c r="A39" s="16" t="s">
        <v>32</v>
      </c>
      <c r="B39" s="17">
        <f t="shared" si="1"/>
        <v>123</v>
      </c>
      <c r="C39" s="18">
        <f>C78</f>
        <v>744.1138211382114</v>
      </c>
      <c r="D39" s="18">
        <f>B78</f>
        <v>91526</v>
      </c>
      <c r="E39" s="19">
        <f>D78</f>
        <v>0.7117868146756113</v>
      </c>
      <c r="F39" s="18">
        <f t="shared" si="0"/>
        <v>65147</v>
      </c>
      <c r="G39" s="3"/>
      <c r="H39" s="3"/>
      <c r="I39" s="3"/>
      <c r="J39" s="3"/>
      <c r="K39" s="3"/>
      <c r="L39" s="3"/>
      <c r="M39" s="3"/>
    </row>
    <row r="40" spans="1:13" ht="12.75">
      <c r="A40" s="16" t="s">
        <v>33</v>
      </c>
      <c r="B40" s="17">
        <f t="shared" si="1"/>
        <v>123</v>
      </c>
      <c r="C40" s="18">
        <f>F88</f>
        <v>0</v>
      </c>
      <c r="D40" s="18">
        <f>E88</f>
        <v>0</v>
      </c>
      <c r="E40" s="19">
        <v>0</v>
      </c>
      <c r="F40" s="18">
        <f t="shared" si="0"/>
        <v>0</v>
      </c>
      <c r="G40" s="3"/>
      <c r="H40" s="3"/>
      <c r="I40" s="3"/>
      <c r="J40" s="3"/>
      <c r="K40" s="3"/>
      <c r="L40" s="3"/>
      <c r="M40" s="3"/>
    </row>
    <row r="41" spans="1:13" ht="12.75">
      <c r="A41" s="16" t="s">
        <v>34</v>
      </c>
      <c r="B41" s="17">
        <f t="shared" si="1"/>
        <v>123</v>
      </c>
      <c r="C41" s="18">
        <v>0</v>
      </c>
      <c r="D41" s="18">
        <v>0</v>
      </c>
      <c r="E41" s="19">
        <v>1</v>
      </c>
      <c r="F41" s="18">
        <f>D137</f>
        <v>883687</v>
      </c>
      <c r="G41" s="3"/>
      <c r="H41" s="3"/>
      <c r="I41" s="3"/>
      <c r="J41" s="3"/>
      <c r="K41" s="3"/>
      <c r="L41" s="3"/>
      <c r="M41" s="3"/>
    </row>
    <row r="42" spans="1:13" ht="12.75">
      <c r="A42" s="20" t="s">
        <v>35</v>
      </c>
      <c r="B42" s="21"/>
      <c r="C42" s="22">
        <f>D42/B40</f>
        <v>17379.146341463416</v>
      </c>
      <c r="D42" s="22">
        <f>SUM(D37:D40)</f>
        <v>2137635</v>
      </c>
      <c r="E42" s="23">
        <f>F42/D42</f>
        <v>1.1911397408818625</v>
      </c>
      <c r="F42" s="18">
        <f>F37+F38+F39+F40+F41</f>
        <v>2546222</v>
      </c>
      <c r="G42" s="24">
        <f>F42+E95</f>
        <v>3544579</v>
      </c>
      <c r="H42" s="3"/>
      <c r="I42" s="3"/>
      <c r="J42" s="3"/>
      <c r="K42" s="3"/>
      <c r="L42" s="3"/>
      <c r="M42" s="3"/>
    </row>
    <row r="43" spans="1:13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30.75" customHeight="1">
      <c r="A44" s="25" t="s">
        <v>245</v>
      </c>
      <c r="B44" s="25"/>
      <c r="C44" s="25"/>
      <c r="D44" s="25"/>
      <c r="E44" s="25"/>
      <c r="F44" s="25"/>
      <c r="G44" s="25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3" t="s">
        <v>37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63.75">
      <c r="A48" s="14" t="s">
        <v>38</v>
      </c>
      <c r="B48" s="14" t="s">
        <v>39</v>
      </c>
      <c r="C48" s="14" t="s">
        <v>40</v>
      </c>
      <c r="D48" s="14" t="s">
        <v>41</v>
      </c>
      <c r="E48" s="14" t="s">
        <v>42</v>
      </c>
      <c r="F48" s="14" t="s">
        <v>26</v>
      </c>
      <c r="G48" s="14" t="s">
        <v>28</v>
      </c>
      <c r="H48" s="3"/>
      <c r="I48" s="3"/>
      <c r="J48" s="3"/>
      <c r="K48" s="3"/>
      <c r="L48" s="3"/>
      <c r="M48" s="3"/>
    </row>
    <row r="49" spans="1:13" ht="25.5">
      <c r="A49" s="26" t="s">
        <v>43</v>
      </c>
      <c r="B49" s="27" t="s">
        <v>44</v>
      </c>
      <c r="C49" s="19">
        <v>0</v>
      </c>
      <c r="D49" s="19">
        <v>0</v>
      </c>
      <c r="E49" s="19">
        <v>0</v>
      </c>
      <c r="F49" s="19">
        <f aca="true" t="shared" si="2" ref="F49:F52">E49/$B$40</f>
        <v>0</v>
      </c>
      <c r="G49" s="19">
        <v>0</v>
      </c>
      <c r="H49" s="3"/>
      <c r="I49" s="3"/>
      <c r="J49" s="3"/>
      <c r="K49" s="3"/>
      <c r="L49" s="3"/>
      <c r="M49" s="3"/>
    </row>
    <row r="50" spans="1:13" ht="25.5">
      <c r="A50" s="26" t="s">
        <v>45</v>
      </c>
      <c r="B50" s="27" t="s">
        <v>46</v>
      </c>
      <c r="C50" s="19">
        <f>22379/2</f>
        <v>11189.5</v>
      </c>
      <c r="D50" s="19">
        <f aca="true" t="shared" si="3" ref="D50:D52">E50/C50</f>
        <v>10.957460118861432</v>
      </c>
      <c r="E50" s="19">
        <f>245217/2</f>
        <v>122608.5</v>
      </c>
      <c r="F50" s="19">
        <f t="shared" si="2"/>
        <v>996.8170731707318</v>
      </c>
      <c r="G50" s="19">
        <f>(245217/2/E50)</f>
        <v>1</v>
      </c>
      <c r="H50" s="3"/>
      <c r="I50" s="3"/>
      <c r="J50" s="3"/>
      <c r="K50" s="3"/>
      <c r="L50" s="3"/>
      <c r="M50" s="3"/>
    </row>
    <row r="51" spans="1:13" ht="25.5">
      <c r="A51" s="26" t="s">
        <v>47</v>
      </c>
      <c r="B51" s="27" t="s">
        <v>48</v>
      </c>
      <c r="C51" s="19">
        <f>19200*90%</f>
        <v>17280</v>
      </c>
      <c r="D51" s="19">
        <f t="shared" si="3"/>
        <v>23.665833333333335</v>
      </c>
      <c r="E51" s="19">
        <f>454384*90%</f>
        <v>408945.60000000003</v>
      </c>
      <c r="F51" s="19">
        <f t="shared" si="2"/>
        <v>3324.7609756097563</v>
      </c>
      <c r="G51" s="19">
        <f>(454384*90%/E51)</f>
        <v>1</v>
      </c>
      <c r="H51" s="3"/>
      <c r="I51" s="3"/>
      <c r="J51" s="3"/>
      <c r="K51" s="3"/>
      <c r="L51" s="3"/>
      <c r="M51" s="3"/>
    </row>
    <row r="52" spans="1:13" ht="25.5">
      <c r="A52" s="26" t="s">
        <v>49</v>
      </c>
      <c r="B52" s="27" t="s">
        <v>46</v>
      </c>
      <c r="C52" s="19">
        <v>2300</v>
      </c>
      <c r="D52" s="19">
        <f t="shared" si="3"/>
        <v>58.43478260869565</v>
      </c>
      <c r="E52" s="19">
        <v>134400</v>
      </c>
      <c r="F52" s="19">
        <f t="shared" si="2"/>
        <v>1092.6829268292684</v>
      </c>
      <c r="G52" s="19">
        <f>(33600/E52)</f>
        <v>0.25</v>
      </c>
      <c r="H52" s="3"/>
      <c r="I52" s="3"/>
      <c r="J52" s="3"/>
      <c r="K52" s="3"/>
      <c r="L52" s="3"/>
      <c r="M52" s="3"/>
    </row>
    <row r="53" spans="1:13" ht="20.25" customHeight="1">
      <c r="A53" s="28" t="s">
        <v>50</v>
      </c>
      <c r="B53" s="29"/>
      <c r="C53" s="23"/>
      <c r="D53" s="23"/>
      <c r="E53" s="23">
        <f>E49+E50+E51+E52</f>
        <v>665954.1000000001</v>
      </c>
      <c r="F53" s="23">
        <f>F49+F50+F51+F52</f>
        <v>5414.260975609756</v>
      </c>
      <c r="G53" s="23">
        <f>(245217/2+454384*90%+33600)/E53</f>
        <v>0.8486382169581957</v>
      </c>
      <c r="H53" s="3"/>
      <c r="I53" s="3"/>
      <c r="J53" s="3"/>
      <c r="K53" s="3"/>
      <c r="L53" s="3"/>
      <c r="M53" s="3"/>
    </row>
    <row r="54" spans="1:13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22.5" customHeight="1">
      <c r="A55" s="25" t="s">
        <v>246</v>
      </c>
      <c r="B55" s="25"/>
      <c r="C55" s="25"/>
      <c r="D55" s="25"/>
      <c r="E55" s="25"/>
      <c r="F55" s="25"/>
      <c r="G55" s="25"/>
      <c r="H55" s="3"/>
      <c r="I55" s="3"/>
      <c r="J55" s="3"/>
      <c r="K55" s="3"/>
      <c r="L55" s="3"/>
      <c r="M55" s="3"/>
    </row>
    <row r="56" spans="1:1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75">
      <c r="A57" s="3" t="s">
        <v>52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63.75">
      <c r="A59" s="14" t="s">
        <v>38</v>
      </c>
      <c r="B59" s="14" t="s">
        <v>39</v>
      </c>
      <c r="C59" s="14" t="s">
        <v>53</v>
      </c>
      <c r="D59" s="14" t="s">
        <v>54</v>
      </c>
      <c r="E59" s="14" t="s">
        <v>42</v>
      </c>
      <c r="F59" s="14" t="s">
        <v>26</v>
      </c>
      <c r="G59" s="14" t="s">
        <v>28</v>
      </c>
      <c r="H59" s="3"/>
      <c r="I59" s="3"/>
      <c r="J59" s="3"/>
      <c r="K59" s="3"/>
      <c r="L59" s="3"/>
      <c r="M59" s="3"/>
    </row>
    <row r="60" spans="1:13" ht="45.75" customHeight="1">
      <c r="A60" s="26" t="s">
        <v>55</v>
      </c>
      <c r="B60" s="30"/>
      <c r="C60" s="19"/>
      <c r="D60" s="19"/>
      <c r="E60" s="19">
        <v>63288</v>
      </c>
      <c r="F60" s="19">
        <f aca="true" t="shared" si="4" ref="F60:F68">E60/$B$40</f>
        <v>514.5365853658536</v>
      </c>
      <c r="G60" s="19">
        <f>(46471/E60)</f>
        <v>0.7342782201997219</v>
      </c>
      <c r="H60" s="3"/>
      <c r="I60" s="3"/>
      <c r="J60" s="3"/>
      <c r="K60" s="3"/>
      <c r="L60" s="3"/>
      <c r="M60" s="3"/>
    </row>
    <row r="61" spans="1:13" ht="25.5">
      <c r="A61" s="26" t="s">
        <v>56</v>
      </c>
      <c r="B61" s="30" t="s">
        <v>57</v>
      </c>
      <c r="C61" s="19">
        <v>0</v>
      </c>
      <c r="D61" s="19">
        <v>0</v>
      </c>
      <c r="E61" s="19">
        <v>0</v>
      </c>
      <c r="F61" s="19">
        <f t="shared" si="4"/>
        <v>0</v>
      </c>
      <c r="G61" s="19" t="e">
        <f aca="true" t="shared" si="5" ref="G61:G62">(0/E61)</f>
        <v>#DIV/0!</v>
      </c>
      <c r="H61" s="3"/>
      <c r="I61" s="3"/>
      <c r="J61" s="3"/>
      <c r="K61" s="3"/>
      <c r="L61" s="3"/>
      <c r="M61" s="3"/>
    </row>
    <row r="62" spans="1:13" ht="18" customHeight="1">
      <c r="A62" s="26" t="s">
        <v>58</v>
      </c>
      <c r="B62" s="30"/>
      <c r="C62" s="19"/>
      <c r="D62" s="19"/>
      <c r="E62" s="19">
        <v>0</v>
      </c>
      <c r="F62" s="19">
        <f t="shared" si="4"/>
        <v>0</v>
      </c>
      <c r="G62" s="19" t="e">
        <f t="shared" si="5"/>
        <v>#DIV/0!</v>
      </c>
      <c r="H62" s="3"/>
      <c r="I62" s="3"/>
      <c r="J62" s="3"/>
      <c r="K62" s="3"/>
      <c r="L62" s="3"/>
      <c r="M62" s="3"/>
    </row>
    <row r="63" spans="1:13" ht="18" customHeight="1">
      <c r="A63" s="26" t="s">
        <v>59</v>
      </c>
      <c r="B63" s="30"/>
      <c r="C63" s="19"/>
      <c r="D63" s="19"/>
      <c r="E63" s="19">
        <v>809640</v>
      </c>
      <c r="F63" s="19">
        <f t="shared" si="4"/>
        <v>6582.4390243902435</v>
      </c>
      <c r="G63" s="19">
        <f>(576292/E63)</f>
        <v>0.7117879551405563</v>
      </c>
      <c r="H63" s="3"/>
      <c r="I63" s="3"/>
      <c r="J63" s="3"/>
      <c r="K63" s="3"/>
      <c r="L63" s="3"/>
      <c r="M63" s="3"/>
    </row>
    <row r="64" spans="1:13" ht="25.5">
      <c r="A64" s="26" t="s">
        <v>43</v>
      </c>
      <c r="B64" s="27" t="s">
        <v>44</v>
      </c>
      <c r="C64" s="19">
        <v>0</v>
      </c>
      <c r="D64" s="19">
        <v>0</v>
      </c>
      <c r="E64" s="19">
        <v>0</v>
      </c>
      <c r="F64" s="19">
        <f t="shared" si="4"/>
        <v>0</v>
      </c>
      <c r="G64" s="19">
        <v>0</v>
      </c>
      <c r="H64" s="3"/>
      <c r="I64" s="3"/>
      <c r="J64" s="3"/>
      <c r="K64" s="3"/>
      <c r="L64" s="3"/>
      <c r="M64" s="3"/>
    </row>
    <row r="65" spans="1:13" ht="25.5">
      <c r="A65" s="26" t="s">
        <v>45</v>
      </c>
      <c r="B65" s="27" t="s">
        <v>46</v>
      </c>
      <c r="C65" s="19">
        <f>22379/2</f>
        <v>11189.5</v>
      </c>
      <c r="D65" s="19">
        <f aca="true" t="shared" si="6" ref="D65:D66">E65/C65</f>
        <v>10.957460118861432</v>
      </c>
      <c r="E65" s="19">
        <f>245217/2</f>
        <v>122608.5</v>
      </c>
      <c r="F65" s="19">
        <f t="shared" si="4"/>
        <v>996.8170731707318</v>
      </c>
      <c r="G65" s="19">
        <f>(245217/2/E65)</f>
        <v>1</v>
      </c>
      <c r="H65" s="3"/>
      <c r="I65" s="3"/>
      <c r="J65" s="3"/>
      <c r="K65" s="3"/>
      <c r="L65" s="3"/>
      <c r="M65" s="3"/>
    </row>
    <row r="66" spans="1:13" ht="25.5">
      <c r="A66" s="26" t="s">
        <v>47</v>
      </c>
      <c r="B66" s="27" t="s">
        <v>48</v>
      </c>
      <c r="C66" s="19">
        <f>19200*10%</f>
        <v>1920</v>
      </c>
      <c r="D66" s="19">
        <f t="shared" si="6"/>
        <v>23.665833333333335</v>
      </c>
      <c r="E66" s="19">
        <f>454384*10%</f>
        <v>45438.4</v>
      </c>
      <c r="F66" s="19">
        <f t="shared" si="4"/>
        <v>369.4178861788618</v>
      </c>
      <c r="G66" s="19">
        <f>(454384*10%/E66)</f>
        <v>1</v>
      </c>
      <c r="H66" s="3"/>
      <c r="I66" s="3"/>
      <c r="J66" s="3"/>
      <c r="K66" s="3"/>
      <c r="L66" s="3"/>
      <c r="M66" s="3"/>
    </row>
    <row r="67" spans="1:13" ht="25.5" customHeight="1">
      <c r="A67" s="26" t="s">
        <v>60</v>
      </c>
      <c r="B67" s="30"/>
      <c r="C67" s="19"/>
      <c r="D67" s="19"/>
      <c r="E67" s="19">
        <v>9704</v>
      </c>
      <c r="F67" s="19">
        <f t="shared" si="4"/>
        <v>78.89430894308943</v>
      </c>
      <c r="G67" s="19">
        <f>(6907/E67)</f>
        <v>0.7117683429513603</v>
      </c>
      <c r="H67" s="3"/>
      <c r="I67" s="3"/>
      <c r="J67" s="3"/>
      <c r="K67" s="3"/>
      <c r="L67" s="3"/>
      <c r="M67" s="3"/>
    </row>
    <row r="68" spans="1:13" ht="12.75">
      <c r="A68" s="26" t="s">
        <v>61</v>
      </c>
      <c r="B68" s="30"/>
      <c r="C68" s="19"/>
      <c r="D68" s="19"/>
      <c r="E68" s="19">
        <v>329476</v>
      </c>
      <c r="F68" s="19">
        <f t="shared" si="4"/>
        <v>2678.6666666666665</v>
      </c>
      <c r="G68" s="19">
        <f>(234517/E68)</f>
        <v>0.7117878085201957</v>
      </c>
      <c r="H68" s="3"/>
      <c r="I68" s="3"/>
      <c r="J68" s="3"/>
      <c r="K68" s="3"/>
      <c r="L68" s="3"/>
      <c r="M68" s="3"/>
    </row>
    <row r="69" spans="1:13" ht="24.75" customHeight="1">
      <c r="A69" s="28" t="s">
        <v>50</v>
      </c>
      <c r="B69" s="31"/>
      <c r="C69" s="23"/>
      <c r="D69" s="23"/>
      <c r="E69" s="23">
        <f>SUM(E60:E68)</f>
        <v>1380154.9</v>
      </c>
      <c r="F69" s="23">
        <f>SUM(F60:F68)</f>
        <v>11220.771544715446</v>
      </c>
      <c r="G69" s="23">
        <f>(46471+576292+245217/2+454384*10%+234517+6907)/E69</f>
        <v>0.7479116293395763</v>
      </c>
      <c r="H69" s="3"/>
      <c r="I69" s="3"/>
      <c r="J69" s="3"/>
      <c r="K69" s="3"/>
      <c r="L69" s="3"/>
      <c r="M69" s="3"/>
    </row>
    <row r="70" spans="1:13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37.5" customHeight="1">
      <c r="A71" s="25" t="s">
        <v>162</v>
      </c>
      <c r="B71" s="25"/>
      <c r="C71" s="25"/>
      <c r="D71" s="25"/>
      <c r="E71" s="25"/>
      <c r="F71" s="25"/>
      <c r="G71" s="25"/>
      <c r="H71" s="3"/>
      <c r="I71" s="3"/>
      <c r="J71" s="3"/>
      <c r="K71" s="3"/>
      <c r="L71" s="3"/>
      <c r="M71" s="3"/>
    </row>
    <row r="72" spans="1:13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>
      <c r="A73" s="3" t="s">
        <v>63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63.75">
      <c r="A75" s="14" t="s">
        <v>38</v>
      </c>
      <c r="B75" s="14" t="s">
        <v>42</v>
      </c>
      <c r="C75" s="14" t="s">
        <v>26</v>
      </c>
      <c r="D75" s="14" t="s">
        <v>28</v>
      </c>
      <c r="E75" s="32"/>
      <c r="F75" s="32"/>
      <c r="G75" s="32"/>
      <c r="H75" s="3"/>
      <c r="I75" s="3"/>
      <c r="J75" s="3"/>
      <c r="K75" s="3"/>
      <c r="L75" s="3"/>
      <c r="M75" s="3"/>
    </row>
    <row r="76" spans="1:13" ht="51">
      <c r="A76" s="26" t="s">
        <v>64</v>
      </c>
      <c r="B76" s="33">
        <v>581</v>
      </c>
      <c r="C76" s="19">
        <f aca="true" t="shared" si="7" ref="C76:C77">B76/$B$40</f>
        <v>4.723577235772358</v>
      </c>
      <c r="D76" s="19">
        <f>(414/B76)</f>
        <v>0.7125645438898451</v>
      </c>
      <c r="E76" s="34"/>
      <c r="F76" s="35"/>
      <c r="G76" s="35"/>
      <c r="H76" s="3"/>
      <c r="I76" s="3"/>
      <c r="J76" s="3"/>
      <c r="K76" s="3"/>
      <c r="L76" s="3"/>
      <c r="M76" s="3"/>
    </row>
    <row r="77" spans="1:13" ht="19.5" customHeight="1">
      <c r="A77" s="26" t="s">
        <v>65</v>
      </c>
      <c r="B77" s="33">
        <f>73490+17455</f>
        <v>90945</v>
      </c>
      <c r="C77" s="19">
        <f t="shared" si="7"/>
        <v>739.390243902439</v>
      </c>
      <c r="D77" s="19">
        <f>(52309+12424)/B77</f>
        <v>0.7117818461707626</v>
      </c>
      <c r="E77" s="34"/>
      <c r="F77" s="35"/>
      <c r="G77" s="35"/>
      <c r="H77" s="3"/>
      <c r="I77" s="3"/>
      <c r="J77" s="3"/>
      <c r="K77" s="3"/>
      <c r="L77" s="3"/>
      <c r="M77" s="3"/>
    </row>
    <row r="78" spans="1:13" ht="27" customHeight="1">
      <c r="A78" s="28" t="s">
        <v>50</v>
      </c>
      <c r="B78" s="36">
        <f>SUM(B76:B77)</f>
        <v>91526</v>
      </c>
      <c r="C78" s="36">
        <f>SUM(C76:C77)</f>
        <v>744.1138211382114</v>
      </c>
      <c r="D78" s="36">
        <f>(52309+12424+414)/B78</f>
        <v>0.7117868146756113</v>
      </c>
      <c r="E78" s="37"/>
      <c r="F78" s="37"/>
      <c r="G78" s="37"/>
      <c r="H78" s="3"/>
      <c r="I78" s="3"/>
      <c r="J78" s="3"/>
      <c r="K78" s="3"/>
      <c r="L78" s="3"/>
      <c r="M78" s="3"/>
    </row>
    <row r="79" spans="1:13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29.25" customHeight="1">
      <c r="A80" s="25" t="s">
        <v>163</v>
      </c>
      <c r="B80" s="25"/>
      <c r="C80" s="25"/>
      <c r="D80" s="25"/>
      <c r="E80" s="25"/>
      <c r="F80" s="25"/>
      <c r="G80" s="25"/>
      <c r="H80" s="3"/>
      <c r="I80" s="3"/>
      <c r="J80" s="3"/>
      <c r="K80" s="3"/>
      <c r="L80" s="3"/>
      <c r="M80" s="3"/>
    </row>
    <row r="81" spans="1:13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 hidden="1">
      <c r="A82" s="3" t="s">
        <v>67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63.75" hidden="1">
      <c r="A84" s="38" t="s">
        <v>68</v>
      </c>
      <c r="B84" s="10" t="s">
        <v>69</v>
      </c>
      <c r="C84" s="14" t="s">
        <v>54</v>
      </c>
      <c r="D84" s="10" t="s">
        <v>70</v>
      </c>
      <c r="E84" s="39" t="s">
        <v>71</v>
      </c>
      <c r="F84" s="14" t="s">
        <v>26</v>
      </c>
      <c r="G84" s="14" t="s">
        <v>28</v>
      </c>
      <c r="H84" s="3"/>
      <c r="I84" s="3"/>
      <c r="J84" s="3"/>
      <c r="K84" s="3"/>
      <c r="L84" s="3"/>
      <c r="M84" s="3"/>
    </row>
    <row r="85" spans="1:13" ht="12.75" hidden="1">
      <c r="A85" s="40" t="s">
        <v>72</v>
      </c>
      <c r="B85" s="41">
        <v>1</v>
      </c>
      <c r="C85" s="42">
        <f aca="true" t="shared" si="8" ref="C85:C86">E85/D85/B85</f>
        <v>0</v>
      </c>
      <c r="D85" s="43">
        <v>12</v>
      </c>
      <c r="E85" s="44">
        <v>0</v>
      </c>
      <c r="F85" s="19">
        <f aca="true" t="shared" si="9" ref="F85:F88">E85/$B$40</f>
        <v>0</v>
      </c>
      <c r="G85" s="72" t="e">
        <f aca="true" t="shared" si="10" ref="G85:G87">(0/E85)</f>
        <v>#DIV/0!</v>
      </c>
      <c r="H85" s="3"/>
      <c r="I85" s="3"/>
      <c r="J85" s="3"/>
      <c r="K85" s="3"/>
      <c r="L85" s="3"/>
      <c r="M85" s="3"/>
    </row>
    <row r="86" spans="1:13" ht="12.75" hidden="1">
      <c r="A86" s="40" t="s">
        <v>73</v>
      </c>
      <c r="B86" s="39">
        <v>1</v>
      </c>
      <c r="C86" s="42">
        <f t="shared" si="8"/>
        <v>0</v>
      </c>
      <c r="D86" s="43">
        <v>12</v>
      </c>
      <c r="E86" s="44">
        <v>0</v>
      </c>
      <c r="F86" s="19">
        <f t="shared" si="9"/>
        <v>0</v>
      </c>
      <c r="G86" s="72" t="e">
        <f t="shared" si="10"/>
        <v>#DIV/0!</v>
      </c>
      <c r="H86" s="3"/>
      <c r="I86" s="3"/>
      <c r="J86" s="3"/>
      <c r="K86" s="3"/>
      <c r="L86" s="3"/>
      <c r="M86" s="3"/>
    </row>
    <row r="87" spans="1:13" ht="12.75" hidden="1">
      <c r="A87" s="40" t="s">
        <v>74</v>
      </c>
      <c r="B87" s="41"/>
      <c r="C87" s="41"/>
      <c r="D87" s="43"/>
      <c r="E87" s="44">
        <v>0</v>
      </c>
      <c r="F87" s="19">
        <f t="shared" si="9"/>
        <v>0</v>
      </c>
      <c r="G87" s="72" t="e">
        <f t="shared" si="10"/>
        <v>#DIV/0!</v>
      </c>
      <c r="H87" s="3"/>
      <c r="I87" s="3"/>
      <c r="J87" s="3"/>
      <c r="K87" s="3"/>
      <c r="L87" s="3"/>
      <c r="M87" s="3"/>
    </row>
    <row r="88" spans="1:13" ht="12.75" hidden="1">
      <c r="A88" s="45" t="s">
        <v>75</v>
      </c>
      <c r="B88" s="46"/>
      <c r="C88" s="46"/>
      <c r="D88" s="46"/>
      <c r="E88" s="47">
        <f>E85+E86+E87</f>
        <v>0</v>
      </c>
      <c r="F88" s="23">
        <f t="shared" si="9"/>
        <v>0</v>
      </c>
      <c r="G88" s="73" t="e">
        <f>0/E88</f>
        <v>#DIV/0!</v>
      </c>
      <c r="H88" s="3"/>
      <c r="I88" s="3"/>
      <c r="J88" s="3"/>
      <c r="K88" s="3"/>
      <c r="L88" s="3"/>
      <c r="M88" s="3"/>
    </row>
    <row r="89" spans="1:13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24.75" customHeight="1" hidden="1">
      <c r="A90" s="25" t="s">
        <v>221</v>
      </c>
      <c r="B90" s="25"/>
      <c r="C90" s="25"/>
      <c r="D90" s="25"/>
      <c r="E90" s="25"/>
      <c r="F90" s="25"/>
      <c r="G90" s="25"/>
      <c r="H90" s="3"/>
      <c r="I90" s="3"/>
      <c r="J90" s="3"/>
      <c r="K90" s="3"/>
      <c r="L90" s="3"/>
      <c r="M90" s="3"/>
    </row>
    <row r="91" spans="1:1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45" customHeight="1">
      <c r="A92" s="12" t="s">
        <v>77</v>
      </c>
      <c r="B92" s="12"/>
      <c r="C92" s="12"/>
      <c r="D92" s="12"/>
      <c r="E92" s="12"/>
      <c r="F92" s="12"/>
      <c r="G92" s="12"/>
      <c r="H92" s="13"/>
      <c r="I92" s="13"/>
      <c r="J92" s="13"/>
      <c r="K92" s="3"/>
      <c r="L92" s="3"/>
      <c r="M92" s="3"/>
    </row>
    <row r="93" spans="1:1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63.75">
      <c r="A94" s="14" t="s">
        <v>38</v>
      </c>
      <c r="B94" s="39" t="s">
        <v>71</v>
      </c>
      <c r="C94" s="14" t="s">
        <v>26</v>
      </c>
      <c r="D94" s="14" t="s">
        <v>28</v>
      </c>
      <c r="E94" s="48" t="s">
        <v>78</v>
      </c>
      <c r="F94" s="16" t="s">
        <v>79</v>
      </c>
      <c r="G94" s="3"/>
      <c r="H94" s="3"/>
      <c r="I94" s="3"/>
      <c r="J94" s="3"/>
      <c r="K94" s="3"/>
      <c r="L94" s="3"/>
      <c r="M94" s="3"/>
    </row>
    <row r="95" spans="1:13" ht="12.75">
      <c r="A95" s="49" t="s">
        <v>80</v>
      </c>
      <c r="B95" s="36">
        <v>1402605</v>
      </c>
      <c r="C95" s="23">
        <f>B95/$B$40</f>
        <v>11403.292682926829</v>
      </c>
      <c r="D95" s="23">
        <f>998357/B95</f>
        <v>0.7117877092980561</v>
      </c>
      <c r="E95" s="18">
        <f>B95*D95</f>
        <v>998357</v>
      </c>
      <c r="F95" s="18">
        <f>E95-B95</f>
        <v>-404248</v>
      </c>
      <c r="G95" s="3"/>
      <c r="H95" s="3"/>
      <c r="I95" s="3"/>
      <c r="J95" s="3"/>
      <c r="K95" s="3"/>
      <c r="L95" s="3"/>
      <c r="M95" s="3"/>
    </row>
    <row r="96" spans="1:1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34.5" customHeight="1">
      <c r="A97" s="25" t="s">
        <v>81</v>
      </c>
      <c r="B97" s="25"/>
      <c r="C97" s="25"/>
      <c r="D97" s="25"/>
      <c r="E97" s="25"/>
      <c r="F97" s="25"/>
      <c r="G97" s="25"/>
      <c r="H97" s="3"/>
      <c r="I97" s="3"/>
      <c r="J97" s="3"/>
      <c r="K97" s="3"/>
      <c r="L97" s="3"/>
      <c r="M97" s="3"/>
    </row>
    <row r="98" spans="1:1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48.75" customHeight="1">
      <c r="A99" s="50" t="s">
        <v>247</v>
      </c>
      <c r="B99" s="50"/>
      <c r="C99" s="50"/>
      <c r="D99" s="50"/>
      <c r="E99" s="50"/>
      <c r="F99" s="50"/>
      <c r="G99" s="50"/>
      <c r="H99" s="3"/>
      <c r="I99" s="3"/>
      <c r="J99" s="3"/>
      <c r="K99" s="3"/>
      <c r="L99" s="3"/>
      <c r="M99" s="3"/>
    </row>
    <row r="100" spans="1:13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4.25">
      <c r="A101" s="3" t="s">
        <v>83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>
      <c r="A103" s="3" t="s">
        <v>84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>
      <c r="A105" s="3" t="s">
        <v>85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7.25" customHeight="1">
      <c r="A107" s="4" t="s">
        <v>86</v>
      </c>
      <c r="B107" s="4"/>
      <c r="C107" s="4"/>
      <c r="D107" s="4"/>
      <c r="E107" s="4"/>
      <c r="F107" s="4"/>
      <c r="G107" s="4"/>
      <c r="H107" s="3"/>
      <c r="I107" s="3"/>
      <c r="J107" s="3"/>
      <c r="K107" s="3"/>
      <c r="L107" s="3"/>
      <c r="M107" s="3"/>
    </row>
    <row r="108" spans="1:13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>
      <c r="A109" s="3" t="s">
        <v>87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3.5" customHeight="1">
      <c r="A111" s="4" t="s">
        <v>88</v>
      </c>
      <c r="B111" s="4"/>
      <c r="C111" s="4"/>
      <c r="D111" s="4"/>
      <c r="E111" s="4"/>
      <c r="F111" s="4"/>
      <c r="G111" s="4"/>
      <c r="H111" s="3"/>
      <c r="I111" s="3"/>
      <c r="J111" s="3"/>
      <c r="K111" s="3"/>
      <c r="L111" s="3"/>
      <c r="M111" s="3"/>
    </row>
    <row r="112" spans="1:1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>
      <c r="A113" s="3" t="s">
        <v>5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14.75">
      <c r="A115" s="14" t="s">
        <v>89</v>
      </c>
      <c r="B115" s="14" t="s">
        <v>90</v>
      </c>
      <c r="C115" s="39" t="s">
        <v>91</v>
      </c>
      <c r="D115" s="14" t="s">
        <v>92</v>
      </c>
      <c r="E115" s="14" t="s">
        <v>93</v>
      </c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36">
        <f>C42</f>
        <v>17379.146341463416</v>
      </c>
      <c r="B116" s="36">
        <f>E42</f>
        <v>1.1911397408818625</v>
      </c>
      <c r="C116" s="23">
        <f>C95</f>
        <v>11403.292682926829</v>
      </c>
      <c r="D116" s="23">
        <f>D95</f>
        <v>0.7117877092980561</v>
      </c>
      <c r="E116" s="36">
        <f>(A116*B116+C116*D116)*F18</f>
        <v>3544579.000000001</v>
      </c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11.75" customHeight="1">
      <c r="A118" s="12" t="s">
        <v>248</v>
      </c>
      <c r="B118" s="12"/>
      <c r="C118" s="12"/>
      <c r="D118" s="12"/>
      <c r="E118" s="12"/>
      <c r="F118" s="12"/>
      <c r="G118" s="12"/>
      <c r="H118" s="3"/>
      <c r="I118" s="3"/>
      <c r="J118" s="3"/>
      <c r="K118" s="3"/>
      <c r="L118" s="3"/>
      <c r="M118" s="3"/>
    </row>
    <row r="119" spans="1:13" ht="12.75">
      <c r="A119" s="3"/>
      <c r="B119" s="3"/>
      <c r="C119" s="3"/>
      <c r="D119" s="3" t="s">
        <v>95</v>
      </c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>
      <c r="A121" s="3" t="s">
        <v>96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>
      <c r="A123" s="3" t="s">
        <v>97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>
      <c r="A125" s="3" t="s">
        <v>98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>
      <c r="A127" s="3" t="s">
        <v>99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40.25">
      <c r="A129" s="74" t="s">
        <v>100</v>
      </c>
      <c r="B129" s="9" t="s">
        <v>101</v>
      </c>
      <c r="C129" s="74" t="s">
        <v>102</v>
      </c>
      <c r="D129" s="74" t="s">
        <v>103</v>
      </c>
      <c r="E129" s="53"/>
      <c r="F129" s="53"/>
      <c r="G129" s="53"/>
      <c r="H129" s="3"/>
      <c r="I129" s="3"/>
      <c r="J129" s="3"/>
      <c r="K129" s="3"/>
      <c r="L129" s="3"/>
      <c r="M129" s="3"/>
    </row>
    <row r="130" spans="1:13" ht="12.75">
      <c r="A130" s="54">
        <f>6497771+95762+89193+10000+26988+599</f>
        <v>6720313</v>
      </c>
      <c r="B130" s="54">
        <f>720000+217440</f>
        <v>937440</v>
      </c>
      <c r="C130" s="55">
        <f>468000+141336</f>
        <v>609336</v>
      </c>
      <c r="D130" s="56">
        <f>A130+B130+C130</f>
        <v>8267089</v>
      </c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>
      <c r="A133" s="68" t="s">
        <v>107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16" t="s">
        <v>108</v>
      </c>
      <c r="B135" s="16">
        <v>0</v>
      </c>
      <c r="C135" s="16"/>
      <c r="D135" s="18">
        <v>678715</v>
      </c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>
      <c r="A136" s="16" t="s">
        <v>109</v>
      </c>
      <c r="B136" s="16">
        <v>0</v>
      </c>
      <c r="C136" s="16"/>
      <c r="D136" s="18">
        <v>204972</v>
      </c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21" t="s">
        <v>50</v>
      </c>
      <c r="B137" s="21">
        <f>B135+B136</f>
        <v>0</v>
      </c>
      <c r="C137" s="21"/>
      <c r="D137" s="22">
        <f>D135+D136</f>
        <v>883687</v>
      </c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6:13" ht="12.75">
      <c r="F366" s="3"/>
      <c r="G366" s="3"/>
      <c r="H366" s="3"/>
      <c r="I366" s="3"/>
      <c r="J366" s="3"/>
      <c r="K366" s="3"/>
      <c r="L366" s="3"/>
      <c r="M366" s="3"/>
    </row>
  </sheetData>
  <sheetProtection selectLockedCells="1" selectUnlockedCells="1"/>
  <mergeCells count="19">
    <mergeCell ref="A2:G2"/>
    <mergeCell ref="A4:G4"/>
    <mergeCell ref="A5:A6"/>
    <mergeCell ref="B5:C5"/>
    <mergeCell ref="D5:D6"/>
    <mergeCell ref="B6:C6"/>
    <mergeCell ref="A11:G11"/>
    <mergeCell ref="A20:G20"/>
    <mergeCell ref="A44:G44"/>
    <mergeCell ref="A55:G55"/>
    <mergeCell ref="A71:G71"/>
    <mergeCell ref="A80:G80"/>
    <mergeCell ref="A90:G90"/>
    <mergeCell ref="A92:G92"/>
    <mergeCell ref="A97:G97"/>
    <mergeCell ref="A99:G99"/>
    <mergeCell ref="A107:G107"/>
    <mergeCell ref="A111:G111"/>
    <mergeCell ref="A118:G118"/>
  </mergeCells>
  <printOptions/>
  <pageMargins left="0.7083333333333334" right="0.7083333333333334" top="0.7479166666666667" bottom="0.7479166666666667" header="0.5118055555555555" footer="0.5118055555555555"/>
  <pageSetup fitToHeight="3" fitToWidth="1"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M366"/>
  <sheetViews>
    <sheetView workbookViewId="0" topLeftCell="A127">
      <selection activeCell="A130" sqref="A130"/>
    </sheetView>
  </sheetViews>
  <sheetFormatPr defaultColWidth="8.00390625" defaultRowHeight="12.75"/>
  <cols>
    <col min="1" max="1" width="18.00390625" style="0" customWidth="1"/>
    <col min="2" max="2" width="13.625" style="0" customWidth="1"/>
    <col min="3" max="3" width="13.00390625" style="0" customWidth="1"/>
    <col min="4" max="4" width="12.375" style="0" customWidth="1"/>
    <col min="5" max="5" width="15.625" style="0" customWidth="1"/>
    <col min="6" max="6" width="12.75390625" style="0" customWidth="1"/>
    <col min="7" max="7" width="13.625" style="0" customWidth="1"/>
    <col min="8" max="16384" width="9.00390625" style="0" customWidth="1"/>
  </cols>
  <sheetData>
    <row r="2" spans="1:13" ht="59.25" customHeight="1">
      <c r="A2" s="1" t="s">
        <v>249</v>
      </c>
      <c r="B2" s="1"/>
      <c r="C2" s="1"/>
      <c r="D2" s="1"/>
      <c r="E2" s="1"/>
      <c r="F2" s="1"/>
      <c r="G2" s="1"/>
      <c r="H2" s="2"/>
      <c r="I2" s="2"/>
      <c r="J2" s="2"/>
      <c r="K2" s="3"/>
      <c r="L2" s="3"/>
      <c r="M2" s="3"/>
    </row>
    <row r="3" spans="1:1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40.5" customHeight="1">
      <c r="A4" s="4" t="s">
        <v>1</v>
      </c>
      <c r="B4" s="4"/>
      <c r="C4" s="4"/>
      <c r="D4" s="4"/>
      <c r="E4" s="4"/>
      <c r="F4" s="4"/>
      <c r="G4" s="4"/>
      <c r="H4" s="3"/>
      <c r="I4" s="3"/>
      <c r="J4" s="3"/>
      <c r="K4" s="3"/>
      <c r="L4" s="3"/>
      <c r="M4" s="3"/>
    </row>
    <row r="5" spans="1:13" ht="12.75" customHeight="1">
      <c r="A5" s="5" t="s">
        <v>2</v>
      </c>
      <c r="B5" s="6" t="s">
        <v>3</v>
      </c>
      <c r="C5" s="6"/>
      <c r="D5" s="7" t="s">
        <v>4</v>
      </c>
      <c r="E5" s="3"/>
      <c r="F5" s="3"/>
      <c r="G5" s="3"/>
      <c r="H5" s="3"/>
      <c r="I5" s="3"/>
      <c r="J5" s="3"/>
      <c r="K5" s="3"/>
      <c r="L5" s="3"/>
      <c r="M5" s="3"/>
    </row>
    <row r="6" spans="1:13" ht="12.75" customHeight="1">
      <c r="A6" s="5"/>
      <c r="B6" s="8">
        <v>12</v>
      </c>
      <c r="C6" s="8"/>
      <c r="D6" s="7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 s="3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 s="3" t="s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42" customHeight="1">
      <c r="A11" s="4" t="s">
        <v>7</v>
      </c>
      <c r="B11" s="4"/>
      <c r="C11" s="4"/>
      <c r="D11" s="4"/>
      <c r="E11" s="4"/>
      <c r="F11" s="4"/>
      <c r="G11" s="4"/>
      <c r="H11" s="3"/>
      <c r="I11" s="3"/>
      <c r="J11" s="3"/>
      <c r="K11" s="3"/>
      <c r="L11" s="3"/>
      <c r="M11" s="3"/>
    </row>
    <row r="12" spans="1:1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 s="3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3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99" customHeight="1">
      <c r="A17" s="9" t="s">
        <v>10</v>
      </c>
      <c r="B17" s="9" t="s">
        <v>11</v>
      </c>
      <c r="C17" s="10" t="s">
        <v>12</v>
      </c>
      <c r="D17" s="9" t="s">
        <v>13</v>
      </c>
      <c r="E17" s="9" t="s">
        <v>205</v>
      </c>
      <c r="F17" s="9" t="s">
        <v>15</v>
      </c>
      <c r="G17" s="3"/>
      <c r="H17" s="3"/>
      <c r="I17" s="3"/>
      <c r="J17" s="3"/>
      <c r="K17" s="3"/>
      <c r="L17" s="3"/>
      <c r="M17" s="3"/>
    </row>
    <row r="18" spans="1:13" ht="29.25" customHeight="1">
      <c r="A18" s="9">
        <v>77</v>
      </c>
      <c r="B18" s="10">
        <v>0</v>
      </c>
      <c r="C18" s="9">
        <v>14</v>
      </c>
      <c r="D18" s="9">
        <v>3</v>
      </c>
      <c r="E18" s="11">
        <v>0</v>
      </c>
      <c r="F18" s="11">
        <v>69</v>
      </c>
      <c r="G18" s="3"/>
      <c r="H18" s="3"/>
      <c r="I18" s="3"/>
      <c r="J18" s="3"/>
      <c r="K18" s="3"/>
      <c r="L18" s="3"/>
      <c r="M18" s="3"/>
    </row>
    <row r="19" spans="1:1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27" customHeight="1">
      <c r="A20" s="12" t="s">
        <v>16</v>
      </c>
      <c r="B20" s="12"/>
      <c r="C20" s="12"/>
      <c r="D20" s="12"/>
      <c r="E20" s="12"/>
      <c r="F20" s="12"/>
      <c r="G20" s="12"/>
      <c r="H20" s="13"/>
      <c r="I20" s="13"/>
      <c r="J20" s="13"/>
      <c r="K20" s="3"/>
      <c r="L20" s="3"/>
      <c r="M20" s="3"/>
    </row>
    <row r="21" spans="1:13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 s="3" t="s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3" t="s">
        <v>18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3" t="s">
        <v>19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 s="3" t="s">
        <v>20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 t="s">
        <v>21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 s="3" t="s">
        <v>22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s="3" t="s">
        <v>23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63.75" customHeight="1">
      <c r="A36" s="14" t="s">
        <v>24</v>
      </c>
      <c r="B36" s="15" t="s">
        <v>25</v>
      </c>
      <c r="C36" s="14" t="s">
        <v>26</v>
      </c>
      <c r="D36" s="14" t="s">
        <v>27</v>
      </c>
      <c r="E36" s="14" t="s">
        <v>28</v>
      </c>
      <c r="F36" s="14" t="s">
        <v>29</v>
      </c>
      <c r="G36" s="3"/>
      <c r="H36" s="3"/>
      <c r="I36" s="3"/>
      <c r="J36" s="3"/>
      <c r="K36" s="3"/>
      <c r="L36" s="3"/>
      <c r="M36" s="3"/>
    </row>
    <row r="37" spans="1:13" ht="12.75">
      <c r="A37" s="16" t="s">
        <v>30</v>
      </c>
      <c r="B37" s="17">
        <f>F18</f>
        <v>69</v>
      </c>
      <c r="C37" s="18">
        <f>F53</f>
        <v>4296.507246376812</v>
      </c>
      <c r="D37" s="18">
        <f>E53</f>
        <v>296459</v>
      </c>
      <c r="E37" s="19">
        <f>G53</f>
        <v>0.8580444513406575</v>
      </c>
      <c r="F37" s="18">
        <f aca="true" t="shared" si="0" ref="F37:F40">D37*E37</f>
        <v>254375</v>
      </c>
      <c r="G37" s="3"/>
      <c r="H37" s="3"/>
      <c r="I37" s="3"/>
      <c r="J37" s="3"/>
      <c r="K37" s="3"/>
      <c r="L37" s="3"/>
      <c r="M37" s="3"/>
    </row>
    <row r="38" spans="1:13" ht="12.75">
      <c r="A38" s="16" t="s">
        <v>31</v>
      </c>
      <c r="B38" s="17">
        <f aca="true" t="shared" si="1" ref="B38:B41">B37</f>
        <v>69</v>
      </c>
      <c r="C38" s="18">
        <f>F69</f>
        <v>14841.782608695652</v>
      </c>
      <c r="D38" s="18">
        <f>E69</f>
        <v>1024083</v>
      </c>
      <c r="E38" s="19">
        <f>G69</f>
        <v>0.746144599607649</v>
      </c>
      <c r="F38" s="18">
        <f t="shared" si="0"/>
        <v>764114</v>
      </c>
      <c r="G38" s="3"/>
      <c r="H38" s="3"/>
      <c r="I38" s="3"/>
      <c r="J38" s="3"/>
      <c r="K38" s="3"/>
      <c r="L38" s="3"/>
      <c r="M38" s="3"/>
    </row>
    <row r="39" spans="1:13" ht="12.75">
      <c r="A39" s="16" t="s">
        <v>32</v>
      </c>
      <c r="B39" s="17">
        <f t="shared" si="1"/>
        <v>69</v>
      </c>
      <c r="C39" s="18">
        <f>C78</f>
        <v>1101.4202898550725</v>
      </c>
      <c r="D39" s="18">
        <f>B78</f>
        <v>75998</v>
      </c>
      <c r="E39" s="19">
        <f>D78</f>
        <v>0.7117818889970788</v>
      </c>
      <c r="F39" s="18">
        <f t="shared" si="0"/>
        <v>54094</v>
      </c>
      <c r="G39" s="3"/>
      <c r="H39" s="3"/>
      <c r="I39" s="3"/>
      <c r="J39" s="3"/>
      <c r="K39" s="3"/>
      <c r="L39" s="3"/>
      <c r="M39" s="3"/>
    </row>
    <row r="40" spans="1:13" ht="12.75">
      <c r="A40" s="16" t="s">
        <v>33</v>
      </c>
      <c r="B40" s="17">
        <f t="shared" si="1"/>
        <v>69</v>
      </c>
      <c r="C40" s="18">
        <f>F88</f>
        <v>0</v>
      </c>
      <c r="D40" s="18">
        <f>E88</f>
        <v>0</v>
      </c>
      <c r="E40" s="19">
        <v>0</v>
      </c>
      <c r="F40" s="18">
        <f t="shared" si="0"/>
        <v>0</v>
      </c>
      <c r="G40" s="3"/>
      <c r="H40" s="3"/>
      <c r="I40" s="3"/>
      <c r="J40" s="3"/>
      <c r="K40" s="3"/>
      <c r="L40" s="3"/>
      <c r="M40" s="3"/>
    </row>
    <row r="41" spans="1:13" ht="12.75">
      <c r="A41" s="16" t="s">
        <v>34</v>
      </c>
      <c r="B41" s="17">
        <f t="shared" si="1"/>
        <v>69</v>
      </c>
      <c r="C41" s="18">
        <v>0</v>
      </c>
      <c r="D41" s="18">
        <v>0</v>
      </c>
      <c r="E41" s="19">
        <v>1</v>
      </c>
      <c r="F41" s="18">
        <f>D137</f>
        <v>484002</v>
      </c>
      <c r="G41" s="3"/>
      <c r="H41" s="3"/>
      <c r="I41" s="3"/>
      <c r="J41" s="3"/>
      <c r="K41" s="3"/>
      <c r="L41" s="3"/>
      <c r="M41" s="3"/>
    </row>
    <row r="42" spans="1:13" ht="12.75">
      <c r="A42" s="20" t="s">
        <v>35</v>
      </c>
      <c r="B42" s="21"/>
      <c r="C42" s="22">
        <f>D42/B40</f>
        <v>20239.710144927536</v>
      </c>
      <c r="D42" s="22">
        <f>SUM(D37:D40)</f>
        <v>1396540</v>
      </c>
      <c r="E42" s="23">
        <f>F42/D42</f>
        <v>1.1146010855399773</v>
      </c>
      <c r="F42" s="18">
        <f>F37+F38+F39+F40+F41</f>
        <v>1556585</v>
      </c>
      <c r="G42" s="24">
        <f>F42+E95</f>
        <v>2115750</v>
      </c>
      <c r="H42" s="3"/>
      <c r="I42" s="3"/>
      <c r="J42" s="3"/>
      <c r="K42" s="3"/>
      <c r="L42" s="3"/>
      <c r="M42" s="3"/>
    </row>
    <row r="43" spans="1:13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30.75" customHeight="1">
      <c r="A44" s="25" t="s">
        <v>250</v>
      </c>
      <c r="B44" s="25"/>
      <c r="C44" s="25"/>
      <c r="D44" s="25"/>
      <c r="E44" s="25"/>
      <c r="F44" s="25"/>
      <c r="G44" s="25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3" t="s">
        <v>37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63.75">
      <c r="A48" s="14" t="s">
        <v>38</v>
      </c>
      <c r="B48" s="14" t="s">
        <v>39</v>
      </c>
      <c r="C48" s="14" t="s">
        <v>40</v>
      </c>
      <c r="D48" s="14" t="s">
        <v>41</v>
      </c>
      <c r="E48" s="14" t="s">
        <v>42</v>
      </c>
      <c r="F48" s="14" t="s">
        <v>26</v>
      </c>
      <c r="G48" s="14" t="s">
        <v>28</v>
      </c>
      <c r="H48" s="3"/>
      <c r="I48" s="3"/>
      <c r="J48" s="3"/>
      <c r="K48" s="3"/>
      <c r="L48" s="3"/>
      <c r="M48" s="3"/>
    </row>
    <row r="49" spans="1:13" ht="25.5">
      <c r="A49" s="26" t="s">
        <v>43</v>
      </c>
      <c r="B49" s="27" t="s">
        <v>44</v>
      </c>
      <c r="C49" s="19">
        <v>0</v>
      </c>
      <c r="D49" s="19">
        <v>0</v>
      </c>
      <c r="E49" s="19">
        <v>0</v>
      </c>
      <c r="F49" s="19">
        <f aca="true" t="shared" si="2" ref="F49:F52">E49/$B$40</f>
        <v>0</v>
      </c>
      <c r="G49" s="19">
        <v>0</v>
      </c>
      <c r="H49" s="3"/>
      <c r="I49" s="3"/>
      <c r="J49" s="3"/>
      <c r="K49" s="3"/>
      <c r="L49" s="3"/>
      <c r="M49" s="3"/>
    </row>
    <row r="50" spans="1:13" ht="25.5">
      <c r="A50" s="26" t="s">
        <v>45</v>
      </c>
      <c r="B50" s="27" t="s">
        <v>46</v>
      </c>
      <c r="C50" s="19">
        <f>32936/2</f>
        <v>16468</v>
      </c>
      <c r="D50" s="19">
        <f aca="true" t="shared" si="3" ref="D50:D52">E50/C50</f>
        <v>6.515120233179499</v>
      </c>
      <c r="E50" s="19">
        <f>214582/2</f>
        <v>107291</v>
      </c>
      <c r="F50" s="19">
        <f t="shared" si="2"/>
        <v>1554.9420289855072</v>
      </c>
      <c r="G50" s="19">
        <f>(214582/2/E50)</f>
        <v>1</v>
      </c>
      <c r="H50" s="3"/>
      <c r="I50" s="3"/>
      <c r="J50" s="3"/>
      <c r="K50" s="3"/>
      <c r="L50" s="3"/>
      <c r="M50" s="3"/>
    </row>
    <row r="51" spans="1:13" ht="25.5">
      <c r="A51" s="26" t="s">
        <v>47</v>
      </c>
      <c r="B51" s="27" t="s">
        <v>48</v>
      </c>
      <c r="C51" s="19">
        <f>8000*90%</f>
        <v>7200</v>
      </c>
      <c r="D51" s="19">
        <f t="shared" si="3"/>
        <v>18.48</v>
      </c>
      <c r="E51" s="19">
        <f>147840*90%</f>
        <v>133056</v>
      </c>
      <c r="F51" s="19">
        <f t="shared" si="2"/>
        <v>1928.3478260869565</v>
      </c>
      <c r="G51" s="19">
        <f>(147840*90%/E51)</f>
        <v>1</v>
      </c>
      <c r="H51" s="3"/>
      <c r="I51" s="3"/>
      <c r="J51" s="3"/>
      <c r="K51" s="3"/>
      <c r="L51" s="3"/>
      <c r="M51" s="3"/>
    </row>
    <row r="52" spans="1:13" ht="25.5">
      <c r="A52" s="26" t="s">
        <v>49</v>
      </c>
      <c r="B52" s="27" t="s">
        <v>46</v>
      </c>
      <c r="C52" s="19">
        <v>945</v>
      </c>
      <c r="D52" s="19">
        <f t="shared" si="3"/>
        <v>59.37777777777778</v>
      </c>
      <c r="E52" s="19">
        <v>56112</v>
      </c>
      <c r="F52" s="19">
        <f t="shared" si="2"/>
        <v>813.2173913043479</v>
      </c>
      <c r="G52" s="19">
        <f>(14028/E52)</f>
        <v>0.25</v>
      </c>
      <c r="H52" s="3"/>
      <c r="I52" s="3"/>
      <c r="J52" s="3"/>
      <c r="K52" s="3"/>
      <c r="L52" s="3"/>
      <c r="M52" s="3"/>
    </row>
    <row r="53" spans="1:13" ht="20.25" customHeight="1">
      <c r="A53" s="28" t="s">
        <v>50</v>
      </c>
      <c r="B53" s="29"/>
      <c r="C53" s="23"/>
      <c r="D53" s="23"/>
      <c r="E53" s="23">
        <f>E49+E50+E51+E52</f>
        <v>296459</v>
      </c>
      <c r="F53" s="23">
        <f>F49+F50+F51+F52</f>
        <v>4296.507246376812</v>
      </c>
      <c r="G53" s="23">
        <f>(214582/2+147840*90%+14028)/E53</f>
        <v>0.8580444513406575</v>
      </c>
      <c r="H53" s="3"/>
      <c r="I53" s="3"/>
      <c r="J53" s="3"/>
      <c r="K53" s="3"/>
      <c r="L53" s="3"/>
      <c r="M53" s="3"/>
    </row>
    <row r="54" spans="1:13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23.25" customHeight="1">
      <c r="A55" s="25" t="s">
        <v>251</v>
      </c>
      <c r="B55" s="25"/>
      <c r="C55" s="25"/>
      <c r="D55" s="25"/>
      <c r="E55" s="25"/>
      <c r="F55" s="25"/>
      <c r="G55" s="25"/>
      <c r="H55" s="3"/>
      <c r="I55" s="3"/>
      <c r="J55" s="3"/>
      <c r="K55" s="3"/>
      <c r="L55" s="3"/>
      <c r="M55" s="3"/>
    </row>
    <row r="56" spans="1:1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75">
      <c r="A57" s="3" t="s">
        <v>52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63.75">
      <c r="A59" s="14" t="s">
        <v>38</v>
      </c>
      <c r="B59" s="14" t="s">
        <v>39</v>
      </c>
      <c r="C59" s="14" t="s">
        <v>53</v>
      </c>
      <c r="D59" s="14" t="s">
        <v>54</v>
      </c>
      <c r="E59" s="14" t="s">
        <v>42</v>
      </c>
      <c r="F59" s="14" t="s">
        <v>26</v>
      </c>
      <c r="G59" s="14" t="s">
        <v>28</v>
      </c>
      <c r="H59" s="3"/>
      <c r="I59" s="3"/>
      <c r="J59" s="3"/>
      <c r="K59" s="3"/>
      <c r="L59" s="3"/>
      <c r="M59" s="3"/>
    </row>
    <row r="60" spans="1:13" ht="45.75" customHeight="1">
      <c r="A60" s="26" t="s">
        <v>55</v>
      </c>
      <c r="B60" s="30"/>
      <c r="C60" s="19"/>
      <c r="D60" s="19"/>
      <c r="E60" s="19">
        <v>81420</v>
      </c>
      <c r="F60" s="19">
        <f aca="true" t="shared" si="4" ref="F60:F68">E60/$B$40</f>
        <v>1180</v>
      </c>
      <c r="G60" s="19">
        <f>(57954/E60)</f>
        <v>0.7117907148120854</v>
      </c>
      <c r="H60" s="3"/>
      <c r="I60" s="3"/>
      <c r="J60" s="3"/>
      <c r="K60" s="3"/>
      <c r="L60" s="3"/>
      <c r="M60" s="3"/>
    </row>
    <row r="61" spans="1:13" ht="25.5">
      <c r="A61" s="26" t="s">
        <v>56</v>
      </c>
      <c r="B61" s="30" t="s">
        <v>57</v>
      </c>
      <c r="C61" s="19">
        <v>0</v>
      </c>
      <c r="D61" s="19">
        <v>0</v>
      </c>
      <c r="E61" s="19">
        <v>0</v>
      </c>
      <c r="F61" s="19">
        <f t="shared" si="4"/>
        <v>0</v>
      </c>
      <c r="G61" s="19" t="e">
        <f aca="true" t="shared" si="5" ref="G61:G62">(0/E61)</f>
        <v>#DIV/0!</v>
      </c>
      <c r="H61" s="3"/>
      <c r="I61" s="3"/>
      <c r="J61" s="3"/>
      <c r="K61" s="3"/>
      <c r="L61" s="3"/>
      <c r="M61" s="3"/>
    </row>
    <row r="62" spans="1:13" ht="18" customHeight="1">
      <c r="A62" s="26" t="s">
        <v>58</v>
      </c>
      <c r="B62" s="30"/>
      <c r="C62" s="19"/>
      <c r="D62" s="19"/>
      <c r="E62" s="19">
        <v>0</v>
      </c>
      <c r="F62" s="19">
        <f t="shared" si="4"/>
        <v>0</v>
      </c>
      <c r="G62" s="19" t="e">
        <f t="shared" si="5"/>
        <v>#DIV/0!</v>
      </c>
      <c r="H62" s="3"/>
      <c r="I62" s="3"/>
      <c r="J62" s="3"/>
      <c r="K62" s="3"/>
      <c r="L62" s="3"/>
      <c r="M62" s="3"/>
    </row>
    <row r="63" spans="1:13" ht="18" customHeight="1">
      <c r="A63" s="26" t="s">
        <v>59</v>
      </c>
      <c r="B63" s="30"/>
      <c r="C63" s="19"/>
      <c r="D63" s="19"/>
      <c r="E63" s="19">
        <v>809640</v>
      </c>
      <c r="F63" s="19">
        <f t="shared" si="4"/>
        <v>11733.91304347826</v>
      </c>
      <c r="G63" s="19">
        <f>(576292/E63)</f>
        <v>0.7117879551405563</v>
      </c>
      <c r="H63" s="3"/>
      <c r="I63" s="3"/>
      <c r="J63" s="3"/>
      <c r="K63" s="3"/>
      <c r="L63" s="3"/>
      <c r="M63" s="3"/>
    </row>
    <row r="64" spans="1:13" ht="25.5">
      <c r="A64" s="26" t="s">
        <v>43</v>
      </c>
      <c r="B64" s="27" t="s">
        <v>44</v>
      </c>
      <c r="C64" s="19">
        <v>0</v>
      </c>
      <c r="D64" s="19">
        <v>0</v>
      </c>
      <c r="E64" s="19">
        <v>0</v>
      </c>
      <c r="F64" s="19">
        <f t="shared" si="4"/>
        <v>0</v>
      </c>
      <c r="G64" s="19">
        <v>0</v>
      </c>
      <c r="H64" s="3"/>
      <c r="I64" s="3"/>
      <c r="J64" s="3"/>
      <c r="K64" s="3"/>
      <c r="L64" s="3"/>
      <c r="M64" s="3"/>
    </row>
    <row r="65" spans="1:13" ht="25.5">
      <c r="A65" s="26" t="s">
        <v>45</v>
      </c>
      <c r="B65" s="27" t="s">
        <v>46</v>
      </c>
      <c r="C65" s="19">
        <f>32936/2</f>
        <v>16468</v>
      </c>
      <c r="D65" s="19">
        <f aca="true" t="shared" si="6" ref="D65:D66">E65/C65</f>
        <v>6.515120233179499</v>
      </c>
      <c r="E65" s="19">
        <f>214582/2</f>
        <v>107291</v>
      </c>
      <c r="F65" s="19">
        <f t="shared" si="4"/>
        <v>1554.9420289855072</v>
      </c>
      <c r="G65" s="19">
        <f>(214582/2/E65)</f>
        <v>1</v>
      </c>
      <c r="H65" s="3"/>
      <c r="I65" s="3"/>
      <c r="J65" s="3"/>
      <c r="K65" s="3"/>
      <c r="L65" s="3"/>
      <c r="M65" s="3"/>
    </row>
    <row r="66" spans="1:13" ht="25.5">
      <c r="A66" s="26" t="s">
        <v>47</v>
      </c>
      <c r="B66" s="27" t="s">
        <v>48</v>
      </c>
      <c r="C66" s="19">
        <f>8000*10%</f>
        <v>800</v>
      </c>
      <c r="D66" s="19">
        <f t="shared" si="6"/>
        <v>18.48</v>
      </c>
      <c r="E66" s="19">
        <f>147840*10%</f>
        <v>14784</v>
      </c>
      <c r="F66" s="19">
        <f t="shared" si="4"/>
        <v>214.2608695652174</v>
      </c>
      <c r="G66" s="19">
        <f>(147840*10%/E66)</f>
        <v>1</v>
      </c>
      <c r="H66" s="3"/>
      <c r="I66" s="3"/>
      <c r="J66" s="3"/>
      <c r="K66" s="3"/>
      <c r="L66" s="3"/>
      <c r="M66" s="3"/>
    </row>
    <row r="67" spans="1:13" ht="25.5" customHeight="1">
      <c r="A67" s="26" t="s">
        <v>60</v>
      </c>
      <c r="B67" s="30"/>
      <c r="C67" s="19"/>
      <c r="D67" s="19"/>
      <c r="E67" s="19">
        <v>10948</v>
      </c>
      <c r="F67" s="19">
        <f t="shared" si="4"/>
        <v>158.66666666666666</v>
      </c>
      <c r="G67" s="19">
        <f>(7793/E67)</f>
        <v>0.7118195104128608</v>
      </c>
      <c r="H67" s="3"/>
      <c r="I67" s="3"/>
      <c r="J67" s="3"/>
      <c r="K67" s="3"/>
      <c r="L67" s="3"/>
      <c r="M67" s="3"/>
    </row>
    <row r="68" spans="1:13" ht="12.75">
      <c r="A68" s="26" t="s">
        <v>61</v>
      </c>
      <c r="B68" s="30"/>
      <c r="C68" s="19"/>
      <c r="D68" s="19"/>
      <c r="E68" s="19">
        <v>0</v>
      </c>
      <c r="F68" s="19">
        <f t="shared" si="4"/>
        <v>0</v>
      </c>
      <c r="G68" s="19" t="e">
        <f>(0/E68)</f>
        <v>#DIV/0!</v>
      </c>
      <c r="H68" s="3"/>
      <c r="I68" s="3"/>
      <c r="J68" s="3"/>
      <c r="K68" s="3"/>
      <c r="L68" s="3"/>
      <c r="M68" s="3"/>
    </row>
    <row r="69" spans="1:13" ht="24.75" customHeight="1">
      <c r="A69" s="28" t="s">
        <v>50</v>
      </c>
      <c r="B69" s="31"/>
      <c r="C69" s="23"/>
      <c r="D69" s="23"/>
      <c r="E69" s="23">
        <f>SUM(E60:E68)</f>
        <v>1024083</v>
      </c>
      <c r="F69" s="23">
        <f>SUM(F60:F68)</f>
        <v>14841.782608695652</v>
      </c>
      <c r="G69" s="23">
        <f>(57954+576292+214582/2+147840*10%+7793)/E69</f>
        <v>0.746144599607649</v>
      </c>
      <c r="H69" s="3"/>
      <c r="I69" s="3"/>
      <c r="J69" s="3"/>
      <c r="K69" s="3"/>
      <c r="L69" s="3"/>
      <c r="M69" s="3"/>
    </row>
    <row r="70" spans="1:13" ht="12.75">
      <c r="A70" s="3"/>
      <c r="B70" s="3"/>
      <c r="C70" s="3"/>
      <c r="D70" s="3"/>
      <c r="E70" s="3"/>
      <c r="F70" s="3"/>
      <c r="G70" s="3" t="s">
        <v>252</v>
      </c>
      <c r="H70" s="3"/>
      <c r="I70" s="3"/>
      <c r="J70" s="3"/>
      <c r="K70" s="3"/>
      <c r="L70" s="3"/>
      <c r="M70" s="3"/>
    </row>
    <row r="71" spans="1:13" ht="30" customHeight="1">
      <c r="A71" s="25" t="s">
        <v>162</v>
      </c>
      <c r="B71" s="25"/>
      <c r="C71" s="25"/>
      <c r="D71" s="25"/>
      <c r="E71" s="25"/>
      <c r="F71" s="25"/>
      <c r="G71" s="25"/>
      <c r="H71" s="3"/>
      <c r="I71" s="3"/>
      <c r="J71" s="3"/>
      <c r="K71" s="3"/>
      <c r="L71" s="3"/>
      <c r="M71" s="3"/>
    </row>
    <row r="72" spans="1:13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>
      <c r="A73" s="3" t="s">
        <v>63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63.75">
      <c r="A75" s="14" t="s">
        <v>38</v>
      </c>
      <c r="B75" s="14" t="s">
        <v>42</v>
      </c>
      <c r="C75" s="14" t="s">
        <v>26</v>
      </c>
      <c r="D75" s="14" t="s">
        <v>28</v>
      </c>
      <c r="E75" s="32"/>
      <c r="F75" s="32"/>
      <c r="G75" s="32"/>
      <c r="H75" s="3"/>
      <c r="I75" s="3"/>
      <c r="J75" s="3"/>
      <c r="K75" s="3"/>
      <c r="L75" s="3"/>
      <c r="M75" s="3"/>
    </row>
    <row r="76" spans="1:13" ht="51">
      <c r="A76" s="26" t="s">
        <v>64</v>
      </c>
      <c r="B76" s="33">
        <v>0</v>
      </c>
      <c r="C76" s="19">
        <f aca="true" t="shared" si="7" ref="C76:C77">B76/$B$40</f>
        <v>0</v>
      </c>
      <c r="D76" s="19" t="e">
        <f>(0/B76)</f>
        <v>#DIV/0!</v>
      </c>
      <c r="E76" s="34"/>
      <c r="F76" s="35"/>
      <c r="G76" s="35"/>
      <c r="H76" s="3"/>
      <c r="I76" s="3"/>
      <c r="J76" s="3"/>
      <c r="K76" s="3"/>
      <c r="L76" s="3"/>
      <c r="M76" s="3"/>
    </row>
    <row r="77" spans="1:13" ht="19.5" customHeight="1">
      <c r="A77" s="26" t="s">
        <v>65</v>
      </c>
      <c r="B77" s="33">
        <f>58543+17455</f>
        <v>75998</v>
      </c>
      <c r="C77" s="19">
        <f t="shared" si="7"/>
        <v>1101.4202898550725</v>
      </c>
      <c r="D77" s="19">
        <f>(41670+12424)/B77</f>
        <v>0.7117818889970788</v>
      </c>
      <c r="E77" s="34"/>
      <c r="F77" s="35"/>
      <c r="G77" s="35"/>
      <c r="H77" s="3"/>
      <c r="I77" s="3"/>
      <c r="J77" s="3"/>
      <c r="K77" s="3"/>
      <c r="L77" s="3"/>
      <c r="M77" s="3"/>
    </row>
    <row r="78" spans="1:13" ht="27" customHeight="1">
      <c r="A78" s="28" t="s">
        <v>50</v>
      </c>
      <c r="B78" s="36">
        <f>SUM(B76:B77)</f>
        <v>75998</v>
      </c>
      <c r="C78" s="36">
        <f>SUM(C76:C77)</f>
        <v>1101.4202898550725</v>
      </c>
      <c r="D78" s="36">
        <f>(12424+41670)/B78</f>
        <v>0.7117818889970788</v>
      </c>
      <c r="E78" s="37"/>
      <c r="F78" s="37"/>
      <c r="G78" s="37"/>
      <c r="H78" s="3"/>
      <c r="I78" s="3"/>
      <c r="J78" s="3"/>
      <c r="K78" s="3"/>
      <c r="L78" s="3"/>
      <c r="M78" s="3"/>
    </row>
    <row r="79" spans="1:13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29.25" customHeight="1">
      <c r="A80" s="25" t="s">
        <v>66</v>
      </c>
      <c r="B80" s="25"/>
      <c r="C80" s="25"/>
      <c r="D80" s="25"/>
      <c r="E80" s="25"/>
      <c r="F80" s="25"/>
      <c r="G80" s="25"/>
      <c r="H80" s="3"/>
      <c r="I80" s="3"/>
      <c r="J80" s="3"/>
      <c r="K80" s="3"/>
      <c r="L80" s="3"/>
      <c r="M80" s="3"/>
    </row>
    <row r="81" spans="1:13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 hidden="1">
      <c r="A82" s="3" t="s">
        <v>67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63.75" hidden="1">
      <c r="A84" s="38" t="s">
        <v>68</v>
      </c>
      <c r="B84" s="10" t="s">
        <v>69</v>
      </c>
      <c r="C84" s="14" t="s">
        <v>54</v>
      </c>
      <c r="D84" s="10" t="s">
        <v>70</v>
      </c>
      <c r="E84" s="39" t="s">
        <v>71</v>
      </c>
      <c r="F84" s="14" t="s">
        <v>26</v>
      </c>
      <c r="G84" s="14" t="s">
        <v>28</v>
      </c>
      <c r="H84" s="3"/>
      <c r="I84" s="3"/>
      <c r="J84" s="3"/>
      <c r="K84" s="3"/>
      <c r="L84" s="3"/>
      <c r="M84" s="3"/>
    </row>
    <row r="85" spans="1:13" ht="12.75" hidden="1">
      <c r="A85" s="40" t="s">
        <v>72</v>
      </c>
      <c r="B85" s="41">
        <v>1</v>
      </c>
      <c r="C85" s="42">
        <f aca="true" t="shared" si="8" ref="C85:C86">E85/D85/B85</f>
        <v>0</v>
      </c>
      <c r="D85" s="43">
        <v>12</v>
      </c>
      <c r="E85" s="44">
        <v>0</v>
      </c>
      <c r="F85" s="19">
        <f aca="true" t="shared" si="9" ref="F85:F88">E85/$B$40</f>
        <v>0</v>
      </c>
      <c r="G85" s="19" t="e">
        <f aca="true" t="shared" si="10" ref="G85:G87">(0/E85)</f>
        <v>#DIV/0!</v>
      </c>
      <c r="H85" s="3"/>
      <c r="I85" s="3"/>
      <c r="J85" s="3"/>
      <c r="K85" s="3"/>
      <c r="L85" s="3"/>
      <c r="M85" s="3"/>
    </row>
    <row r="86" spans="1:13" ht="12.75" hidden="1">
      <c r="A86" s="40" t="s">
        <v>73</v>
      </c>
      <c r="B86" s="39">
        <v>1</v>
      </c>
      <c r="C86" s="42">
        <f t="shared" si="8"/>
        <v>0</v>
      </c>
      <c r="D86" s="43">
        <v>12</v>
      </c>
      <c r="E86" s="44">
        <v>0</v>
      </c>
      <c r="F86" s="19">
        <f t="shared" si="9"/>
        <v>0</v>
      </c>
      <c r="G86" s="19" t="e">
        <f t="shared" si="10"/>
        <v>#DIV/0!</v>
      </c>
      <c r="H86" s="3"/>
      <c r="I86" s="3"/>
      <c r="J86" s="3"/>
      <c r="K86" s="3"/>
      <c r="L86" s="3"/>
      <c r="M86" s="3"/>
    </row>
    <row r="87" spans="1:13" ht="12.75" hidden="1">
      <c r="A87" s="40" t="s">
        <v>74</v>
      </c>
      <c r="B87" s="41"/>
      <c r="C87" s="41"/>
      <c r="D87" s="43"/>
      <c r="E87" s="44">
        <v>0</v>
      </c>
      <c r="F87" s="19">
        <f t="shared" si="9"/>
        <v>0</v>
      </c>
      <c r="G87" s="19" t="e">
        <f t="shared" si="10"/>
        <v>#DIV/0!</v>
      </c>
      <c r="H87" s="3"/>
      <c r="I87" s="3"/>
      <c r="J87" s="3"/>
      <c r="K87" s="3"/>
      <c r="L87" s="3"/>
      <c r="M87" s="3"/>
    </row>
    <row r="88" spans="1:13" ht="12.75" hidden="1">
      <c r="A88" s="45" t="s">
        <v>75</v>
      </c>
      <c r="B88" s="46"/>
      <c r="C88" s="46"/>
      <c r="D88" s="46"/>
      <c r="E88" s="47">
        <f>E85+E86+E87</f>
        <v>0</v>
      </c>
      <c r="F88" s="23">
        <f t="shared" si="9"/>
        <v>0</v>
      </c>
      <c r="G88" s="23" t="e">
        <f>0/E88</f>
        <v>#DIV/0!</v>
      </c>
      <c r="H88" s="3"/>
      <c r="I88" s="3"/>
      <c r="J88" s="3"/>
      <c r="K88" s="3"/>
      <c r="L88" s="3"/>
      <c r="M88" s="3"/>
    </row>
    <row r="89" spans="1:13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24.75" customHeight="1" hidden="1">
      <c r="A90" s="25" t="s">
        <v>115</v>
      </c>
      <c r="B90" s="25"/>
      <c r="C90" s="25"/>
      <c r="D90" s="25"/>
      <c r="E90" s="25"/>
      <c r="F90" s="25"/>
      <c r="G90" s="25"/>
      <c r="H90" s="3"/>
      <c r="I90" s="3"/>
      <c r="J90" s="3"/>
      <c r="K90" s="3"/>
      <c r="L90" s="3"/>
      <c r="M90" s="3"/>
    </row>
    <row r="91" spans="1:1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45" customHeight="1">
      <c r="A92" s="12" t="s">
        <v>77</v>
      </c>
      <c r="B92" s="12"/>
      <c r="C92" s="12"/>
      <c r="D92" s="12"/>
      <c r="E92" s="12"/>
      <c r="F92" s="12"/>
      <c r="G92" s="12"/>
      <c r="H92" s="13"/>
      <c r="I92" s="13"/>
      <c r="J92" s="13"/>
      <c r="K92" s="3"/>
      <c r="L92" s="3"/>
      <c r="M92" s="3"/>
    </row>
    <row r="93" spans="1:1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63.75">
      <c r="A94" s="14" t="s">
        <v>38</v>
      </c>
      <c r="B94" s="39" t="s">
        <v>71</v>
      </c>
      <c r="C94" s="14" t="s">
        <v>26</v>
      </c>
      <c r="D94" s="14" t="s">
        <v>28</v>
      </c>
      <c r="E94" s="48" t="s">
        <v>78</v>
      </c>
      <c r="F94" s="16" t="s">
        <v>79</v>
      </c>
      <c r="G94" s="3"/>
      <c r="H94" s="3"/>
      <c r="I94" s="3"/>
      <c r="J94" s="3"/>
      <c r="K94" s="3"/>
      <c r="L94" s="3"/>
      <c r="M94" s="3"/>
    </row>
    <row r="95" spans="1:13" ht="12.75">
      <c r="A95" s="49" t="s">
        <v>80</v>
      </c>
      <c r="B95" s="36">
        <v>785579</v>
      </c>
      <c r="C95" s="23">
        <f>B95/$B$40</f>
        <v>11385.202898550724</v>
      </c>
      <c r="D95" s="23">
        <f>559165/B95</f>
        <v>0.7117871022519696</v>
      </c>
      <c r="E95" s="18">
        <f>B95*D95</f>
        <v>559165</v>
      </c>
      <c r="F95" s="18">
        <f>E95-B95</f>
        <v>-226414</v>
      </c>
      <c r="G95" s="3"/>
      <c r="H95" s="3"/>
      <c r="I95" s="3"/>
      <c r="J95" s="3"/>
      <c r="K95" s="3"/>
      <c r="L95" s="3"/>
      <c r="M95" s="3"/>
    </row>
    <row r="96" spans="1:1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34.5" customHeight="1">
      <c r="A97" s="25" t="s">
        <v>81</v>
      </c>
      <c r="B97" s="25"/>
      <c r="C97" s="25"/>
      <c r="D97" s="25"/>
      <c r="E97" s="25"/>
      <c r="F97" s="25"/>
      <c r="G97" s="25"/>
      <c r="H97" s="3"/>
      <c r="I97" s="3"/>
      <c r="J97" s="3"/>
      <c r="K97" s="3"/>
      <c r="L97" s="3"/>
      <c r="M97" s="3"/>
    </row>
    <row r="98" spans="1:1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48.75" customHeight="1">
      <c r="A99" s="50" t="s">
        <v>253</v>
      </c>
      <c r="B99" s="50"/>
      <c r="C99" s="50"/>
      <c r="D99" s="50"/>
      <c r="E99" s="50"/>
      <c r="F99" s="50"/>
      <c r="G99" s="50"/>
      <c r="H99" s="3"/>
      <c r="I99" s="3"/>
      <c r="J99" s="3"/>
      <c r="K99" s="3"/>
      <c r="L99" s="3"/>
      <c r="M99" s="3"/>
    </row>
    <row r="100" spans="1:13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4.25">
      <c r="A101" s="3" t="s">
        <v>83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>
      <c r="A103" s="3" t="s">
        <v>84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>
      <c r="A105" s="3" t="s">
        <v>85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7.25" customHeight="1">
      <c r="A107" s="4" t="s">
        <v>86</v>
      </c>
      <c r="B107" s="4"/>
      <c r="C107" s="4"/>
      <c r="D107" s="4"/>
      <c r="E107" s="4"/>
      <c r="F107" s="4"/>
      <c r="G107" s="4"/>
      <c r="H107" s="3"/>
      <c r="I107" s="3"/>
      <c r="J107" s="3"/>
      <c r="K107" s="3"/>
      <c r="L107" s="3"/>
      <c r="M107" s="3"/>
    </row>
    <row r="108" spans="1:13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>
      <c r="A109" s="3" t="s">
        <v>87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3.5" customHeight="1">
      <c r="A111" s="4" t="s">
        <v>88</v>
      </c>
      <c r="B111" s="4"/>
      <c r="C111" s="4"/>
      <c r="D111" s="4"/>
      <c r="E111" s="4"/>
      <c r="F111" s="4"/>
      <c r="G111" s="4"/>
      <c r="H111" s="3"/>
      <c r="I111" s="3"/>
      <c r="J111" s="3"/>
      <c r="K111" s="3"/>
      <c r="L111" s="3"/>
      <c r="M111" s="3"/>
    </row>
    <row r="112" spans="1:1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>
      <c r="A113" s="3" t="s">
        <v>5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14.75">
      <c r="A115" s="14" t="s">
        <v>89</v>
      </c>
      <c r="B115" s="14" t="s">
        <v>90</v>
      </c>
      <c r="C115" s="39" t="s">
        <v>91</v>
      </c>
      <c r="D115" s="14" t="s">
        <v>92</v>
      </c>
      <c r="E115" s="14" t="s">
        <v>93</v>
      </c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36">
        <f>C42</f>
        <v>20239.710144927536</v>
      </c>
      <c r="B116" s="36">
        <f>E42</f>
        <v>1.1146010855399773</v>
      </c>
      <c r="C116" s="23">
        <f>C95</f>
        <v>11385.202898550724</v>
      </c>
      <c r="D116" s="23">
        <f>D95</f>
        <v>0.7117871022519696</v>
      </c>
      <c r="E116" s="36">
        <f>(A116*B116+C116*D116)*F18</f>
        <v>2115750</v>
      </c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13.25" customHeight="1">
      <c r="A118" s="12" t="s">
        <v>254</v>
      </c>
      <c r="B118" s="12"/>
      <c r="C118" s="12"/>
      <c r="D118" s="12"/>
      <c r="E118" s="12"/>
      <c r="F118" s="12"/>
      <c r="G118" s="12"/>
      <c r="H118" s="3"/>
      <c r="I118" s="3"/>
      <c r="J118" s="3"/>
      <c r="K118" s="3"/>
      <c r="L118" s="3"/>
      <c r="M118" s="3"/>
    </row>
    <row r="119" spans="1:13" ht="12.75">
      <c r="A119" s="3"/>
      <c r="B119" s="3"/>
      <c r="C119" s="3"/>
      <c r="D119" s="3" t="s">
        <v>95</v>
      </c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>
      <c r="A121" s="3" t="s">
        <v>96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>
      <c r="A123" s="3" t="s">
        <v>97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>
      <c r="A125" s="3" t="s">
        <v>98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>
      <c r="A127" s="3" t="s">
        <v>99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40.25">
      <c r="A129" s="74" t="s">
        <v>100</v>
      </c>
      <c r="B129" s="9" t="s">
        <v>101</v>
      </c>
      <c r="C129" s="74" t="s">
        <v>102</v>
      </c>
      <c r="D129" s="74" t="s">
        <v>103</v>
      </c>
      <c r="E129" s="53"/>
      <c r="F129" s="53"/>
      <c r="G129" s="53"/>
      <c r="H129" s="3"/>
      <c r="I129" s="3"/>
      <c r="J129" s="3"/>
      <c r="K129" s="3"/>
      <c r="L129" s="3"/>
      <c r="M129" s="3"/>
    </row>
    <row r="130" spans="1:13" ht="12.75">
      <c r="A130" s="54">
        <f>3888264+19203+57225+45357+4000</f>
        <v>4014049</v>
      </c>
      <c r="B130" s="54">
        <f>468000+141336</f>
        <v>609336</v>
      </c>
      <c r="C130" s="55">
        <f>288000+86976</f>
        <v>374976</v>
      </c>
      <c r="D130" s="56">
        <f>A130+B130+C130</f>
        <v>4998361</v>
      </c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>
      <c r="A133" s="68" t="s">
        <v>107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16" t="s">
        <v>108</v>
      </c>
      <c r="B135" s="16">
        <v>0</v>
      </c>
      <c r="C135" s="16"/>
      <c r="D135" s="18">
        <v>371737</v>
      </c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>
      <c r="A136" s="16" t="s">
        <v>109</v>
      </c>
      <c r="B136" s="16">
        <v>0</v>
      </c>
      <c r="C136" s="16"/>
      <c r="D136" s="18">
        <v>112265</v>
      </c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21" t="s">
        <v>50</v>
      </c>
      <c r="B137" s="21">
        <f>B135+B136</f>
        <v>0</v>
      </c>
      <c r="C137" s="21"/>
      <c r="D137" s="22">
        <f>D135+D136</f>
        <v>484002</v>
      </c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6:13" ht="12.75">
      <c r="F366" s="3"/>
      <c r="G366" s="3"/>
      <c r="H366" s="3"/>
      <c r="I366" s="3"/>
      <c r="J366" s="3"/>
      <c r="K366" s="3"/>
      <c r="L366" s="3"/>
      <c r="M366" s="3"/>
    </row>
  </sheetData>
  <sheetProtection selectLockedCells="1" selectUnlockedCells="1"/>
  <mergeCells count="19">
    <mergeCell ref="A2:G2"/>
    <mergeCell ref="A4:G4"/>
    <mergeCell ref="A5:A6"/>
    <mergeCell ref="B5:C5"/>
    <mergeCell ref="D5:D6"/>
    <mergeCell ref="B6:C6"/>
    <mergeCell ref="A11:G11"/>
    <mergeCell ref="A20:G20"/>
    <mergeCell ref="A44:G44"/>
    <mergeCell ref="A55:G55"/>
    <mergeCell ref="A71:G71"/>
    <mergeCell ref="A80:G80"/>
    <mergeCell ref="A90:G90"/>
    <mergeCell ref="A92:G92"/>
    <mergeCell ref="A97:G97"/>
    <mergeCell ref="A99:G99"/>
    <mergeCell ref="A107:G107"/>
    <mergeCell ref="A111:G111"/>
    <mergeCell ref="A118:G118"/>
  </mergeCells>
  <printOptions/>
  <pageMargins left="0.7083333333333334" right="0.7083333333333334" top="0.7479166666666667" bottom="0.7479166666666667" header="0.5118055555555555" footer="0.5118055555555555"/>
  <pageSetup fitToHeight="3" fitToWidth="1"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M366"/>
  <sheetViews>
    <sheetView workbookViewId="0" topLeftCell="A124">
      <selection activeCell="A130" sqref="A130"/>
    </sheetView>
  </sheetViews>
  <sheetFormatPr defaultColWidth="8.00390625" defaultRowHeight="12.75"/>
  <cols>
    <col min="1" max="1" width="18.00390625" style="0" customWidth="1"/>
    <col min="2" max="2" width="13.625" style="0" customWidth="1"/>
    <col min="3" max="3" width="13.00390625" style="0" customWidth="1"/>
    <col min="4" max="4" width="12.375" style="0" customWidth="1"/>
    <col min="5" max="5" width="15.625" style="0" customWidth="1"/>
    <col min="6" max="6" width="12.75390625" style="0" customWidth="1"/>
    <col min="7" max="7" width="13.625" style="0" customWidth="1"/>
    <col min="8" max="16384" width="9.00390625" style="0" customWidth="1"/>
  </cols>
  <sheetData>
    <row r="2" spans="1:13" ht="59.25" customHeight="1">
      <c r="A2" s="1" t="s">
        <v>255</v>
      </c>
      <c r="B2" s="1"/>
      <c r="C2" s="1"/>
      <c r="D2" s="1"/>
      <c r="E2" s="1"/>
      <c r="F2" s="1"/>
      <c r="G2" s="1"/>
      <c r="H2" s="2"/>
      <c r="I2" s="2"/>
      <c r="J2" s="2"/>
      <c r="K2" s="3"/>
      <c r="L2" s="3"/>
      <c r="M2" s="3"/>
    </row>
    <row r="3" spans="1:1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40.5" customHeight="1">
      <c r="A4" s="4" t="s">
        <v>1</v>
      </c>
      <c r="B4" s="4"/>
      <c r="C4" s="4"/>
      <c r="D4" s="4"/>
      <c r="E4" s="4"/>
      <c r="F4" s="4"/>
      <c r="G4" s="4"/>
      <c r="H4" s="3"/>
      <c r="I4" s="3"/>
      <c r="J4" s="3"/>
      <c r="K4" s="3"/>
      <c r="L4" s="3"/>
      <c r="M4" s="3"/>
    </row>
    <row r="5" spans="1:13" ht="12.75" customHeight="1">
      <c r="A5" s="5" t="s">
        <v>2</v>
      </c>
      <c r="B5" s="6" t="s">
        <v>3</v>
      </c>
      <c r="C5" s="6"/>
      <c r="D5" s="7" t="s">
        <v>4</v>
      </c>
      <c r="E5" s="3"/>
      <c r="F5" s="3"/>
      <c r="G5" s="3"/>
      <c r="H5" s="3"/>
      <c r="I5" s="3"/>
      <c r="J5" s="3"/>
      <c r="K5" s="3"/>
      <c r="L5" s="3"/>
      <c r="M5" s="3"/>
    </row>
    <row r="6" spans="1:13" ht="12.75" customHeight="1">
      <c r="A6" s="5"/>
      <c r="B6" s="8">
        <v>12</v>
      </c>
      <c r="C6" s="8"/>
      <c r="D6" s="7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 s="3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 s="3" t="s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42" customHeight="1">
      <c r="A11" s="4" t="s">
        <v>7</v>
      </c>
      <c r="B11" s="4"/>
      <c r="C11" s="4"/>
      <c r="D11" s="4"/>
      <c r="E11" s="4"/>
      <c r="F11" s="4"/>
      <c r="G11" s="4"/>
      <c r="H11" s="3"/>
      <c r="I11" s="3"/>
      <c r="J11" s="3"/>
      <c r="K11" s="3"/>
      <c r="L11" s="3"/>
      <c r="M11" s="3"/>
    </row>
    <row r="12" spans="1:1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 s="3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3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99" customHeight="1">
      <c r="A17" s="9" t="s">
        <v>10</v>
      </c>
      <c r="B17" s="9" t="s">
        <v>11</v>
      </c>
      <c r="C17" s="10" t="s">
        <v>12</v>
      </c>
      <c r="D17" s="9" t="s">
        <v>13</v>
      </c>
      <c r="E17" s="9" t="s">
        <v>14</v>
      </c>
      <c r="F17" s="9" t="s">
        <v>15</v>
      </c>
      <c r="G17" s="3"/>
      <c r="H17" s="3"/>
      <c r="I17" s="3"/>
      <c r="J17" s="3"/>
      <c r="K17" s="3"/>
      <c r="L17" s="3"/>
      <c r="M17" s="3"/>
    </row>
    <row r="18" spans="1:13" ht="29.25" customHeight="1">
      <c r="A18" s="9">
        <v>57</v>
      </c>
      <c r="B18" s="10">
        <v>0</v>
      </c>
      <c r="C18" s="9">
        <v>8</v>
      </c>
      <c r="D18" s="9">
        <v>4</v>
      </c>
      <c r="E18" s="11">
        <v>0</v>
      </c>
      <c r="F18" s="11">
        <v>53</v>
      </c>
      <c r="G18" s="3"/>
      <c r="H18" s="3"/>
      <c r="I18" s="3"/>
      <c r="J18" s="3"/>
      <c r="K18" s="3"/>
      <c r="L18" s="3"/>
      <c r="M18" s="3"/>
    </row>
    <row r="19" spans="1:1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27" customHeight="1">
      <c r="A20" s="12" t="s">
        <v>16</v>
      </c>
      <c r="B20" s="12"/>
      <c r="C20" s="12"/>
      <c r="D20" s="12"/>
      <c r="E20" s="12"/>
      <c r="F20" s="12"/>
      <c r="G20" s="12"/>
      <c r="H20" s="13"/>
      <c r="I20" s="13"/>
      <c r="J20" s="13"/>
      <c r="K20" s="3"/>
      <c r="L20" s="3"/>
      <c r="M20" s="3"/>
    </row>
    <row r="21" spans="1:13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 s="3" t="s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3" t="s">
        <v>18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3" t="s">
        <v>19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 s="3" t="s">
        <v>20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 t="s">
        <v>21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 s="3" t="s">
        <v>22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s="3" t="s">
        <v>23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63.75" customHeight="1">
      <c r="A36" s="14" t="s">
        <v>24</v>
      </c>
      <c r="B36" s="15" t="s">
        <v>25</v>
      </c>
      <c r="C36" s="14" t="s">
        <v>26</v>
      </c>
      <c r="D36" s="14" t="s">
        <v>27</v>
      </c>
      <c r="E36" s="14" t="s">
        <v>28</v>
      </c>
      <c r="F36" s="14" t="s">
        <v>29</v>
      </c>
      <c r="G36" s="3"/>
      <c r="H36" s="3"/>
      <c r="I36" s="3"/>
      <c r="J36" s="3"/>
      <c r="K36" s="3"/>
      <c r="L36" s="3"/>
      <c r="M36" s="3"/>
    </row>
    <row r="37" spans="1:13" ht="12.75">
      <c r="A37" s="16" t="s">
        <v>30</v>
      </c>
      <c r="B37" s="17">
        <f>F18</f>
        <v>53</v>
      </c>
      <c r="C37" s="18">
        <f>F53</f>
        <v>7236.852830188679</v>
      </c>
      <c r="D37" s="18">
        <f>E53</f>
        <v>383553.2</v>
      </c>
      <c r="E37" s="19">
        <f>G53</f>
        <v>0.961017141820222</v>
      </c>
      <c r="F37" s="18">
        <f aca="true" t="shared" si="0" ref="F37:F40">D37*E37</f>
        <v>368601.2</v>
      </c>
      <c r="G37" s="3"/>
      <c r="H37" s="3"/>
      <c r="I37" s="3"/>
      <c r="J37" s="3"/>
      <c r="K37" s="3"/>
      <c r="L37" s="3"/>
      <c r="M37" s="3"/>
    </row>
    <row r="38" spans="1:13" ht="12.75">
      <c r="A38" s="16" t="s">
        <v>31</v>
      </c>
      <c r="B38" s="17">
        <f aca="true" t="shared" si="1" ref="B38:B41">B37</f>
        <v>53</v>
      </c>
      <c r="C38" s="18">
        <f>F69</f>
        <v>17908.82641509434</v>
      </c>
      <c r="D38" s="18">
        <f>E69</f>
        <v>949167.8</v>
      </c>
      <c r="E38" s="19">
        <f>G69</f>
        <v>0.7380210327404702</v>
      </c>
      <c r="F38" s="18">
        <f t="shared" si="0"/>
        <v>700505.8</v>
      </c>
      <c r="G38" s="3"/>
      <c r="H38" s="3"/>
      <c r="I38" s="3"/>
      <c r="J38" s="3"/>
      <c r="K38" s="3"/>
      <c r="L38" s="3"/>
      <c r="M38" s="3"/>
    </row>
    <row r="39" spans="1:13" ht="12.75">
      <c r="A39" s="16" t="s">
        <v>32</v>
      </c>
      <c r="B39" s="17">
        <f t="shared" si="1"/>
        <v>53</v>
      </c>
      <c r="C39" s="18">
        <f>C78</f>
        <v>1419.056603773585</v>
      </c>
      <c r="D39" s="18">
        <f>B78</f>
        <v>75210</v>
      </c>
      <c r="E39" s="19">
        <f>D78</f>
        <v>0.7117936444621726</v>
      </c>
      <c r="F39" s="18">
        <f t="shared" si="0"/>
        <v>53534.00000000001</v>
      </c>
      <c r="G39" s="3"/>
      <c r="H39" s="3"/>
      <c r="I39" s="3"/>
      <c r="J39" s="3"/>
      <c r="K39" s="3"/>
      <c r="L39" s="3"/>
      <c r="M39" s="3"/>
    </row>
    <row r="40" spans="1:13" ht="12.75">
      <c r="A40" s="16" t="s">
        <v>33</v>
      </c>
      <c r="B40" s="17">
        <f t="shared" si="1"/>
        <v>53</v>
      </c>
      <c r="C40" s="18">
        <f>F88</f>
        <v>0</v>
      </c>
      <c r="D40" s="18">
        <f>E88</f>
        <v>0</v>
      </c>
      <c r="E40" s="19">
        <v>0</v>
      </c>
      <c r="F40" s="18">
        <f t="shared" si="0"/>
        <v>0</v>
      </c>
      <c r="G40" s="3"/>
      <c r="H40" s="3"/>
      <c r="I40" s="3"/>
      <c r="J40" s="3"/>
      <c r="K40" s="3"/>
      <c r="L40" s="3"/>
      <c r="M40" s="3"/>
    </row>
    <row r="41" spans="1:13" ht="12.75">
      <c r="A41" s="16" t="s">
        <v>34</v>
      </c>
      <c r="B41" s="17">
        <f t="shared" si="1"/>
        <v>53</v>
      </c>
      <c r="C41" s="18">
        <v>0</v>
      </c>
      <c r="D41" s="18">
        <v>0</v>
      </c>
      <c r="E41" s="19">
        <v>1</v>
      </c>
      <c r="F41" s="18">
        <f>D137</f>
        <v>644642</v>
      </c>
      <c r="G41" s="3"/>
      <c r="H41" s="3"/>
      <c r="I41" s="3"/>
      <c r="J41" s="3"/>
      <c r="K41" s="3"/>
      <c r="L41" s="3"/>
      <c r="M41" s="3"/>
    </row>
    <row r="42" spans="1:13" ht="12.75">
      <c r="A42" s="20" t="s">
        <v>35</v>
      </c>
      <c r="B42" s="21"/>
      <c r="C42" s="22">
        <f>D42/B40</f>
        <v>26564.735849056604</v>
      </c>
      <c r="D42" s="22">
        <f>SUM(D37:D40)</f>
        <v>1407931</v>
      </c>
      <c r="E42" s="23">
        <f>F42/D42</f>
        <v>1.2552340988301274</v>
      </c>
      <c r="F42" s="18">
        <f>F37+F38+F39+F40+F41</f>
        <v>1767283</v>
      </c>
      <c r="G42" s="24">
        <f>F42+E95</f>
        <v>2211944</v>
      </c>
      <c r="H42" s="3"/>
      <c r="I42" s="3"/>
      <c r="J42" s="3"/>
      <c r="K42" s="3"/>
      <c r="L42" s="3"/>
      <c r="M42" s="3"/>
    </row>
    <row r="43" spans="1:13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30.75" customHeight="1">
      <c r="A44" s="25" t="s">
        <v>206</v>
      </c>
      <c r="B44" s="25"/>
      <c r="C44" s="25"/>
      <c r="D44" s="25"/>
      <c r="E44" s="25"/>
      <c r="F44" s="25"/>
      <c r="G44" s="25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3" t="s">
        <v>37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63.75">
      <c r="A48" s="14" t="s">
        <v>38</v>
      </c>
      <c r="B48" s="14" t="s">
        <v>39</v>
      </c>
      <c r="C48" s="14" t="s">
        <v>40</v>
      </c>
      <c r="D48" s="14" t="s">
        <v>41</v>
      </c>
      <c r="E48" s="14" t="s">
        <v>42</v>
      </c>
      <c r="F48" s="14" t="s">
        <v>26</v>
      </c>
      <c r="G48" s="14" t="s">
        <v>28</v>
      </c>
      <c r="H48" s="3"/>
      <c r="I48" s="3"/>
      <c r="J48" s="3"/>
      <c r="K48" s="3"/>
      <c r="L48" s="3"/>
      <c r="M48" s="3"/>
    </row>
    <row r="49" spans="1:13" ht="25.5">
      <c r="A49" s="26" t="s">
        <v>43</v>
      </c>
      <c r="B49" s="27" t="s">
        <v>44</v>
      </c>
      <c r="C49" s="19">
        <v>0</v>
      </c>
      <c r="D49" s="19">
        <v>0</v>
      </c>
      <c r="E49" s="19">
        <v>0</v>
      </c>
      <c r="F49" s="19">
        <f aca="true" t="shared" si="2" ref="F49:F52">E49/$B$40</f>
        <v>0</v>
      </c>
      <c r="G49" s="72">
        <v>0</v>
      </c>
      <c r="H49" s="3"/>
      <c r="I49" s="3"/>
      <c r="J49" s="3"/>
      <c r="K49" s="3"/>
      <c r="L49" s="3"/>
      <c r="M49" s="3"/>
    </row>
    <row r="50" spans="1:13" ht="25.5">
      <c r="A50" s="26" t="s">
        <v>45</v>
      </c>
      <c r="B50" s="27" t="s">
        <v>46</v>
      </c>
      <c r="C50" s="19">
        <f>15114/2</f>
        <v>7557</v>
      </c>
      <c r="D50" s="19">
        <f aca="true" t="shared" si="3" ref="D50:D52">E50/C50</f>
        <v>6.846896916765912</v>
      </c>
      <c r="E50" s="19">
        <f>103484/2</f>
        <v>51742</v>
      </c>
      <c r="F50" s="19">
        <f t="shared" si="2"/>
        <v>976.2641509433962</v>
      </c>
      <c r="G50" s="72">
        <f>(103484/2/E50)</f>
        <v>1</v>
      </c>
      <c r="H50" s="3"/>
      <c r="I50" s="3"/>
      <c r="J50" s="3"/>
      <c r="K50" s="3"/>
      <c r="L50" s="3"/>
      <c r="M50" s="3"/>
    </row>
    <row r="51" spans="1:13" ht="25.5">
      <c r="A51" s="26" t="s">
        <v>47</v>
      </c>
      <c r="B51" s="27" t="s">
        <v>48</v>
      </c>
      <c r="C51" s="19">
        <f>22100*90%</f>
        <v>19890</v>
      </c>
      <c r="D51" s="19">
        <f t="shared" si="3"/>
        <v>15.68</v>
      </c>
      <c r="E51" s="19">
        <f>346528*90%</f>
        <v>311875.2</v>
      </c>
      <c r="F51" s="19">
        <f t="shared" si="2"/>
        <v>5884.4377358490565</v>
      </c>
      <c r="G51" s="72">
        <f>(346528*90%/E51)</f>
        <v>1</v>
      </c>
      <c r="H51" s="3"/>
      <c r="I51" s="3"/>
      <c r="J51" s="3"/>
      <c r="K51" s="3"/>
      <c r="L51" s="3"/>
      <c r="M51" s="3"/>
    </row>
    <row r="52" spans="1:13" ht="25.5">
      <c r="A52" s="26" t="s">
        <v>49</v>
      </c>
      <c r="B52" s="27" t="s">
        <v>46</v>
      </c>
      <c r="C52" s="19">
        <v>500</v>
      </c>
      <c r="D52" s="19">
        <f t="shared" si="3"/>
        <v>39.872</v>
      </c>
      <c r="E52" s="19">
        <v>19936</v>
      </c>
      <c r="F52" s="19">
        <f t="shared" si="2"/>
        <v>376.1509433962264</v>
      </c>
      <c r="G52" s="72">
        <f>(4984/E52)</f>
        <v>0.25</v>
      </c>
      <c r="H52" s="3"/>
      <c r="I52" s="3"/>
      <c r="J52" s="3"/>
      <c r="K52" s="3"/>
      <c r="L52" s="3"/>
      <c r="M52" s="3"/>
    </row>
    <row r="53" spans="1:13" ht="20.25" customHeight="1">
      <c r="A53" s="28" t="s">
        <v>50</v>
      </c>
      <c r="B53" s="29"/>
      <c r="C53" s="23"/>
      <c r="D53" s="23"/>
      <c r="E53" s="23">
        <f>E49+E50+E51+E52</f>
        <v>383553.2</v>
      </c>
      <c r="F53" s="23">
        <f>F49+F50+F51+F52</f>
        <v>7236.852830188679</v>
      </c>
      <c r="G53" s="73">
        <f>(103484/2+346528*90%+4984)/E53</f>
        <v>0.961017141820222</v>
      </c>
      <c r="H53" s="3"/>
      <c r="I53" s="3"/>
      <c r="J53" s="3"/>
      <c r="K53" s="3"/>
      <c r="L53" s="3"/>
      <c r="M53" s="3"/>
    </row>
    <row r="54" spans="1:13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24" customHeight="1">
      <c r="A55" s="25" t="s">
        <v>256</v>
      </c>
      <c r="B55" s="25"/>
      <c r="C55" s="25"/>
      <c r="D55" s="25"/>
      <c r="E55" s="25"/>
      <c r="F55" s="25"/>
      <c r="G55" s="25"/>
      <c r="H55" s="3"/>
      <c r="I55" s="3"/>
      <c r="J55" s="3"/>
      <c r="K55" s="3"/>
      <c r="L55" s="3"/>
      <c r="M55" s="3"/>
    </row>
    <row r="56" spans="1:1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75">
      <c r="A57" s="3" t="s">
        <v>52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63.75">
      <c r="A59" s="14" t="s">
        <v>38</v>
      </c>
      <c r="B59" s="14" t="s">
        <v>39</v>
      </c>
      <c r="C59" s="14" t="s">
        <v>53</v>
      </c>
      <c r="D59" s="14" t="s">
        <v>54</v>
      </c>
      <c r="E59" s="14" t="s">
        <v>42</v>
      </c>
      <c r="F59" s="14" t="s">
        <v>26</v>
      </c>
      <c r="G59" s="14" t="s">
        <v>28</v>
      </c>
      <c r="H59" s="3"/>
      <c r="I59" s="3"/>
      <c r="J59" s="3"/>
      <c r="K59" s="3"/>
      <c r="L59" s="3"/>
      <c r="M59" s="3"/>
    </row>
    <row r="60" spans="1:13" ht="45.75" customHeight="1">
      <c r="A60" s="26" t="s">
        <v>55</v>
      </c>
      <c r="B60" s="30"/>
      <c r="C60" s="19"/>
      <c r="D60" s="19"/>
      <c r="E60" s="19">
        <v>41597</v>
      </c>
      <c r="F60" s="19">
        <f aca="true" t="shared" si="4" ref="F60:F68">E60/$B$40</f>
        <v>784.8490566037735</v>
      </c>
      <c r="G60" s="72">
        <f>(29608/E60)</f>
        <v>0.7117820996706493</v>
      </c>
      <c r="H60" s="3"/>
      <c r="I60" s="3"/>
      <c r="J60" s="3"/>
      <c r="K60" s="3"/>
      <c r="L60" s="3"/>
      <c r="M60" s="3"/>
    </row>
    <row r="61" spans="1:13" ht="25.5">
      <c r="A61" s="26" t="s">
        <v>56</v>
      </c>
      <c r="B61" s="30" t="s">
        <v>57</v>
      </c>
      <c r="C61" s="19">
        <v>1</v>
      </c>
      <c r="D61" s="19">
        <f>E61/C61</f>
        <v>0</v>
      </c>
      <c r="E61" s="19">
        <v>0</v>
      </c>
      <c r="F61" s="19">
        <f t="shared" si="4"/>
        <v>0</v>
      </c>
      <c r="G61" s="72" t="e">
        <f aca="true" t="shared" si="5" ref="G61:G62">(0/E61)</f>
        <v>#DIV/0!</v>
      </c>
      <c r="H61" s="3"/>
      <c r="I61" s="3"/>
      <c r="J61" s="3"/>
      <c r="K61" s="3"/>
      <c r="L61" s="3"/>
      <c r="M61" s="3"/>
    </row>
    <row r="62" spans="1:13" ht="18" customHeight="1">
      <c r="A62" s="26" t="s">
        <v>58</v>
      </c>
      <c r="B62" s="30"/>
      <c r="C62" s="19"/>
      <c r="D62" s="19"/>
      <c r="E62" s="19">
        <v>0</v>
      </c>
      <c r="F62" s="19">
        <f t="shared" si="4"/>
        <v>0</v>
      </c>
      <c r="G62" s="72" t="e">
        <f t="shared" si="5"/>
        <v>#DIV/0!</v>
      </c>
      <c r="H62" s="3"/>
      <c r="I62" s="3"/>
      <c r="J62" s="3"/>
      <c r="K62" s="3"/>
      <c r="L62" s="3"/>
      <c r="M62" s="3"/>
    </row>
    <row r="63" spans="1:13" ht="18" customHeight="1">
      <c r="A63" s="26" t="s">
        <v>59</v>
      </c>
      <c r="B63" s="30"/>
      <c r="C63" s="19"/>
      <c r="D63" s="19"/>
      <c r="E63" s="19">
        <v>809640</v>
      </c>
      <c r="F63" s="19">
        <f t="shared" si="4"/>
        <v>15276.22641509434</v>
      </c>
      <c r="G63" s="72">
        <f>(576292/E63)</f>
        <v>0.7117879551405563</v>
      </c>
      <c r="H63" s="3"/>
      <c r="I63" s="3"/>
      <c r="J63" s="3"/>
      <c r="K63" s="3"/>
      <c r="L63" s="3"/>
      <c r="M63" s="3"/>
    </row>
    <row r="64" spans="1:13" ht="25.5">
      <c r="A64" s="26" t="s">
        <v>43</v>
      </c>
      <c r="B64" s="27" t="s">
        <v>44</v>
      </c>
      <c r="C64" s="19">
        <v>0</v>
      </c>
      <c r="D64" s="19">
        <v>0</v>
      </c>
      <c r="E64" s="19">
        <v>0</v>
      </c>
      <c r="F64" s="19">
        <f t="shared" si="4"/>
        <v>0</v>
      </c>
      <c r="G64" s="72">
        <v>0</v>
      </c>
      <c r="H64" s="3"/>
      <c r="I64" s="3"/>
      <c r="J64" s="3"/>
      <c r="K64" s="3"/>
      <c r="L64" s="3"/>
      <c r="M64" s="3"/>
    </row>
    <row r="65" spans="1:13" ht="25.5">
      <c r="A65" s="26" t="s">
        <v>45</v>
      </c>
      <c r="B65" s="27" t="s">
        <v>46</v>
      </c>
      <c r="C65" s="19">
        <f>15114/2</f>
        <v>7557</v>
      </c>
      <c r="D65" s="19">
        <f aca="true" t="shared" si="6" ref="D65:D66">E65/C65</f>
        <v>6.846896916765912</v>
      </c>
      <c r="E65" s="19">
        <f>103484/2</f>
        <v>51742</v>
      </c>
      <c r="F65" s="19">
        <f t="shared" si="4"/>
        <v>976.2641509433962</v>
      </c>
      <c r="G65" s="72">
        <f>(103484/2/E65)</f>
        <v>1</v>
      </c>
      <c r="H65" s="3"/>
      <c r="I65" s="3"/>
      <c r="J65" s="3"/>
      <c r="K65" s="3"/>
      <c r="L65" s="3"/>
      <c r="M65" s="3"/>
    </row>
    <row r="66" spans="1:13" ht="25.5">
      <c r="A66" s="26" t="s">
        <v>47</v>
      </c>
      <c r="B66" s="27" t="s">
        <v>48</v>
      </c>
      <c r="C66" s="19">
        <f>22100*10%</f>
        <v>2210</v>
      </c>
      <c r="D66" s="19">
        <f t="shared" si="6"/>
        <v>15.680000000000001</v>
      </c>
      <c r="E66" s="19">
        <f>346528*10%</f>
        <v>34652.8</v>
      </c>
      <c r="F66" s="19">
        <f t="shared" si="4"/>
        <v>653.8264150943397</v>
      </c>
      <c r="G66" s="72">
        <f>(346528*10%/E66)</f>
        <v>1</v>
      </c>
      <c r="H66" s="3"/>
      <c r="I66" s="3"/>
      <c r="J66" s="3"/>
      <c r="K66" s="3"/>
      <c r="L66" s="3"/>
      <c r="M66" s="3"/>
    </row>
    <row r="67" spans="1:13" ht="25.5" customHeight="1">
      <c r="A67" s="26" t="s">
        <v>60</v>
      </c>
      <c r="B67" s="30"/>
      <c r="C67" s="19"/>
      <c r="D67" s="19"/>
      <c r="E67" s="19">
        <v>4388</v>
      </c>
      <c r="F67" s="19">
        <f t="shared" si="4"/>
        <v>82.79245283018868</v>
      </c>
      <c r="G67" s="72">
        <f>(3123/E67)</f>
        <v>0.7117137648131268</v>
      </c>
      <c r="H67" s="3"/>
      <c r="I67" s="3"/>
      <c r="J67" s="3"/>
      <c r="K67" s="3"/>
      <c r="L67" s="3"/>
      <c r="M67" s="3"/>
    </row>
    <row r="68" spans="1:13" ht="12.75">
      <c r="A68" s="26" t="s">
        <v>61</v>
      </c>
      <c r="B68" s="30"/>
      <c r="C68" s="19"/>
      <c r="D68" s="19"/>
      <c r="E68" s="19">
        <v>7148</v>
      </c>
      <c r="F68" s="19">
        <f t="shared" si="4"/>
        <v>134.8679245283019</v>
      </c>
      <c r="G68" s="72">
        <f>(5088/E68)</f>
        <v>0.7118074986010072</v>
      </c>
      <c r="H68" s="3"/>
      <c r="I68" s="3"/>
      <c r="J68" s="3"/>
      <c r="K68" s="3"/>
      <c r="L68" s="3"/>
      <c r="M68" s="3"/>
    </row>
    <row r="69" spans="1:13" ht="24.75" customHeight="1">
      <c r="A69" s="28" t="s">
        <v>50</v>
      </c>
      <c r="B69" s="31"/>
      <c r="C69" s="23"/>
      <c r="D69" s="23"/>
      <c r="E69" s="23">
        <f>SUM(E60:E68)</f>
        <v>949167.8</v>
      </c>
      <c r="F69" s="23">
        <f>SUM(F60:F68)</f>
        <v>17908.82641509434</v>
      </c>
      <c r="G69" s="73">
        <f>(29608+576292+103484/2+346528*10%+5088+3123)/E69</f>
        <v>0.7380210327404702</v>
      </c>
      <c r="H69" s="3"/>
      <c r="I69" s="3"/>
      <c r="J69" s="3"/>
      <c r="K69" s="3"/>
      <c r="L69" s="3"/>
      <c r="M69" s="3"/>
    </row>
    <row r="70" spans="1:13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26.25" customHeight="1">
      <c r="A71" s="25" t="s">
        <v>62</v>
      </c>
      <c r="B71" s="25"/>
      <c r="C71" s="25"/>
      <c r="D71" s="25"/>
      <c r="E71" s="25"/>
      <c r="F71" s="25"/>
      <c r="G71" s="25"/>
      <c r="H71" s="3"/>
      <c r="I71" s="3"/>
      <c r="J71" s="3"/>
      <c r="K71" s="3"/>
      <c r="L71" s="3"/>
      <c r="M71" s="3"/>
    </row>
    <row r="72" spans="1:13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>
      <c r="A73" s="3" t="s">
        <v>63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63.75">
      <c r="A75" s="14" t="s">
        <v>38</v>
      </c>
      <c r="B75" s="14" t="s">
        <v>42</v>
      </c>
      <c r="C75" s="14" t="s">
        <v>26</v>
      </c>
      <c r="D75" s="14" t="s">
        <v>28</v>
      </c>
      <c r="E75" s="32"/>
      <c r="F75" s="32"/>
      <c r="G75" s="32"/>
      <c r="H75" s="3"/>
      <c r="I75" s="3"/>
      <c r="J75" s="3"/>
      <c r="K75" s="3"/>
      <c r="L75" s="3"/>
      <c r="M75" s="3"/>
    </row>
    <row r="76" spans="1:13" ht="51">
      <c r="A76" s="26" t="s">
        <v>64</v>
      </c>
      <c r="B76" s="33">
        <v>171</v>
      </c>
      <c r="C76" s="19">
        <f aca="true" t="shared" si="7" ref="C76:C77">B76/$B$40</f>
        <v>3.2264150943396226</v>
      </c>
      <c r="D76" s="72">
        <f>(122/B76)</f>
        <v>0.7134502923976608</v>
      </c>
      <c r="E76" s="34"/>
      <c r="F76" s="35"/>
      <c r="G76" s="35"/>
      <c r="H76" s="3"/>
      <c r="I76" s="3"/>
      <c r="J76" s="3"/>
      <c r="K76" s="3"/>
      <c r="L76" s="3"/>
      <c r="M76" s="3"/>
    </row>
    <row r="77" spans="1:13" ht="19.5" customHeight="1">
      <c r="A77" s="26" t="s">
        <v>65</v>
      </c>
      <c r="B77" s="33">
        <f>57584+17455</f>
        <v>75039</v>
      </c>
      <c r="C77" s="19">
        <f t="shared" si="7"/>
        <v>1415.8301886792453</v>
      </c>
      <c r="D77" s="72">
        <f>(40988+12424)/B77</f>
        <v>0.7117898692679806</v>
      </c>
      <c r="E77" s="34"/>
      <c r="F77" s="35"/>
      <c r="G77" s="35"/>
      <c r="H77" s="3"/>
      <c r="I77" s="3"/>
      <c r="J77" s="3"/>
      <c r="K77" s="3"/>
      <c r="L77" s="3"/>
      <c r="M77" s="3"/>
    </row>
    <row r="78" spans="1:13" ht="27" customHeight="1">
      <c r="A78" s="28" t="s">
        <v>50</v>
      </c>
      <c r="B78" s="36">
        <f>SUM(B76:B77)</f>
        <v>75210</v>
      </c>
      <c r="C78" s="36">
        <f>SUM(C76:C77)</f>
        <v>1419.056603773585</v>
      </c>
      <c r="D78" s="75">
        <f>(40988+12424+122)/B78</f>
        <v>0.7117936444621726</v>
      </c>
      <c r="E78" s="37"/>
      <c r="F78" s="37"/>
      <c r="G78" s="37"/>
      <c r="H78" s="3"/>
      <c r="I78" s="3"/>
      <c r="J78" s="3"/>
      <c r="K78" s="3"/>
      <c r="L78" s="3"/>
      <c r="M78" s="3"/>
    </row>
    <row r="79" spans="1:13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29.25" customHeight="1">
      <c r="A80" s="25" t="s">
        <v>66</v>
      </c>
      <c r="B80" s="25"/>
      <c r="C80" s="25"/>
      <c r="D80" s="25"/>
      <c r="E80" s="25"/>
      <c r="F80" s="25"/>
      <c r="G80" s="25"/>
      <c r="H80" s="3"/>
      <c r="I80" s="3"/>
      <c r="J80" s="3"/>
      <c r="K80" s="3"/>
      <c r="L80" s="3"/>
      <c r="M80" s="3"/>
    </row>
    <row r="81" spans="1:13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 hidden="1">
      <c r="A82" s="3" t="s">
        <v>67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63.75" hidden="1">
      <c r="A84" s="38" t="s">
        <v>68</v>
      </c>
      <c r="B84" s="10" t="s">
        <v>69</v>
      </c>
      <c r="C84" s="14" t="s">
        <v>54</v>
      </c>
      <c r="D84" s="10" t="s">
        <v>70</v>
      </c>
      <c r="E84" s="39" t="s">
        <v>71</v>
      </c>
      <c r="F84" s="14" t="s">
        <v>26</v>
      </c>
      <c r="G84" s="14" t="s">
        <v>28</v>
      </c>
      <c r="H84" s="3"/>
      <c r="I84" s="3"/>
      <c r="J84" s="3"/>
      <c r="K84" s="3"/>
      <c r="L84" s="3"/>
      <c r="M84" s="3"/>
    </row>
    <row r="85" spans="1:13" ht="12.75" hidden="1">
      <c r="A85" s="40" t="s">
        <v>72</v>
      </c>
      <c r="B85" s="41">
        <v>1</v>
      </c>
      <c r="C85" s="42">
        <f aca="true" t="shared" si="8" ref="C85:C86">E85/D85/B85</f>
        <v>0</v>
      </c>
      <c r="D85" s="43">
        <v>12</v>
      </c>
      <c r="E85" s="44">
        <v>0</v>
      </c>
      <c r="F85" s="19">
        <f aca="true" t="shared" si="9" ref="F85:F88">E85/$B$40</f>
        <v>0</v>
      </c>
      <c r="G85" s="72" t="e">
        <f aca="true" t="shared" si="10" ref="G85:G87">(0/E85)</f>
        <v>#DIV/0!</v>
      </c>
      <c r="H85" s="3"/>
      <c r="I85" s="3"/>
      <c r="J85" s="3"/>
      <c r="K85" s="3"/>
      <c r="L85" s="3"/>
      <c r="M85" s="3"/>
    </row>
    <row r="86" spans="1:13" ht="12.75" hidden="1">
      <c r="A86" s="40" t="s">
        <v>73</v>
      </c>
      <c r="B86" s="39">
        <v>1</v>
      </c>
      <c r="C86" s="42">
        <f t="shared" si="8"/>
        <v>0</v>
      </c>
      <c r="D86" s="43">
        <v>12</v>
      </c>
      <c r="E86" s="44">
        <v>0</v>
      </c>
      <c r="F86" s="19">
        <f t="shared" si="9"/>
        <v>0</v>
      </c>
      <c r="G86" s="72" t="e">
        <f t="shared" si="10"/>
        <v>#DIV/0!</v>
      </c>
      <c r="H86" s="3"/>
      <c r="I86" s="3"/>
      <c r="J86" s="3"/>
      <c r="K86" s="3"/>
      <c r="L86" s="3"/>
      <c r="M86" s="3"/>
    </row>
    <row r="87" spans="1:13" ht="12.75" hidden="1">
      <c r="A87" s="40" t="s">
        <v>74</v>
      </c>
      <c r="B87" s="41"/>
      <c r="C87" s="41"/>
      <c r="D87" s="43"/>
      <c r="E87" s="44">
        <v>0</v>
      </c>
      <c r="F87" s="19">
        <f t="shared" si="9"/>
        <v>0</v>
      </c>
      <c r="G87" s="72" t="e">
        <f t="shared" si="10"/>
        <v>#DIV/0!</v>
      </c>
      <c r="H87" s="3"/>
      <c r="I87" s="3"/>
      <c r="J87" s="3"/>
      <c r="K87" s="3"/>
      <c r="L87" s="3"/>
      <c r="M87" s="3"/>
    </row>
    <row r="88" spans="1:13" ht="12.75" hidden="1">
      <c r="A88" s="45" t="s">
        <v>75</v>
      </c>
      <c r="B88" s="46"/>
      <c r="C88" s="46"/>
      <c r="D88" s="46"/>
      <c r="E88" s="47">
        <f>E85+E86+E87</f>
        <v>0</v>
      </c>
      <c r="F88" s="23">
        <f t="shared" si="9"/>
        <v>0</v>
      </c>
      <c r="G88" s="73" t="e">
        <f>0/E88</f>
        <v>#DIV/0!</v>
      </c>
      <c r="H88" s="3"/>
      <c r="I88" s="3"/>
      <c r="J88" s="3"/>
      <c r="K88" s="3"/>
      <c r="L88" s="3"/>
      <c r="M88" s="3"/>
    </row>
    <row r="89" spans="1:13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25.5" customHeight="1" hidden="1">
      <c r="A90" s="25" t="s">
        <v>257</v>
      </c>
      <c r="B90" s="25"/>
      <c r="C90" s="25"/>
      <c r="D90" s="25"/>
      <c r="E90" s="25"/>
      <c r="F90" s="25"/>
      <c r="G90" s="25"/>
      <c r="H90" s="3"/>
      <c r="I90" s="3"/>
      <c r="J90" s="3"/>
      <c r="K90" s="3"/>
      <c r="L90" s="3"/>
      <c r="M90" s="3"/>
    </row>
    <row r="91" spans="1:1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45" customHeight="1">
      <c r="A92" s="12" t="s">
        <v>77</v>
      </c>
      <c r="B92" s="12"/>
      <c r="C92" s="12"/>
      <c r="D92" s="12"/>
      <c r="E92" s="12"/>
      <c r="F92" s="12"/>
      <c r="G92" s="12"/>
      <c r="H92" s="13"/>
      <c r="I92" s="13"/>
      <c r="J92" s="13"/>
      <c r="K92" s="3"/>
      <c r="L92" s="3"/>
      <c r="M92" s="3"/>
    </row>
    <row r="93" spans="1:1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63.75">
      <c r="A94" s="14" t="s">
        <v>38</v>
      </c>
      <c r="B94" s="39" t="s">
        <v>71</v>
      </c>
      <c r="C94" s="14" t="s">
        <v>26</v>
      </c>
      <c r="D94" s="14" t="s">
        <v>28</v>
      </c>
      <c r="E94" s="48" t="s">
        <v>78</v>
      </c>
      <c r="F94" s="16" t="s">
        <v>79</v>
      </c>
      <c r="G94" s="3"/>
      <c r="H94" s="3"/>
      <c r="I94" s="3"/>
      <c r="J94" s="3"/>
      <c r="K94" s="3"/>
      <c r="L94" s="3"/>
      <c r="M94" s="3"/>
    </row>
    <row r="95" spans="1:13" ht="12.75">
      <c r="A95" s="49" t="s">
        <v>80</v>
      </c>
      <c r="B95" s="36">
        <v>624710</v>
      </c>
      <c r="C95" s="23">
        <f>B95/$B$40</f>
        <v>11786.981132075472</v>
      </c>
      <c r="D95" s="73">
        <f>444661/B95</f>
        <v>0.7117878695714812</v>
      </c>
      <c r="E95" s="18">
        <f>B95*D95</f>
        <v>444661</v>
      </c>
      <c r="F95" s="18">
        <f>E95-B95</f>
        <v>-180049</v>
      </c>
      <c r="G95" s="3"/>
      <c r="H95" s="3"/>
      <c r="I95" s="3"/>
      <c r="J95" s="3"/>
      <c r="K95" s="3"/>
      <c r="L95" s="3"/>
      <c r="M95" s="3"/>
    </row>
    <row r="96" spans="1:1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34.5" customHeight="1">
      <c r="A97" s="25" t="s">
        <v>81</v>
      </c>
      <c r="B97" s="25"/>
      <c r="C97" s="25"/>
      <c r="D97" s="25"/>
      <c r="E97" s="25"/>
      <c r="F97" s="25"/>
      <c r="G97" s="25"/>
      <c r="H97" s="3"/>
      <c r="I97" s="3"/>
      <c r="J97" s="3"/>
      <c r="K97" s="3"/>
      <c r="L97" s="3"/>
      <c r="M97" s="3"/>
    </row>
    <row r="98" spans="1:1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48.75" customHeight="1">
      <c r="A99" s="50" t="s">
        <v>258</v>
      </c>
      <c r="B99" s="50"/>
      <c r="C99" s="50"/>
      <c r="D99" s="50"/>
      <c r="E99" s="50"/>
      <c r="F99" s="50"/>
      <c r="G99" s="50"/>
      <c r="H99" s="3"/>
      <c r="I99" s="3"/>
      <c r="J99" s="3"/>
      <c r="K99" s="3"/>
      <c r="L99" s="3"/>
      <c r="M99" s="3"/>
    </row>
    <row r="100" spans="1:13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4.25">
      <c r="A101" s="3" t="s">
        <v>83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>
      <c r="A103" s="3" t="s">
        <v>84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>
      <c r="A105" s="3" t="s">
        <v>85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7.25" customHeight="1">
      <c r="A107" s="4" t="s">
        <v>86</v>
      </c>
      <c r="B107" s="4"/>
      <c r="C107" s="4"/>
      <c r="D107" s="4"/>
      <c r="E107" s="4"/>
      <c r="F107" s="4"/>
      <c r="G107" s="4"/>
      <c r="H107" s="3"/>
      <c r="I107" s="3"/>
      <c r="J107" s="3"/>
      <c r="K107" s="3"/>
      <c r="L107" s="3"/>
      <c r="M107" s="3"/>
    </row>
    <row r="108" spans="1:13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>
      <c r="A109" s="3" t="s">
        <v>87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3.5" customHeight="1">
      <c r="A111" s="4" t="s">
        <v>88</v>
      </c>
      <c r="B111" s="4"/>
      <c r="C111" s="4"/>
      <c r="D111" s="4"/>
      <c r="E111" s="4"/>
      <c r="F111" s="4"/>
      <c r="G111" s="4"/>
      <c r="H111" s="3"/>
      <c r="I111" s="3"/>
      <c r="J111" s="3"/>
      <c r="K111" s="3"/>
      <c r="L111" s="3"/>
      <c r="M111" s="3"/>
    </row>
    <row r="112" spans="1:1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>
      <c r="A113" s="3" t="s">
        <v>5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14.75">
      <c r="A115" s="14" t="s">
        <v>89</v>
      </c>
      <c r="B115" s="14" t="s">
        <v>90</v>
      </c>
      <c r="C115" s="39" t="s">
        <v>91</v>
      </c>
      <c r="D115" s="14" t="s">
        <v>92</v>
      </c>
      <c r="E115" s="14" t="s">
        <v>93</v>
      </c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36">
        <f>C42</f>
        <v>26564.735849056604</v>
      </c>
      <c r="B116" s="36">
        <f>E42</f>
        <v>1.2552340988301274</v>
      </c>
      <c r="C116" s="23">
        <f>C95</f>
        <v>11786.981132075472</v>
      </c>
      <c r="D116" s="23">
        <f>D95</f>
        <v>0.7117878695714812</v>
      </c>
      <c r="E116" s="36">
        <f>(A116*B116+C116*D116)*F18</f>
        <v>2211944</v>
      </c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00.5" customHeight="1">
      <c r="A118" s="12" t="s">
        <v>259</v>
      </c>
      <c r="B118" s="12"/>
      <c r="C118" s="12"/>
      <c r="D118" s="12"/>
      <c r="E118" s="12"/>
      <c r="F118" s="12"/>
      <c r="G118" s="12"/>
      <c r="H118" s="3"/>
      <c r="I118" s="3"/>
      <c r="J118" s="3"/>
      <c r="K118" s="3"/>
      <c r="L118" s="3"/>
      <c r="M118" s="3"/>
    </row>
    <row r="119" spans="1:13" ht="12.75">
      <c r="A119" s="3"/>
      <c r="B119" s="3"/>
      <c r="C119" s="3"/>
      <c r="D119" s="3" t="s">
        <v>95</v>
      </c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>
      <c r="A121" s="3" t="s">
        <v>96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>
      <c r="A123" s="3" t="s">
        <v>97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>
      <c r="A125" s="3" t="s">
        <v>98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>
      <c r="A127" s="3" t="s">
        <v>99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40.25">
      <c r="A129" s="74" t="s">
        <v>100</v>
      </c>
      <c r="B129" s="9" t="s">
        <v>101</v>
      </c>
      <c r="C129" s="74" t="s">
        <v>102</v>
      </c>
      <c r="D129" s="74" t="s">
        <v>103</v>
      </c>
      <c r="E129" s="53"/>
      <c r="F129" s="53"/>
      <c r="G129" s="53"/>
      <c r="H129" s="3"/>
      <c r="I129" s="3"/>
      <c r="J129" s="3"/>
      <c r="K129" s="3"/>
      <c r="L129" s="3"/>
      <c r="M129" s="3"/>
    </row>
    <row r="130" spans="1:13" ht="12.75">
      <c r="A130" s="54">
        <f>3582477+34669+42075+19655</f>
        <v>3678876</v>
      </c>
      <c r="B130" s="54">
        <f>432000+130464</f>
        <v>562464</v>
      </c>
      <c r="C130" s="55">
        <f>216000+65232</f>
        <v>281232</v>
      </c>
      <c r="D130" s="56">
        <f>A130+B130+C130</f>
        <v>4522572</v>
      </c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>
      <c r="A133" s="68" t="s">
        <v>107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16" t="s">
        <v>108</v>
      </c>
      <c r="B135" s="16">
        <v>0</v>
      </c>
      <c r="C135" s="16"/>
      <c r="D135" s="62">
        <v>495117</v>
      </c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>
      <c r="A136" s="16" t="s">
        <v>109</v>
      </c>
      <c r="B136" s="16">
        <v>0</v>
      </c>
      <c r="C136" s="16"/>
      <c r="D136" s="62">
        <v>149525</v>
      </c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21" t="s">
        <v>50</v>
      </c>
      <c r="B137" s="21">
        <f>B135+B136</f>
        <v>0</v>
      </c>
      <c r="C137" s="21"/>
      <c r="D137" s="64">
        <f>D135+D136</f>
        <v>644642</v>
      </c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6:13" ht="12.75">
      <c r="F366" s="3"/>
      <c r="G366" s="3"/>
      <c r="H366" s="3"/>
      <c r="I366" s="3"/>
      <c r="J366" s="3"/>
      <c r="K366" s="3"/>
      <c r="L366" s="3"/>
      <c r="M366" s="3"/>
    </row>
  </sheetData>
  <sheetProtection selectLockedCells="1" selectUnlockedCells="1"/>
  <mergeCells count="19">
    <mergeCell ref="A2:G2"/>
    <mergeCell ref="A4:G4"/>
    <mergeCell ref="A5:A6"/>
    <mergeCell ref="B5:C5"/>
    <mergeCell ref="D5:D6"/>
    <mergeCell ref="B6:C6"/>
    <mergeCell ref="A11:G11"/>
    <mergeCell ref="A20:G20"/>
    <mergeCell ref="A44:G44"/>
    <mergeCell ref="A55:G55"/>
    <mergeCell ref="A71:G71"/>
    <mergeCell ref="A80:G80"/>
    <mergeCell ref="A90:G90"/>
    <mergeCell ref="A92:G92"/>
    <mergeCell ref="A97:G97"/>
    <mergeCell ref="A99:G99"/>
    <mergeCell ref="A107:G107"/>
    <mergeCell ref="A111:G111"/>
    <mergeCell ref="A118:G118"/>
  </mergeCells>
  <printOptions/>
  <pageMargins left="0.7083333333333334" right="0.7083333333333334" top="0.7479166666666667" bottom="0.7479166666666667" header="0.5118055555555555" footer="0.5118055555555555"/>
  <pageSetup fitToHeight="3" fitToWidth="1"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M366"/>
  <sheetViews>
    <sheetView workbookViewId="0" topLeftCell="A121">
      <selection activeCell="A130" sqref="A130"/>
    </sheetView>
  </sheetViews>
  <sheetFormatPr defaultColWidth="8.00390625" defaultRowHeight="12.75"/>
  <cols>
    <col min="1" max="1" width="18.00390625" style="0" customWidth="1"/>
    <col min="2" max="2" width="13.625" style="0" customWidth="1"/>
    <col min="3" max="3" width="13.00390625" style="0" customWidth="1"/>
    <col min="4" max="4" width="12.375" style="0" customWidth="1"/>
    <col min="5" max="5" width="15.625" style="0" customWidth="1"/>
    <col min="6" max="6" width="12.75390625" style="0" customWidth="1"/>
    <col min="7" max="7" width="13.625" style="0" customWidth="1"/>
    <col min="8" max="16384" width="9.00390625" style="0" customWidth="1"/>
  </cols>
  <sheetData>
    <row r="2" spans="1:13" ht="59.25" customHeight="1">
      <c r="A2" s="1" t="s">
        <v>260</v>
      </c>
      <c r="B2" s="1"/>
      <c r="C2" s="1"/>
      <c r="D2" s="1"/>
      <c r="E2" s="1"/>
      <c r="F2" s="1"/>
      <c r="G2" s="1"/>
      <c r="H2" s="2"/>
      <c r="I2" s="2"/>
      <c r="J2" s="2"/>
      <c r="K2" s="3"/>
      <c r="L2" s="3"/>
      <c r="M2" s="3"/>
    </row>
    <row r="3" spans="1:1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40.5" customHeight="1">
      <c r="A4" s="4" t="s">
        <v>1</v>
      </c>
      <c r="B4" s="4"/>
      <c r="C4" s="4"/>
      <c r="D4" s="4"/>
      <c r="E4" s="4"/>
      <c r="F4" s="4"/>
      <c r="G4" s="4"/>
      <c r="H4" s="3"/>
      <c r="I4" s="3"/>
      <c r="J4" s="3"/>
      <c r="K4" s="3"/>
      <c r="L4" s="3"/>
      <c r="M4" s="3"/>
    </row>
    <row r="5" spans="1:13" ht="12.75" customHeight="1">
      <c r="A5" s="5" t="s">
        <v>2</v>
      </c>
      <c r="B5" s="6" t="s">
        <v>3</v>
      </c>
      <c r="C5" s="6"/>
      <c r="D5" s="7" t="s">
        <v>4</v>
      </c>
      <c r="E5" s="3"/>
      <c r="F5" s="3"/>
      <c r="G5" s="3"/>
      <c r="H5" s="3"/>
      <c r="I5" s="3"/>
      <c r="J5" s="3"/>
      <c r="K5" s="3"/>
      <c r="L5" s="3"/>
      <c r="M5" s="3"/>
    </row>
    <row r="6" spans="1:13" ht="12.75" customHeight="1">
      <c r="A6" s="5"/>
      <c r="B6" s="8">
        <v>12</v>
      </c>
      <c r="C6" s="8"/>
      <c r="D6" s="7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 s="3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 s="3" t="s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42" customHeight="1">
      <c r="A11" s="4" t="s">
        <v>7</v>
      </c>
      <c r="B11" s="4"/>
      <c r="C11" s="4"/>
      <c r="D11" s="4"/>
      <c r="E11" s="4"/>
      <c r="F11" s="4"/>
      <c r="G11" s="4"/>
      <c r="H11" s="3"/>
      <c r="I11" s="3"/>
      <c r="J11" s="3"/>
      <c r="K11" s="3"/>
      <c r="L11" s="3"/>
      <c r="M11" s="3"/>
    </row>
    <row r="12" spans="1:1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 s="3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3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99" customHeight="1">
      <c r="A17" s="9" t="s">
        <v>10</v>
      </c>
      <c r="B17" s="9" t="s">
        <v>119</v>
      </c>
      <c r="C17" s="10" t="s">
        <v>12</v>
      </c>
      <c r="D17" s="9" t="s">
        <v>126</v>
      </c>
      <c r="E17" s="9" t="s">
        <v>111</v>
      </c>
      <c r="F17" s="9" t="s">
        <v>15</v>
      </c>
      <c r="G17" s="3"/>
      <c r="H17" s="3"/>
      <c r="I17" s="3"/>
      <c r="J17" s="3"/>
      <c r="K17" s="3"/>
      <c r="L17" s="3"/>
      <c r="M17" s="3"/>
    </row>
    <row r="18" spans="1:13" ht="29.25" customHeight="1">
      <c r="A18" s="9">
        <v>57</v>
      </c>
      <c r="B18" s="10">
        <v>0</v>
      </c>
      <c r="C18" s="9">
        <v>10</v>
      </c>
      <c r="D18" s="9">
        <v>10</v>
      </c>
      <c r="E18" s="11">
        <v>0</v>
      </c>
      <c r="F18" s="11">
        <v>54</v>
      </c>
      <c r="G18" s="3"/>
      <c r="H18" s="3"/>
      <c r="I18" s="3"/>
      <c r="J18" s="3"/>
      <c r="K18" s="3"/>
      <c r="L18" s="3"/>
      <c r="M18" s="3"/>
    </row>
    <row r="19" spans="1:1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27" customHeight="1">
      <c r="A20" s="12" t="s">
        <v>16</v>
      </c>
      <c r="B20" s="12"/>
      <c r="C20" s="12"/>
      <c r="D20" s="12"/>
      <c r="E20" s="12"/>
      <c r="F20" s="12"/>
      <c r="G20" s="12"/>
      <c r="H20" s="13"/>
      <c r="I20" s="13"/>
      <c r="J20" s="13"/>
      <c r="K20" s="3"/>
      <c r="L20" s="3"/>
      <c r="M20" s="3"/>
    </row>
    <row r="21" spans="1:13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 s="3" t="s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3" t="s">
        <v>18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3" t="s">
        <v>19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 s="3" t="s">
        <v>20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 t="s">
        <v>21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 s="3" t="s">
        <v>22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s="3" t="s">
        <v>23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63.75" customHeight="1">
      <c r="A36" s="14" t="s">
        <v>24</v>
      </c>
      <c r="B36" s="15" t="s">
        <v>25</v>
      </c>
      <c r="C36" s="14" t="s">
        <v>26</v>
      </c>
      <c r="D36" s="14" t="s">
        <v>27</v>
      </c>
      <c r="E36" s="14" t="s">
        <v>28</v>
      </c>
      <c r="F36" s="14" t="s">
        <v>29</v>
      </c>
      <c r="G36" s="3"/>
      <c r="H36" s="3"/>
      <c r="I36" s="3"/>
      <c r="J36" s="3"/>
      <c r="K36" s="3"/>
      <c r="L36" s="3"/>
      <c r="M36" s="3"/>
    </row>
    <row r="37" spans="1:13" ht="12.75">
      <c r="A37" s="16" t="s">
        <v>30</v>
      </c>
      <c r="B37" s="17">
        <f>F18</f>
        <v>54</v>
      </c>
      <c r="C37" s="18">
        <f>F53</f>
        <v>21172.977777777774</v>
      </c>
      <c r="D37" s="18">
        <f>E53</f>
        <v>1143340.8</v>
      </c>
      <c r="E37" s="19">
        <f>G53</f>
        <v>0.6128796418355752</v>
      </c>
      <c r="F37" s="18">
        <f aca="true" t="shared" si="0" ref="F37:F40">D37*E37</f>
        <v>700730.3</v>
      </c>
      <c r="G37" s="3"/>
      <c r="H37" s="3"/>
      <c r="I37" s="3"/>
      <c r="J37" s="3"/>
      <c r="K37" s="3"/>
      <c r="L37" s="3"/>
      <c r="M37" s="3"/>
    </row>
    <row r="38" spans="1:13" ht="12.75">
      <c r="A38" s="16" t="s">
        <v>31</v>
      </c>
      <c r="B38" s="17">
        <f aca="true" t="shared" si="1" ref="B38:B41">B37</f>
        <v>54</v>
      </c>
      <c r="C38" s="18">
        <f>F69</f>
        <v>29604.262962962966</v>
      </c>
      <c r="D38" s="18">
        <f>E69</f>
        <v>1598630.2</v>
      </c>
      <c r="E38" s="19">
        <f>G69</f>
        <v>0.6205335667998765</v>
      </c>
      <c r="F38" s="18">
        <f t="shared" si="0"/>
        <v>992003.6999999998</v>
      </c>
      <c r="G38" s="3"/>
      <c r="H38" s="3"/>
      <c r="I38" s="3"/>
      <c r="J38" s="3"/>
      <c r="K38" s="3"/>
      <c r="L38" s="3"/>
      <c r="M38" s="3"/>
    </row>
    <row r="39" spans="1:13" ht="12.75">
      <c r="A39" s="16" t="s">
        <v>32</v>
      </c>
      <c r="B39" s="17">
        <f t="shared" si="1"/>
        <v>54</v>
      </c>
      <c r="C39" s="18">
        <f>C78</f>
        <v>1351.3333333333335</v>
      </c>
      <c r="D39" s="18">
        <f>B78</f>
        <v>72972</v>
      </c>
      <c r="E39" s="19">
        <f>D78</f>
        <v>0.711779860768514</v>
      </c>
      <c r="F39" s="18">
        <f t="shared" si="0"/>
        <v>51940</v>
      </c>
      <c r="G39" s="3"/>
      <c r="H39" s="3"/>
      <c r="I39" s="3"/>
      <c r="J39" s="3"/>
      <c r="K39" s="3"/>
      <c r="L39" s="3"/>
      <c r="M39" s="3"/>
    </row>
    <row r="40" spans="1:13" ht="12.75">
      <c r="A40" s="16" t="s">
        <v>33</v>
      </c>
      <c r="B40" s="17">
        <f t="shared" si="1"/>
        <v>54</v>
      </c>
      <c r="C40" s="18">
        <f>F88</f>
        <v>0</v>
      </c>
      <c r="D40" s="18">
        <f>E88</f>
        <v>0</v>
      </c>
      <c r="E40" s="19">
        <v>0</v>
      </c>
      <c r="F40" s="18">
        <f t="shared" si="0"/>
        <v>0</v>
      </c>
      <c r="G40" s="3"/>
      <c r="H40" s="3"/>
      <c r="I40" s="3"/>
      <c r="J40" s="3"/>
      <c r="K40" s="3"/>
      <c r="L40" s="3"/>
      <c r="M40" s="3"/>
    </row>
    <row r="41" spans="1:13" ht="12.75">
      <c r="A41" s="16" t="s">
        <v>34</v>
      </c>
      <c r="B41" s="17">
        <f t="shared" si="1"/>
        <v>54</v>
      </c>
      <c r="C41" s="18">
        <v>0</v>
      </c>
      <c r="D41" s="18">
        <v>0</v>
      </c>
      <c r="E41" s="19">
        <v>1</v>
      </c>
      <c r="F41" s="18">
        <f>D137</f>
        <v>377313</v>
      </c>
      <c r="G41" s="3"/>
      <c r="H41" s="3"/>
      <c r="I41" s="3"/>
      <c r="J41" s="3"/>
      <c r="K41" s="3"/>
      <c r="L41" s="3"/>
      <c r="M41" s="3"/>
    </row>
    <row r="42" spans="1:13" ht="12.75">
      <c r="A42" s="20" t="s">
        <v>35</v>
      </c>
      <c r="B42" s="21"/>
      <c r="C42" s="22">
        <f>D42/B40</f>
        <v>52128.57407407407</v>
      </c>
      <c r="D42" s="22">
        <f>SUM(D37:D40)</f>
        <v>2814943</v>
      </c>
      <c r="E42" s="23">
        <f>F42/D42</f>
        <v>0.753829473634102</v>
      </c>
      <c r="F42" s="18">
        <f>F37+F38+F39+F40+F41</f>
        <v>2121987</v>
      </c>
      <c r="G42" s="24">
        <f>F42+E95</f>
        <v>2573344</v>
      </c>
      <c r="H42" s="3"/>
      <c r="I42" s="3"/>
      <c r="J42" s="3"/>
      <c r="K42" s="3"/>
      <c r="L42" s="3"/>
      <c r="M42" s="3"/>
    </row>
    <row r="43" spans="1:13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30.75" customHeight="1">
      <c r="A44" s="25" t="s">
        <v>261</v>
      </c>
      <c r="B44" s="25"/>
      <c r="C44" s="25"/>
      <c r="D44" s="25"/>
      <c r="E44" s="25"/>
      <c r="F44" s="25"/>
      <c r="G44" s="25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3" t="s">
        <v>37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63.75">
      <c r="A48" s="14" t="s">
        <v>38</v>
      </c>
      <c r="B48" s="14" t="s">
        <v>39</v>
      </c>
      <c r="C48" s="14" t="s">
        <v>40</v>
      </c>
      <c r="D48" s="14" t="s">
        <v>41</v>
      </c>
      <c r="E48" s="14" t="s">
        <v>42</v>
      </c>
      <c r="F48" s="14" t="s">
        <v>26</v>
      </c>
      <c r="G48" s="14" t="s">
        <v>28</v>
      </c>
      <c r="H48" s="3"/>
      <c r="I48" s="3"/>
      <c r="J48" s="3"/>
      <c r="K48" s="3"/>
      <c r="L48" s="3"/>
      <c r="M48" s="3"/>
    </row>
    <row r="49" spans="1:13" ht="25.5">
      <c r="A49" s="26" t="s">
        <v>43</v>
      </c>
      <c r="B49" s="27" t="s">
        <v>44</v>
      </c>
      <c r="C49" s="19">
        <f>110.1/2</f>
        <v>55.05</v>
      </c>
      <c r="D49" s="19">
        <f>E49/C49</f>
        <v>12376.966394187104</v>
      </c>
      <c r="E49" s="19">
        <f>1362704/2</f>
        <v>681352</v>
      </c>
      <c r="F49" s="19">
        <f aca="true" t="shared" si="2" ref="F49:F52">E49/$B$40</f>
        <v>12617.62962962963</v>
      </c>
      <c r="G49" s="72">
        <f>(656235/2/E49)</f>
        <v>0.48156826427456</v>
      </c>
      <c r="H49" s="3"/>
      <c r="I49" s="3"/>
      <c r="J49" s="3"/>
      <c r="K49" s="3"/>
      <c r="L49" s="3"/>
      <c r="M49" s="3"/>
    </row>
    <row r="50" spans="1:13" ht="25.5">
      <c r="A50" s="26" t="s">
        <v>45</v>
      </c>
      <c r="B50" s="27" t="s">
        <v>46</v>
      </c>
      <c r="C50" s="19">
        <v>0</v>
      </c>
      <c r="D50" s="19">
        <v>0</v>
      </c>
      <c r="E50" s="19">
        <v>0</v>
      </c>
      <c r="F50" s="19">
        <f t="shared" si="2"/>
        <v>0</v>
      </c>
      <c r="G50" s="72">
        <v>0</v>
      </c>
      <c r="H50" s="3"/>
      <c r="I50" s="3"/>
      <c r="J50" s="3"/>
      <c r="K50" s="3"/>
      <c r="L50" s="3"/>
      <c r="M50" s="3"/>
    </row>
    <row r="51" spans="1:13" ht="25.5">
      <c r="A51" s="26" t="s">
        <v>47</v>
      </c>
      <c r="B51" s="27" t="s">
        <v>48</v>
      </c>
      <c r="C51" s="19">
        <f>28900*90%</f>
        <v>26010</v>
      </c>
      <c r="D51" s="19">
        <f aca="true" t="shared" si="3" ref="D51:D52">E51/C51</f>
        <v>13.180346020761245</v>
      </c>
      <c r="E51" s="19">
        <f>380912*90%</f>
        <v>342820.8</v>
      </c>
      <c r="F51" s="19">
        <f t="shared" si="2"/>
        <v>6348.533333333333</v>
      </c>
      <c r="G51" s="72">
        <f>(380912*90%/E51)</f>
        <v>1</v>
      </c>
      <c r="H51" s="3"/>
      <c r="I51" s="3"/>
      <c r="J51" s="3"/>
      <c r="K51" s="3"/>
      <c r="L51" s="3"/>
      <c r="M51" s="3"/>
    </row>
    <row r="52" spans="1:13" ht="25.5">
      <c r="A52" s="26" t="s">
        <v>49</v>
      </c>
      <c r="B52" s="27" t="s">
        <v>46</v>
      </c>
      <c r="C52" s="19">
        <f>1200+1210</f>
        <v>2410</v>
      </c>
      <c r="D52" s="19">
        <f t="shared" si="3"/>
        <v>49.44730290456432</v>
      </c>
      <c r="E52" s="19">
        <v>119168</v>
      </c>
      <c r="F52" s="19">
        <f t="shared" si="2"/>
        <v>2206.814814814815</v>
      </c>
      <c r="G52" s="72">
        <f>(29792/E52)</f>
        <v>0.25</v>
      </c>
      <c r="H52" s="3"/>
      <c r="I52" s="3"/>
      <c r="J52" s="3"/>
      <c r="K52" s="3"/>
      <c r="L52" s="3"/>
      <c r="M52" s="3"/>
    </row>
    <row r="53" spans="1:13" ht="20.25" customHeight="1">
      <c r="A53" s="28" t="s">
        <v>50</v>
      </c>
      <c r="B53" s="29"/>
      <c r="C53" s="23"/>
      <c r="D53" s="23"/>
      <c r="E53" s="23">
        <f>E49+E50+E51+E52</f>
        <v>1143340.8</v>
      </c>
      <c r="F53" s="23">
        <f>F49+F50+F51+F52</f>
        <v>21172.977777777774</v>
      </c>
      <c r="G53" s="73">
        <f>(656235/2+380912*90%+29792)/E53</f>
        <v>0.6128796418355752</v>
      </c>
      <c r="H53" s="3"/>
      <c r="I53" s="3"/>
      <c r="J53" s="3"/>
      <c r="K53" s="3"/>
      <c r="L53" s="3"/>
      <c r="M53" s="3"/>
    </row>
    <row r="54" spans="1:13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29.25" customHeight="1">
      <c r="A55" s="25" t="s">
        <v>262</v>
      </c>
      <c r="B55" s="25"/>
      <c r="C55" s="25"/>
      <c r="D55" s="25"/>
      <c r="E55" s="25"/>
      <c r="F55" s="25"/>
      <c r="G55" s="25"/>
      <c r="H55" s="3"/>
      <c r="I55" s="3"/>
      <c r="J55" s="3"/>
      <c r="K55" s="3"/>
      <c r="L55" s="3"/>
      <c r="M55" s="3"/>
    </row>
    <row r="56" spans="1:1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75">
      <c r="A57" s="3" t="s">
        <v>52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63.75">
      <c r="A59" s="14" t="s">
        <v>38</v>
      </c>
      <c r="B59" s="14" t="s">
        <v>39</v>
      </c>
      <c r="C59" s="14" t="s">
        <v>53</v>
      </c>
      <c r="D59" s="14" t="s">
        <v>54</v>
      </c>
      <c r="E59" s="14" t="s">
        <v>42</v>
      </c>
      <c r="F59" s="14" t="s">
        <v>26</v>
      </c>
      <c r="G59" s="14" t="s">
        <v>28</v>
      </c>
      <c r="H59" s="3"/>
      <c r="I59" s="3"/>
      <c r="J59" s="3"/>
      <c r="K59" s="3"/>
      <c r="L59" s="3"/>
      <c r="M59" s="3"/>
    </row>
    <row r="60" spans="1:13" ht="45.75" customHeight="1">
      <c r="A60" s="26" t="s">
        <v>55</v>
      </c>
      <c r="B60" s="30"/>
      <c r="C60" s="19"/>
      <c r="D60" s="19"/>
      <c r="E60" s="19">
        <v>41431</v>
      </c>
      <c r="F60" s="19">
        <f aca="true" t="shared" si="4" ref="F60:F68">E60/$B$40</f>
        <v>767.2407407407408</v>
      </c>
      <c r="G60" s="72">
        <f>(29490/E60)</f>
        <v>0.711785860828848</v>
      </c>
      <c r="H60" s="3"/>
      <c r="I60" s="3"/>
      <c r="J60" s="3"/>
      <c r="K60" s="3"/>
      <c r="L60" s="3"/>
      <c r="M60" s="3"/>
    </row>
    <row r="61" spans="1:13" ht="25.5">
      <c r="A61" s="26" t="s">
        <v>56</v>
      </c>
      <c r="B61" s="30" t="s">
        <v>57</v>
      </c>
      <c r="C61" s="19">
        <v>1</v>
      </c>
      <c r="D61" s="19">
        <f>E61/C61</f>
        <v>18684</v>
      </c>
      <c r="E61" s="19">
        <v>18684</v>
      </c>
      <c r="F61" s="19">
        <f t="shared" si="4"/>
        <v>346</v>
      </c>
      <c r="G61" s="72">
        <f>(13299/E61)</f>
        <v>0.7117854849068722</v>
      </c>
      <c r="H61" s="3"/>
      <c r="I61" s="3"/>
      <c r="J61" s="3"/>
      <c r="K61" s="3"/>
      <c r="L61" s="3"/>
      <c r="M61" s="3"/>
    </row>
    <row r="62" spans="1:13" ht="18" customHeight="1">
      <c r="A62" s="26" t="s">
        <v>58</v>
      </c>
      <c r="B62" s="30"/>
      <c r="C62" s="19"/>
      <c r="D62" s="19"/>
      <c r="E62" s="19">
        <v>0</v>
      </c>
      <c r="F62" s="19">
        <f t="shared" si="4"/>
        <v>0</v>
      </c>
      <c r="G62" s="72" t="e">
        <f>(0/E62)</f>
        <v>#DIV/0!</v>
      </c>
      <c r="H62" s="3"/>
      <c r="I62" s="3"/>
      <c r="J62" s="3"/>
      <c r="K62" s="3"/>
      <c r="L62" s="3"/>
      <c r="M62" s="3"/>
    </row>
    <row r="63" spans="1:13" ht="18" customHeight="1">
      <c r="A63" s="26" t="s">
        <v>59</v>
      </c>
      <c r="B63" s="30"/>
      <c r="C63" s="19"/>
      <c r="D63" s="19"/>
      <c r="E63" s="19">
        <v>809640</v>
      </c>
      <c r="F63" s="19">
        <f t="shared" si="4"/>
        <v>14993.333333333334</v>
      </c>
      <c r="G63" s="72">
        <f>(576292/E63)</f>
        <v>0.7117879551405563</v>
      </c>
      <c r="H63" s="3"/>
      <c r="I63" s="3"/>
      <c r="J63" s="3"/>
      <c r="K63" s="3"/>
      <c r="L63" s="3"/>
      <c r="M63" s="3"/>
    </row>
    <row r="64" spans="1:13" ht="25.5">
      <c r="A64" s="26" t="s">
        <v>43</v>
      </c>
      <c r="B64" s="27" t="s">
        <v>44</v>
      </c>
      <c r="C64" s="19">
        <f>110.1/2</f>
        <v>55.05</v>
      </c>
      <c r="D64" s="19">
        <f>E64/C64</f>
        <v>12376.966394187104</v>
      </c>
      <c r="E64" s="19">
        <f>1362704/2</f>
        <v>681352</v>
      </c>
      <c r="F64" s="19">
        <f t="shared" si="4"/>
        <v>12617.62962962963</v>
      </c>
      <c r="G64" s="72">
        <f>(656235/2/E64)</f>
        <v>0.48156826427456</v>
      </c>
      <c r="H64" s="3"/>
      <c r="I64" s="3"/>
      <c r="J64" s="3"/>
      <c r="K64" s="3"/>
      <c r="L64" s="3"/>
      <c r="M64" s="3"/>
    </row>
    <row r="65" spans="1:13" ht="25.5">
      <c r="A65" s="26" t="s">
        <v>45</v>
      </c>
      <c r="B65" s="27" t="s">
        <v>46</v>
      </c>
      <c r="C65" s="19">
        <v>0</v>
      </c>
      <c r="D65" s="19">
        <v>0</v>
      </c>
      <c r="E65" s="19">
        <v>0</v>
      </c>
      <c r="F65" s="19">
        <f t="shared" si="4"/>
        <v>0</v>
      </c>
      <c r="G65" s="72">
        <v>0</v>
      </c>
      <c r="H65" s="3"/>
      <c r="I65" s="3"/>
      <c r="J65" s="3"/>
      <c r="K65" s="3"/>
      <c r="L65" s="3"/>
      <c r="M65" s="3"/>
    </row>
    <row r="66" spans="1:13" ht="25.5">
      <c r="A66" s="26" t="s">
        <v>47</v>
      </c>
      <c r="B66" s="27" t="s">
        <v>48</v>
      </c>
      <c r="C66" s="19">
        <f>28900*10%</f>
        <v>2890</v>
      </c>
      <c r="D66" s="19">
        <f>E66/C66</f>
        <v>13.180346020761247</v>
      </c>
      <c r="E66" s="19">
        <f>380912*10%</f>
        <v>38091.200000000004</v>
      </c>
      <c r="F66" s="19">
        <f t="shared" si="4"/>
        <v>705.3925925925927</v>
      </c>
      <c r="G66" s="72">
        <f>(380912*10%/E66)</f>
        <v>1</v>
      </c>
      <c r="H66" s="3"/>
      <c r="I66" s="3"/>
      <c r="J66" s="3"/>
      <c r="K66" s="3"/>
      <c r="L66" s="3"/>
      <c r="M66" s="3"/>
    </row>
    <row r="67" spans="1:13" ht="25.5" customHeight="1">
      <c r="A67" s="26" t="s">
        <v>60</v>
      </c>
      <c r="B67" s="30"/>
      <c r="C67" s="19"/>
      <c r="D67" s="19"/>
      <c r="E67" s="19">
        <v>9432</v>
      </c>
      <c r="F67" s="19">
        <f t="shared" si="4"/>
        <v>174.66666666666666</v>
      </c>
      <c r="G67" s="72">
        <f>(6714/E67)</f>
        <v>0.7118320610687023</v>
      </c>
      <c r="H67" s="3"/>
      <c r="I67" s="3"/>
      <c r="J67" s="3"/>
      <c r="K67" s="3"/>
      <c r="L67" s="3"/>
      <c r="M67" s="3"/>
    </row>
    <row r="68" spans="1:13" ht="12.75">
      <c r="A68" s="26" t="s">
        <v>61</v>
      </c>
      <c r="B68" s="30"/>
      <c r="C68" s="19"/>
      <c r="D68" s="19"/>
      <c r="E68" s="19">
        <v>0</v>
      </c>
      <c r="F68" s="19">
        <f t="shared" si="4"/>
        <v>0</v>
      </c>
      <c r="G68" s="72" t="e">
        <f>(0/E68)</f>
        <v>#DIV/0!</v>
      </c>
      <c r="H68" s="3"/>
      <c r="I68" s="3"/>
      <c r="J68" s="3"/>
      <c r="K68" s="3"/>
      <c r="L68" s="3"/>
      <c r="M68" s="3"/>
    </row>
    <row r="69" spans="1:13" ht="24.75" customHeight="1">
      <c r="A69" s="28" t="s">
        <v>50</v>
      </c>
      <c r="B69" s="31"/>
      <c r="C69" s="23"/>
      <c r="D69" s="23"/>
      <c r="E69" s="23">
        <f>SUM(E60:E68)</f>
        <v>1598630.2</v>
      </c>
      <c r="F69" s="23">
        <f>SUM(F60:F68)</f>
        <v>29604.262962962966</v>
      </c>
      <c r="G69" s="73">
        <f>(29490+13299+576292+656235/2+380912*10%+6714)/E69</f>
        <v>0.6205335667998765</v>
      </c>
      <c r="H69" s="3"/>
      <c r="I69" s="3"/>
      <c r="J69" s="3"/>
      <c r="K69" s="3"/>
      <c r="L69" s="3"/>
      <c r="M69" s="3"/>
    </row>
    <row r="70" spans="1:13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26.25" customHeight="1">
      <c r="A71" s="25" t="s">
        <v>263</v>
      </c>
      <c r="B71" s="25"/>
      <c r="C71" s="25"/>
      <c r="D71" s="25"/>
      <c r="E71" s="25"/>
      <c r="F71" s="25"/>
      <c r="G71" s="25"/>
      <c r="H71" s="3"/>
      <c r="I71" s="3"/>
      <c r="J71" s="3"/>
      <c r="K71" s="3"/>
      <c r="L71" s="3"/>
      <c r="M71" s="3"/>
    </row>
    <row r="72" spans="1:13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>
      <c r="A73" s="3" t="s">
        <v>63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63.75">
      <c r="A75" s="14" t="s">
        <v>38</v>
      </c>
      <c r="B75" s="14" t="s">
        <v>42</v>
      </c>
      <c r="C75" s="14" t="s">
        <v>26</v>
      </c>
      <c r="D75" s="14" t="s">
        <v>28</v>
      </c>
      <c r="E75" s="32"/>
      <c r="F75" s="32"/>
      <c r="G75" s="32"/>
      <c r="H75" s="3"/>
      <c r="I75" s="3"/>
      <c r="J75" s="3"/>
      <c r="K75" s="3"/>
      <c r="L75" s="3"/>
      <c r="M75" s="3"/>
    </row>
    <row r="76" spans="1:13" ht="51">
      <c r="A76" s="26" t="s">
        <v>64</v>
      </c>
      <c r="B76" s="33">
        <v>711</v>
      </c>
      <c r="C76" s="19">
        <f aca="true" t="shared" si="5" ref="C76:C77">B76/$B$40</f>
        <v>13.166666666666666</v>
      </c>
      <c r="D76" s="72">
        <f>(506/B76)</f>
        <v>0.7116736990154712</v>
      </c>
      <c r="E76" s="34"/>
      <c r="F76" s="35"/>
      <c r="G76" s="35"/>
      <c r="H76" s="3"/>
      <c r="I76" s="3"/>
      <c r="J76" s="3"/>
      <c r="K76" s="3"/>
      <c r="L76" s="3"/>
      <c r="M76" s="3"/>
    </row>
    <row r="77" spans="1:13" ht="19.5" customHeight="1">
      <c r="A77" s="26" t="s">
        <v>65</v>
      </c>
      <c r="B77" s="33">
        <f>54806+17455</f>
        <v>72261</v>
      </c>
      <c r="C77" s="19">
        <f t="shared" si="5"/>
        <v>1338.1666666666667</v>
      </c>
      <c r="D77" s="72">
        <f>(39010+12424)/B77</f>
        <v>0.7117809053292924</v>
      </c>
      <c r="E77" s="34"/>
      <c r="F77" s="35"/>
      <c r="G77" s="35"/>
      <c r="H77" s="3"/>
      <c r="I77" s="3"/>
      <c r="J77" s="3"/>
      <c r="K77" s="3"/>
      <c r="L77" s="3"/>
      <c r="M77" s="3"/>
    </row>
    <row r="78" spans="1:13" ht="27" customHeight="1">
      <c r="A78" s="28" t="s">
        <v>50</v>
      </c>
      <c r="B78" s="36">
        <f>SUM(B76:B77)</f>
        <v>72972</v>
      </c>
      <c r="C78" s="36">
        <f>SUM(C76:C77)</f>
        <v>1351.3333333333335</v>
      </c>
      <c r="D78" s="75">
        <f>(39010+12424+506)/B78</f>
        <v>0.711779860768514</v>
      </c>
      <c r="E78" s="37"/>
      <c r="F78" s="37"/>
      <c r="G78" s="37"/>
      <c r="H78" s="3"/>
      <c r="I78" s="3"/>
      <c r="J78" s="3"/>
      <c r="K78" s="3"/>
      <c r="L78" s="3"/>
      <c r="M78" s="3"/>
    </row>
    <row r="79" spans="1:13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29.25" customHeight="1">
      <c r="A80" s="25" t="s">
        <v>66</v>
      </c>
      <c r="B80" s="25"/>
      <c r="C80" s="25"/>
      <c r="D80" s="25"/>
      <c r="E80" s="25"/>
      <c r="F80" s="25"/>
      <c r="G80" s="25"/>
      <c r="H80" s="3"/>
      <c r="I80" s="3"/>
      <c r="J80" s="3"/>
      <c r="K80" s="3"/>
      <c r="L80" s="3"/>
      <c r="M80" s="3"/>
    </row>
    <row r="81" spans="1:13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 hidden="1">
      <c r="A82" s="3" t="s">
        <v>67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63.75" hidden="1">
      <c r="A84" s="38" t="s">
        <v>68</v>
      </c>
      <c r="B84" s="10" t="s">
        <v>69</v>
      </c>
      <c r="C84" s="14" t="s">
        <v>54</v>
      </c>
      <c r="D84" s="10" t="s">
        <v>70</v>
      </c>
      <c r="E84" s="39" t="s">
        <v>71</v>
      </c>
      <c r="F84" s="14" t="s">
        <v>26</v>
      </c>
      <c r="G84" s="14" t="s">
        <v>28</v>
      </c>
      <c r="H84" s="3"/>
      <c r="I84" s="3"/>
      <c r="J84" s="3"/>
      <c r="K84" s="3"/>
      <c r="L84" s="3"/>
      <c r="M84" s="3"/>
    </row>
    <row r="85" spans="1:13" ht="12.75" hidden="1">
      <c r="A85" s="40" t="s">
        <v>72</v>
      </c>
      <c r="B85" s="41">
        <v>1</v>
      </c>
      <c r="C85" s="42">
        <f aca="true" t="shared" si="6" ref="C85:C86">E85/D85/B85</f>
        <v>0</v>
      </c>
      <c r="D85" s="43">
        <v>12</v>
      </c>
      <c r="E85" s="44">
        <v>0</v>
      </c>
      <c r="F85" s="19">
        <f aca="true" t="shared" si="7" ref="F85:F88">E85/$B$40</f>
        <v>0</v>
      </c>
      <c r="G85" s="72" t="e">
        <f aca="true" t="shared" si="8" ref="G85:G87">(0/E85)</f>
        <v>#DIV/0!</v>
      </c>
      <c r="H85" s="3"/>
      <c r="I85" s="3"/>
      <c r="J85" s="3"/>
      <c r="K85" s="3"/>
      <c r="L85" s="3"/>
      <c r="M85" s="3"/>
    </row>
    <row r="86" spans="1:13" ht="12.75" hidden="1">
      <c r="A86" s="40" t="s">
        <v>73</v>
      </c>
      <c r="B86" s="39">
        <v>1</v>
      </c>
      <c r="C86" s="42">
        <f t="shared" si="6"/>
        <v>0</v>
      </c>
      <c r="D86" s="43">
        <v>12</v>
      </c>
      <c r="E86" s="44">
        <v>0</v>
      </c>
      <c r="F86" s="19">
        <f t="shared" si="7"/>
        <v>0</v>
      </c>
      <c r="G86" s="72" t="e">
        <f t="shared" si="8"/>
        <v>#DIV/0!</v>
      </c>
      <c r="H86" s="3"/>
      <c r="I86" s="3"/>
      <c r="J86" s="3"/>
      <c r="K86" s="3"/>
      <c r="L86" s="3"/>
      <c r="M86" s="3"/>
    </row>
    <row r="87" spans="1:13" ht="12.75" hidden="1">
      <c r="A87" s="40" t="s">
        <v>74</v>
      </c>
      <c r="B87" s="41"/>
      <c r="C87" s="41"/>
      <c r="D87" s="43"/>
      <c r="E87" s="44">
        <v>0</v>
      </c>
      <c r="F87" s="19">
        <f t="shared" si="7"/>
        <v>0</v>
      </c>
      <c r="G87" s="72" t="e">
        <f t="shared" si="8"/>
        <v>#DIV/0!</v>
      </c>
      <c r="H87" s="3"/>
      <c r="I87" s="3"/>
      <c r="J87" s="3"/>
      <c r="K87" s="3"/>
      <c r="L87" s="3"/>
      <c r="M87" s="3"/>
    </row>
    <row r="88" spans="1:13" ht="12.75" hidden="1">
      <c r="A88" s="45" t="s">
        <v>75</v>
      </c>
      <c r="B88" s="46"/>
      <c r="C88" s="46"/>
      <c r="D88" s="46"/>
      <c r="E88" s="47">
        <f>E85+E86+E87</f>
        <v>0</v>
      </c>
      <c r="F88" s="23">
        <f t="shared" si="7"/>
        <v>0</v>
      </c>
      <c r="G88" s="73" t="e">
        <f>0/E88</f>
        <v>#DIV/0!</v>
      </c>
      <c r="H88" s="3"/>
      <c r="I88" s="3"/>
      <c r="J88" s="3"/>
      <c r="K88" s="3"/>
      <c r="L88" s="3"/>
      <c r="M88" s="3"/>
    </row>
    <row r="89" spans="1:13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25.5" customHeight="1" hidden="1">
      <c r="A90" s="25" t="s">
        <v>234</v>
      </c>
      <c r="B90" s="25"/>
      <c r="C90" s="25"/>
      <c r="D90" s="25"/>
      <c r="E90" s="25"/>
      <c r="F90" s="25"/>
      <c r="G90" s="25"/>
      <c r="H90" s="3"/>
      <c r="I90" s="3"/>
      <c r="J90" s="3"/>
      <c r="K90" s="3"/>
      <c r="L90" s="3"/>
      <c r="M90" s="3"/>
    </row>
    <row r="91" spans="1:1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45" customHeight="1">
      <c r="A92" s="12" t="s">
        <v>77</v>
      </c>
      <c r="B92" s="12"/>
      <c r="C92" s="12"/>
      <c r="D92" s="12"/>
      <c r="E92" s="12"/>
      <c r="F92" s="12"/>
      <c r="G92" s="12"/>
      <c r="H92" s="13"/>
      <c r="I92" s="13"/>
      <c r="J92" s="13"/>
      <c r="K92" s="3"/>
      <c r="L92" s="3"/>
      <c r="M92" s="3"/>
    </row>
    <row r="93" spans="1:1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63.75">
      <c r="A94" s="14" t="s">
        <v>38</v>
      </c>
      <c r="B94" s="39" t="s">
        <v>71</v>
      </c>
      <c r="C94" s="14" t="s">
        <v>26</v>
      </c>
      <c r="D94" s="14" t="s">
        <v>28</v>
      </c>
      <c r="E94" s="48" t="s">
        <v>78</v>
      </c>
      <c r="F94" s="16" t="s">
        <v>79</v>
      </c>
      <c r="G94" s="3"/>
      <c r="H94" s="3"/>
      <c r="I94" s="3"/>
      <c r="J94" s="3"/>
      <c r="K94" s="3"/>
      <c r="L94" s="3"/>
      <c r="M94" s="3"/>
    </row>
    <row r="95" spans="1:13" ht="12.75">
      <c r="A95" s="49" t="s">
        <v>80</v>
      </c>
      <c r="B95" s="36">
        <v>544352</v>
      </c>
      <c r="C95" s="23">
        <f>B95/$B$40</f>
        <v>10080.592592592593</v>
      </c>
      <c r="D95" s="73">
        <f>451357/B95</f>
        <v>0.8291638498618541</v>
      </c>
      <c r="E95" s="18">
        <f>B95*D95</f>
        <v>451357</v>
      </c>
      <c r="F95" s="18">
        <f>E95-B95</f>
        <v>-92995</v>
      </c>
      <c r="G95" s="3"/>
      <c r="H95" s="3"/>
      <c r="I95" s="3"/>
      <c r="J95" s="3"/>
      <c r="K95" s="3"/>
      <c r="L95" s="3"/>
      <c r="M95" s="3"/>
    </row>
    <row r="96" spans="1:1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34.5" customHeight="1">
      <c r="A97" s="25" t="s">
        <v>264</v>
      </c>
      <c r="B97" s="25"/>
      <c r="C97" s="25"/>
      <c r="D97" s="25"/>
      <c r="E97" s="25"/>
      <c r="F97" s="25"/>
      <c r="G97" s="25"/>
      <c r="H97" s="3"/>
      <c r="I97" s="3"/>
      <c r="J97" s="3"/>
      <c r="K97" s="3"/>
      <c r="L97" s="3"/>
      <c r="M97" s="3"/>
    </row>
    <row r="98" spans="1:1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48.75" customHeight="1">
      <c r="A99" s="50" t="s">
        <v>265</v>
      </c>
      <c r="B99" s="50"/>
      <c r="C99" s="50"/>
      <c r="D99" s="50"/>
      <c r="E99" s="50"/>
      <c r="F99" s="50"/>
      <c r="G99" s="50"/>
      <c r="H99" s="3"/>
      <c r="I99" s="3"/>
      <c r="J99" s="3"/>
      <c r="K99" s="3"/>
      <c r="L99" s="3"/>
      <c r="M99" s="3"/>
    </row>
    <row r="100" spans="1:13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4.25">
      <c r="A101" s="3" t="s">
        <v>83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>
      <c r="A103" s="3" t="s">
        <v>84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>
      <c r="A105" s="3" t="s">
        <v>85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7.25" customHeight="1">
      <c r="A107" s="4" t="s">
        <v>86</v>
      </c>
      <c r="B107" s="4"/>
      <c r="C107" s="4"/>
      <c r="D107" s="4"/>
      <c r="E107" s="4"/>
      <c r="F107" s="4"/>
      <c r="G107" s="4"/>
      <c r="H107" s="3"/>
      <c r="I107" s="3"/>
      <c r="J107" s="3"/>
      <c r="K107" s="3"/>
      <c r="L107" s="3"/>
      <c r="M107" s="3"/>
    </row>
    <row r="108" spans="1:13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>
      <c r="A109" s="3" t="s">
        <v>87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3.5" customHeight="1">
      <c r="A111" s="4" t="s">
        <v>88</v>
      </c>
      <c r="B111" s="4"/>
      <c r="C111" s="4"/>
      <c r="D111" s="4"/>
      <c r="E111" s="4"/>
      <c r="F111" s="4"/>
      <c r="G111" s="4"/>
      <c r="H111" s="3"/>
      <c r="I111" s="3"/>
      <c r="J111" s="3"/>
      <c r="K111" s="3"/>
      <c r="L111" s="3"/>
      <c r="M111" s="3"/>
    </row>
    <row r="112" spans="1:1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>
      <c r="A113" s="3" t="s">
        <v>5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14.75">
      <c r="A115" s="14" t="s">
        <v>89</v>
      </c>
      <c r="B115" s="14" t="s">
        <v>90</v>
      </c>
      <c r="C115" s="39" t="s">
        <v>91</v>
      </c>
      <c r="D115" s="14" t="s">
        <v>92</v>
      </c>
      <c r="E115" s="14" t="s">
        <v>93</v>
      </c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36">
        <f>C42</f>
        <v>52128.57407407407</v>
      </c>
      <c r="B116" s="36">
        <f>E42</f>
        <v>0.753829473634102</v>
      </c>
      <c r="C116" s="23">
        <f>C95</f>
        <v>10080.592592592593</v>
      </c>
      <c r="D116" s="23">
        <f>D95</f>
        <v>0.8291638498618541</v>
      </c>
      <c r="E116" s="36">
        <f>(A116*B116+C116*D116)*F18</f>
        <v>2573344</v>
      </c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11.75" customHeight="1">
      <c r="A118" s="12" t="s">
        <v>266</v>
      </c>
      <c r="B118" s="12"/>
      <c r="C118" s="12"/>
      <c r="D118" s="12"/>
      <c r="E118" s="12"/>
      <c r="F118" s="12"/>
      <c r="G118" s="12"/>
      <c r="H118" s="3"/>
      <c r="I118" s="3"/>
      <c r="J118" s="3"/>
      <c r="K118" s="3"/>
      <c r="L118" s="3"/>
      <c r="M118" s="3"/>
    </row>
    <row r="119" spans="1:13" ht="12.75">
      <c r="A119" s="3"/>
      <c r="B119" s="3"/>
      <c r="C119" s="3"/>
      <c r="D119" s="3" t="s">
        <v>95</v>
      </c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>
      <c r="A121" s="3" t="s">
        <v>96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>
      <c r="A123" s="3" t="s">
        <v>97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>
      <c r="A125" s="3" t="s">
        <v>98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>
      <c r="A127" s="3" t="s">
        <v>99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40.25">
      <c r="A129" s="74" t="s">
        <v>100</v>
      </c>
      <c r="B129" s="9" t="s">
        <v>101</v>
      </c>
      <c r="C129" s="74" t="s">
        <v>102</v>
      </c>
      <c r="D129" s="74" t="s">
        <v>103</v>
      </c>
      <c r="E129" s="53"/>
      <c r="F129" s="53"/>
      <c r="G129" s="53"/>
      <c r="H129" s="3"/>
      <c r="I129" s="3"/>
      <c r="J129" s="3"/>
      <c r="K129" s="3"/>
      <c r="L129" s="3"/>
      <c r="M129" s="3"/>
    </row>
    <row r="130" spans="1:13" ht="12.75">
      <c r="A130" s="54">
        <f>3890660+28234+53222+15021+2000</f>
        <v>3989137</v>
      </c>
      <c r="B130" s="54">
        <f>504000+152208</f>
        <v>656208</v>
      </c>
      <c r="C130" s="55">
        <f>288000+86976</f>
        <v>374976</v>
      </c>
      <c r="D130" s="56">
        <f>A130+B130+C130</f>
        <v>5020321</v>
      </c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>
      <c r="A133" s="68" t="s">
        <v>107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16" t="s">
        <v>108</v>
      </c>
      <c r="B135" s="16">
        <v>0</v>
      </c>
      <c r="C135" s="16"/>
      <c r="D135" s="62">
        <f>289334+600</f>
        <v>289934</v>
      </c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>
      <c r="A136" s="16" t="s">
        <v>109</v>
      </c>
      <c r="B136" s="16">
        <v>0</v>
      </c>
      <c r="C136" s="16"/>
      <c r="D136" s="62">
        <v>87379</v>
      </c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21" t="s">
        <v>50</v>
      </c>
      <c r="B137" s="21">
        <f>B135+B136</f>
        <v>0</v>
      </c>
      <c r="C137" s="21"/>
      <c r="D137" s="64">
        <f>D135+D136</f>
        <v>377313</v>
      </c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6:13" ht="12.75">
      <c r="F366" s="3"/>
      <c r="G366" s="3"/>
      <c r="H366" s="3"/>
      <c r="I366" s="3"/>
      <c r="J366" s="3"/>
      <c r="K366" s="3"/>
      <c r="L366" s="3"/>
      <c r="M366" s="3"/>
    </row>
  </sheetData>
  <sheetProtection selectLockedCells="1" selectUnlockedCells="1"/>
  <mergeCells count="19">
    <mergeCell ref="A2:G2"/>
    <mergeCell ref="A4:G4"/>
    <mergeCell ref="A5:A6"/>
    <mergeCell ref="B5:C5"/>
    <mergeCell ref="D5:D6"/>
    <mergeCell ref="B6:C6"/>
    <mergeCell ref="A11:G11"/>
    <mergeCell ref="A20:G20"/>
    <mergeCell ref="A44:G44"/>
    <mergeCell ref="A55:G55"/>
    <mergeCell ref="A71:G71"/>
    <mergeCell ref="A80:G80"/>
    <mergeCell ref="A90:G90"/>
    <mergeCell ref="A92:G92"/>
    <mergeCell ref="A97:G97"/>
    <mergeCell ref="A99:G99"/>
    <mergeCell ref="A107:G107"/>
    <mergeCell ref="A111:G111"/>
    <mergeCell ref="A118:G118"/>
  </mergeCells>
  <printOptions/>
  <pageMargins left="0.7083333333333334" right="0.7083333333333334" top="0.7479166666666667" bottom="0.7479166666666667" header="0.5118055555555555" footer="0.5118055555555555"/>
  <pageSetup fitToHeight="3" fitToWidth="1"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M366"/>
  <sheetViews>
    <sheetView workbookViewId="0" topLeftCell="A121">
      <selection activeCell="A130" sqref="A130"/>
    </sheetView>
  </sheetViews>
  <sheetFormatPr defaultColWidth="8.00390625" defaultRowHeight="12.75"/>
  <cols>
    <col min="1" max="1" width="18.00390625" style="0" customWidth="1"/>
    <col min="2" max="2" width="13.625" style="0" customWidth="1"/>
    <col min="3" max="3" width="13.00390625" style="0" customWidth="1"/>
    <col min="4" max="4" width="12.375" style="0" customWidth="1"/>
    <col min="5" max="5" width="15.625" style="0" customWidth="1"/>
    <col min="6" max="6" width="12.75390625" style="0" customWidth="1"/>
    <col min="7" max="7" width="13.625" style="0" customWidth="1"/>
    <col min="8" max="16384" width="9.00390625" style="0" customWidth="1"/>
  </cols>
  <sheetData>
    <row r="2" spans="1:13" ht="59.25" customHeight="1">
      <c r="A2" s="1" t="s">
        <v>267</v>
      </c>
      <c r="B2" s="1"/>
      <c r="C2" s="1"/>
      <c r="D2" s="1"/>
      <c r="E2" s="1"/>
      <c r="F2" s="1"/>
      <c r="G2" s="1"/>
      <c r="H2" s="2"/>
      <c r="I2" s="2"/>
      <c r="J2" s="2"/>
      <c r="K2" s="3"/>
      <c r="L2" s="3"/>
      <c r="M2" s="3"/>
    </row>
    <row r="3" spans="1:1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40.5" customHeight="1">
      <c r="A4" s="4" t="s">
        <v>1</v>
      </c>
      <c r="B4" s="4"/>
      <c r="C4" s="4"/>
      <c r="D4" s="4"/>
      <c r="E4" s="4"/>
      <c r="F4" s="4"/>
      <c r="G4" s="4"/>
      <c r="H4" s="3"/>
      <c r="I4" s="3"/>
      <c r="J4" s="3"/>
      <c r="K4" s="3"/>
      <c r="L4" s="3"/>
      <c r="M4" s="3"/>
    </row>
    <row r="5" spans="1:13" ht="12.75" customHeight="1">
      <c r="A5" s="5" t="s">
        <v>2</v>
      </c>
      <c r="B5" s="6" t="s">
        <v>3</v>
      </c>
      <c r="C5" s="6"/>
      <c r="D5" s="7" t="s">
        <v>4</v>
      </c>
      <c r="E5" s="3"/>
      <c r="F5" s="3"/>
      <c r="G5" s="3"/>
      <c r="H5" s="3"/>
      <c r="I5" s="3"/>
      <c r="J5" s="3"/>
      <c r="K5" s="3"/>
      <c r="L5" s="3"/>
      <c r="M5" s="3"/>
    </row>
    <row r="6" spans="1:13" ht="12.75" customHeight="1">
      <c r="A6" s="5"/>
      <c r="B6" s="8">
        <v>12</v>
      </c>
      <c r="C6" s="8"/>
      <c r="D6" s="7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 s="3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 s="3" t="s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42" customHeight="1">
      <c r="A11" s="4" t="s">
        <v>7</v>
      </c>
      <c r="B11" s="4"/>
      <c r="C11" s="4"/>
      <c r="D11" s="4"/>
      <c r="E11" s="4"/>
      <c r="F11" s="4"/>
      <c r="G11" s="4"/>
      <c r="H11" s="3"/>
      <c r="I11" s="3"/>
      <c r="J11" s="3"/>
      <c r="K11" s="3"/>
      <c r="L11" s="3"/>
      <c r="M11" s="3"/>
    </row>
    <row r="12" spans="1:1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 s="3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3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99" customHeight="1">
      <c r="A17" s="9" t="s">
        <v>10</v>
      </c>
      <c r="B17" s="9" t="s">
        <v>11</v>
      </c>
      <c r="C17" s="10" t="s">
        <v>12</v>
      </c>
      <c r="D17" s="9" t="s">
        <v>268</v>
      </c>
      <c r="E17" s="9" t="s">
        <v>127</v>
      </c>
      <c r="F17" s="9" t="s">
        <v>15</v>
      </c>
      <c r="G17" s="3"/>
      <c r="H17" s="3"/>
      <c r="I17" s="3"/>
      <c r="J17" s="3"/>
      <c r="K17" s="3"/>
      <c r="L17" s="3"/>
      <c r="M17" s="3"/>
    </row>
    <row r="18" spans="1:13" ht="29.25" customHeight="1">
      <c r="A18" s="9">
        <v>44</v>
      </c>
      <c r="B18" s="10">
        <v>0</v>
      </c>
      <c r="C18" s="9">
        <v>0</v>
      </c>
      <c r="D18" s="9">
        <v>12</v>
      </c>
      <c r="E18" s="11">
        <v>0</v>
      </c>
      <c r="F18" s="11">
        <v>48</v>
      </c>
      <c r="G18" s="3"/>
      <c r="H18" s="3"/>
      <c r="I18" s="3"/>
      <c r="J18" s="3"/>
      <c r="K18" s="3"/>
      <c r="L18" s="3"/>
      <c r="M18" s="3"/>
    </row>
    <row r="19" spans="1:1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27" customHeight="1">
      <c r="A20" s="12" t="s">
        <v>16</v>
      </c>
      <c r="B20" s="12"/>
      <c r="C20" s="12"/>
      <c r="D20" s="12"/>
      <c r="E20" s="12"/>
      <c r="F20" s="12"/>
      <c r="G20" s="12"/>
      <c r="H20" s="13"/>
      <c r="I20" s="13"/>
      <c r="J20" s="13"/>
      <c r="K20" s="3"/>
      <c r="L20" s="3"/>
      <c r="M20" s="3"/>
    </row>
    <row r="21" spans="1:13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 s="3" t="s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3" t="s">
        <v>18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3" t="s">
        <v>19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 s="3" t="s">
        <v>20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 t="s">
        <v>21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 s="3" t="s">
        <v>22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s="3" t="s">
        <v>23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63.75" customHeight="1">
      <c r="A36" s="14" t="s">
        <v>24</v>
      </c>
      <c r="B36" s="15" t="s">
        <v>25</v>
      </c>
      <c r="C36" s="14" t="s">
        <v>26</v>
      </c>
      <c r="D36" s="14" t="s">
        <v>27</v>
      </c>
      <c r="E36" s="14" t="s">
        <v>28</v>
      </c>
      <c r="F36" s="14" t="s">
        <v>29</v>
      </c>
      <c r="G36" s="3"/>
      <c r="H36" s="3"/>
      <c r="I36" s="3"/>
      <c r="J36" s="3"/>
      <c r="K36" s="3"/>
      <c r="L36" s="3"/>
      <c r="M36" s="3"/>
    </row>
    <row r="37" spans="1:13" ht="12.75">
      <c r="A37" s="16" t="s">
        <v>30</v>
      </c>
      <c r="B37" s="17">
        <f>F18</f>
        <v>48</v>
      </c>
      <c r="C37" s="18">
        <f>F53</f>
        <v>10790.266666666668</v>
      </c>
      <c r="D37" s="18">
        <f>E53</f>
        <v>517932.80000000005</v>
      </c>
      <c r="E37" s="19">
        <f>G53</f>
        <v>0.657927630765999</v>
      </c>
      <c r="F37" s="18">
        <f aca="true" t="shared" si="0" ref="F37:F40">D37*E37</f>
        <v>340762.30000000005</v>
      </c>
      <c r="G37" s="3"/>
      <c r="H37" s="3"/>
      <c r="I37" s="3"/>
      <c r="J37" s="3"/>
      <c r="K37" s="3"/>
      <c r="L37" s="3"/>
      <c r="M37" s="3"/>
    </row>
    <row r="38" spans="1:13" ht="12.75">
      <c r="A38" s="16" t="s">
        <v>31</v>
      </c>
      <c r="B38" s="17">
        <f aca="true" t="shared" si="1" ref="B38:B41">B37</f>
        <v>48</v>
      </c>
      <c r="C38" s="18">
        <f>F69</f>
        <v>22712.525</v>
      </c>
      <c r="D38" s="18">
        <f>E69</f>
        <v>1090201.2</v>
      </c>
      <c r="E38" s="19">
        <f>G69</f>
        <v>0.6738735015151331</v>
      </c>
      <c r="F38" s="18">
        <f t="shared" si="0"/>
        <v>734657.7</v>
      </c>
      <c r="G38" s="3"/>
      <c r="H38" s="3"/>
      <c r="I38" s="3"/>
      <c r="J38" s="3"/>
      <c r="K38" s="3"/>
      <c r="L38" s="3"/>
      <c r="M38" s="3"/>
    </row>
    <row r="39" spans="1:13" ht="12.75">
      <c r="A39" s="16" t="s">
        <v>32</v>
      </c>
      <c r="B39" s="17">
        <f t="shared" si="1"/>
        <v>48</v>
      </c>
      <c r="C39" s="18">
        <f>C78</f>
        <v>1633.9375</v>
      </c>
      <c r="D39" s="18">
        <f>B78</f>
        <v>78429</v>
      </c>
      <c r="E39" s="19">
        <f>D78</f>
        <v>0.711777531270321</v>
      </c>
      <c r="F39" s="18">
        <f t="shared" si="0"/>
        <v>55824</v>
      </c>
      <c r="G39" s="3"/>
      <c r="H39" s="3"/>
      <c r="I39" s="3"/>
      <c r="J39" s="3"/>
      <c r="K39" s="3"/>
      <c r="L39" s="3"/>
      <c r="M39" s="3"/>
    </row>
    <row r="40" spans="1:13" ht="12.75">
      <c r="A40" s="16" t="s">
        <v>33</v>
      </c>
      <c r="B40" s="17">
        <f t="shared" si="1"/>
        <v>48</v>
      </c>
      <c r="C40" s="18">
        <f>F88</f>
        <v>0</v>
      </c>
      <c r="D40" s="18">
        <f>E88</f>
        <v>0</v>
      </c>
      <c r="E40" s="19">
        <v>0</v>
      </c>
      <c r="F40" s="18">
        <f t="shared" si="0"/>
        <v>0</v>
      </c>
      <c r="G40" s="3"/>
      <c r="H40" s="3"/>
      <c r="I40" s="3"/>
      <c r="J40" s="3"/>
      <c r="K40" s="3"/>
      <c r="L40" s="3"/>
      <c r="M40" s="3"/>
    </row>
    <row r="41" spans="1:13" ht="12.75">
      <c r="A41" s="16" t="s">
        <v>34</v>
      </c>
      <c r="B41" s="17">
        <f t="shared" si="1"/>
        <v>48</v>
      </c>
      <c r="C41" s="18">
        <v>0</v>
      </c>
      <c r="D41" s="18">
        <v>0</v>
      </c>
      <c r="E41" s="19">
        <v>1</v>
      </c>
      <c r="F41" s="18">
        <f>D137</f>
        <v>309731</v>
      </c>
      <c r="G41" s="3"/>
      <c r="H41" s="3"/>
      <c r="I41" s="3"/>
      <c r="J41" s="3"/>
      <c r="K41" s="3"/>
      <c r="L41" s="3"/>
      <c r="M41" s="3"/>
    </row>
    <row r="42" spans="1:13" ht="12.75">
      <c r="A42" s="20" t="s">
        <v>35</v>
      </c>
      <c r="B42" s="21"/>
      <c r="C42" s="22">
        <f>D42/B40</f>
        <v>35136.729166666664</v>
      </c>
      <c r="D42" s="22">
        <f>SUM(D37:D40)</f>
        <v>1686563</v>
      </c>
      <c r="E42" s="23">
        <f>F42/D42</f>
        <v>0.8543855165801693</v>
      </c>
      <c r="F42" s="18">
        <f>F37+F38+F39+F40+F41</f>
        <v>1440975</v>
      </c>
      <c r="G42" s="24">
        <f>F42+E95</f>
        <v>1762990</v>
      </c>
      <c r="H42" s="3"/>
      <c r="I42" s="3"/>
      <c r="J42" s="3"/>
      <c r="K42" s="3"/>
      <c r="L42" s="3"/>
      <c r="M42" s="3"/>
    </row>
    <row r="43" spans="1:13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30.75" customHeight="1">
      <c r="A44" s="25" t="s">
        <v>269</v>
      </c>
      <c r="B44" s="25"/>
      <c r="C44" s="25"/>
      <c r="D44" s="25"/>
      <c r="E44" s="25"/>
      <c r="F44" s="25"/>
      <c r="G44" s="25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3" t="s">
        <v>37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63.75">
      <c r="A48" s="14" t="s">
        <v>38</v>
      </c>
      <c r="B48" s="14" t="s">
        <v>39</v>
      </c>
      <c r="C48" s="14" t="s">
        <v>40</v>
      </c>
      <c r="D48" s="14" t="s">
        <v>41</v>
      </c>
      <c r="E48" s="14" t="s">
        <v>42</v>
      </c>
      <c r="F48" s="14" t="s">
        <v>26</v>
      </c>
      <c r="G48" s="14" t="s">
        <v>28</v>
      </c>
      <c r="H48" s="3"/>
      <c r="I48" s="3"/>
      <c r="J48" s="3"/>
      <c r="K48" s="3"/>
      <c r="L48" s="3"/>
      <c r="M48" s="3"/>
    </row>
    <row r="49" spans="1:13" ht="25.5">
      <c r="A49" s="26" t="s">
        <v>43</v>
      </c>
      <c r="B49" s="27" t="s">
        <v>44</v>
      </c>
      <c r="C49" s="19">
        <f>66.8/2</f>
        <v>33.4</v>
      </c>
      <c r="D49" s="19">
        <f>E49/C49</f>
        <v>5159.041916167665</v>
      </c>
      <c r="E49" s="19">
        <f>344624/2</f>
        <v>172312</v>
      </c>
      <c r="F49" s="19">
        <f aca="true" t="shared" si="2" ref="F49:F52">E49/$B$40</f>
        <v>3589.8333333333335</v>
      </c>
      <c r="G49" s="72">
        <f>(147195/2/E49)</f>
        <v>0.4271176702725289</v>
      </c>
      <c r="H49" s="3"/>
      <c r="I49" s="3"/>
      <c r="J49" s="3"/>
      <c r="K49" s="3"/>
      <c r="L49" s="3"/>
      <c r="M49" s="3"/>
    </row>
    <row r="50" spans="1:13" ht="25.5">
      <c r="A50" s="26" t="s">
        <v>45</v>
      </c>
      <c r="B50" s="27" t="s">
        <v>46</v>
      </c>
      <c r="C50" s="19">
        <v>0</v>
      </c>
      <c r="D50" s="19">
        <v>0</v>
      </c>
      <c r="E50" s="19">
        <v>0</v>
      </c>
      <c r="F50" s="19">
        <f t="shared" si="2"/>
        <v>0</v>
      </c>
      <c r="G50" s="72">
        <v>0</v>
      </c>
      <c r="H50" s="3"/>
      <c r="I50" s="3"/>
      <c r="J50" s="3"/>
      <c r="K50" s="3"/>
      <c r="L50" s="3"/>
      <c r="M50" s="3"/>
    </row>
    <row r="51" spans="1:13" ht="25.5">
      <c r="A51" s="26" t="s">
        <v>47</v>
      </c>
      <c r="B51" s="27" t="s">
        <v>48</v>
      </c>
      <c r="C51" s="19">
        <f>30700*90%</f>
        <v>27630</v>
      </c>
      <c r="D51" s="19">
        <f aca="true" t="shared" si="3" ref="D51:D52">E51/C51</f>
        <v>8.722866449511402</v>
      </c>
      <c r="E51" s="19">
        <f>267792*90%</f>
        <v>241012.80000000002</v>
      </c>
      <c r="F51" s="19">
        <f t="shared" si="2"/>
        <v>5021.1</v>
      </c>
      <c r="G51" s="72">
        <f>(267792*90%/E51)</f>
        <v>1</v>
      </c>
      <c r="H51" s="3"/>
      <c r="I51" s="3"/>
      <c r="J51" s="3"/>
      <c r="K51" s="3"/>
      <c r="L51" s="3"/>
      <c r="M51" s="3"/>
    </row>
    <row r="52" spans="1:13" ht="25.5">
      <c r="A52" s="26" t="s">
        <v>49</v>
      </c>
      <c r="B52" s="27" t="s">
        <v>46</v>
      </c>
      <c r="C52" s="19">
        <f>630+420</f>
        <v>1050</v>
      </c>
      <c r="D52" s="19">
        <f t="shared" si="3"/>
        <v>99.62666666666667</v>
      </c>
      <c r="E52" s="19">
        <v>104608</v>
      </c>
      <c r="F52" s="19">
        <f t="shared" si="2"/>
        <v>2179.3333333333335</v>
      </c>
      <c r="G52" s="72">
        <f>(26152/E52)</f>
        <v>0.25</v>
      </c>
      <c r="H52" s="3"/>
      <c r="I52" s="3"/>
      <c r="J52" s="3"/>
      <c r="K52" s="3"/>
      <c r="L52" s="3"/>
      <c r="M52" s="3"/>
    </row>
    <row r="53" spans="1:13" ht="20.25" customHeight="1">
      <c r="A53" s="28" t="s">
        <v>50</v>
      </c>
      <c r="B53" s="29"/>
      <c r="C53" s="23"/>
      <c r="D53" s="23"/>
      <c r="E53" s="23">
        <f>E49+E50+E51+E52</f>
        <v>517932.80000000005</v>
      </c>
      <c r="F53" s="23">
        <f>F49+F50+F51+F52</f>
        <v>10790.266666666668</v>
      </c>
      <c r="G53" s="73">
        <f>(147195/2+267792*90%+26152)/E53</f>
        <v>0.657927630765999</v>
      </c>
      <c r="H53" s="3"/>
      <c r="I53" s="3"/>
      <c r="J53" s="3"/>
      <c r="K53" s="3"/>
      <c r="L53" s="3"/>
      <c r="M53" s="3"/>
    </row>
    <row r="54" spans="1:13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24.75" customHeight="1">
      <c r="A55" s="25" t="s">
        <v>270</v>
      </c>
      <c r="B55" s="25"/>
      <c r="C55" s="25"/>
      <c r="D55" s="25"/>
      <c r="E55" s="25"/>
      <c r="F55" s="25"/>
      <c r="G55" s="25"/>
      <c r="H55" s="3"/>
      <c r="I55" s="3"/>
      <c r="J55" s="3"/>
      <c r="K55" s="3"/>
      <c r="L55" s="3"/>
      <c r="M55" s="3"/>
    </row>
    <row r="56" spans="1:1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75">
      <c r="A57" s="3" t="s">
        <v>52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63.75">
      <c r="A59" s="14" t="s">
        <v>38</v>
      </c>
      <c r="B59" s="14" t="s">
        <v>39</v>
      </c>
      <c r="C59" s="14" t="s">
        <v>53</v>
      </c>
      <c r="D59" s="14" t="s">
        <v>54</v>
      </c>
      <c r="E59" s="14" t="s">
        <v>42</v>
      </c>
      <c r="F59" s="14" t="s">
        <v>26</v>
      </c>
      <c r="G59" s="14" t="s">
        <v>28</v>
      </c>
      <c r="H59" s="3"/>
      <c r="I59" s="3"/>
      <c r="J59" s="3"/>
      <c r="K59" s="3"/>
      <c r="L59" s="3"/>
      <c r="M59" s="3"/>
    </row>
    <row r="60" spans="1:13" ht="45.75" customHeight="1">
      <c r="A60" s="26" t="s">
        <v>55</v>
      </c>
      <c r="B60" s="30"/>
      <c r="C60" s="19"/>
      <c r="D60" s="19"/>
      <c r="E60" s="19">
        <v>56346</v>
      </c>
      <c r="F60" s="19">
        <f aca="true" t="shared" si="4" ref="F60:F68">E60/$B$40</f>
        <v>1173.875</v>
      </c>
      <c r="G60" s="72">
        <f>(40106/E60)</f>
        <v>0.7117807830192028</v>
      </c>
      <c r="H60" s="3"/>
      <c r="I60" s="3"/>
      <c r="J60" s="3"/>
      <c r="K60" s="3"/>
      <c r="L60" s="3"/>
      <c r="M60" s="3"/>
    </row>
    <row r="61" spans="1:13" ht="25.5">
      <c r="A61" s="26" t="s">
        <v>56</v>
      </c>
      <c r="B61" s="30" t="s">
        <v>57</v>
      </c>
      <c r="C61" s="19">
        <v>1</v>
      </c>
      <c r="D61" s="19">
        <f>E61/C61</f>
        <v>18684</v>
      </c>
      <c r="E61" s="19">
        <v>18684</v>
      </c>
      <c r="F61" s="19">
        <f t="shared" si="4"/>
        <v>389.25</v>
      </c>
      <c r="G61" s="72">
        <f>(13299/E61)</f>
        <v>0.7117854849068722</v>
      </c>
      <c r="H61" s="3"/>
      <c r="I61" s="3"/>
      <c r="J61" s="3"/>
      <c r="K61" s="3"/>
      <c r="L61" s="3"/>
      <c r="M61" s="3"/>
    </row>
    <row r="62" spans="1:13" ht="18" customHeight="1">
      <c r="A62" s="26" t="s">
        <v>58</v>
      </c>
      <c r="B62" s="30"/>
      <c r="C62" s="19"/>
      <c r="D62" s="19"/>
      <c r="E62" s="19">
        <v>0</v>
      </c>
      <c r="F62" s="19">
        <f t="shared" si="4"/>
        <v>0</v>
      </c>
      <c r="G62" s="72" t="e">
        <f>(0/E62)</f>
        <v>#DIV/0!</v>
      </c>
      <c r="H62" s="3"/>
      <c r="I62" s="3"/>
      <c r="J62" s="3"/>
      <c r="K62" s="3"/>
      <c r="L62" s="3"/>
      <c r="M62" s="3"/>
    </row>
    <row r="63" spans="1:13" ht="18" customHeight="1">
      <c r="A63" s="26" t="s">
        <v>59</v>
      </c>
      <c r="B63" s="30"/>
      <c r="C63" s="19"/>
      <c r="D63" s="19"/>
      <c r="E63" s="19">
        <v>809640</v>
      </c>
      <c r="F63" s="19">
        <f t="shared" si="4"/>
        <v>16867.5</v>
      </c>
      <c r="G63" s="72">
        <f>(576292/E63)</f>
        <v>0.7117879551405563</v>
      </c>
      <c r="H63" s="3"/>
      <c r="I63" s="3"/>
      <c r="J63" s="3"/>
      <c r="K63" s="3"/>
      <c r="L63" s="3"/>
      <c r="M63" s="3"/>
    </row>
    <row r="64" spans="1:13" ht="25.5">
      <c r="A64" s="26" t="s">
        <v>43</v>
      </c>
      <c r="B64" s="27" t="s">
        <v>44</v>
      </c>
      <c r="C64" s="19">
        <f>66.8/2</f>
        <v>33.4</v>
      </c>
      <c r="D64" s="19">
        <f>E64/C64</f>
        <v>5159.041916167665</v>
      </c>
      <c r="E64" s="19">
        <f>344624/2</f>
        <v>172312</v>
      </c>
      <c r="F64" s="19">
        <f t="shared" si="4"/>
        <v>3589.8333333333335</v>
      </c>
      <c r="G64" s="72">
        <f>(147195/2/E64)</f>
        <v>0.4271176702725289</v>
      </c>
      <c r="H64" s="3"/>
      <c r="I64" s="3"/>
      <c r="J64" s="3"/>
      <c r="K64" s="3"/>
      <c r="L64" s="3"/>
      <c r="M64" s="3"/>
    </row>
    <row r="65" spans="1:13" ht="25.5">
      <c r="A65" s="26" t="s">
        <v>45</v>
      </c>
      <c r="B65" s="27" t="s">
        <v>46</v>
      </c>
      <c r="C65" s="19">
        <v>0</v>
      </c>
      <c r="D65" s="19">
        <v>0</v>
      </c>
      <c r="E65" s="19">
        <v>0</v>
      </c>
      <c r="F65" s="19">
        <f t="shared" si="4"/>
        <v>0</v>
      </c>
      <c r="G65" s="72">
        <v>0</v>
      </c>
      <c r="H65" s="3"/>
      <c r="I65" s="3"/>
      <c r="J65" s="3"/>
      <c r="K65" s="3"/>
      <c r="L65" s="3"/>
      <c r="M65" s="3"/>
    </row>
    <row r="66" spans="1:13" ht="25.5">
      <c r="A66" s="26" t="s">
        <v>47</v>
      </c>
      <c r="B66" s="27" t="s">
        <v>48</v>
      </c>
      <c r="C66" s="19">
        <f>30700*10%</f>
        <v>3070</v>
      </c>
      <c r="D66" s="19">
        <f>E66/C66</f>
        <v>8.7228664495114</v>
      </c>
      <c r="E66" s="19">
        <f>267792*10%</f>
        <v>26779.2</v>
      </c>
      <c r="F66" s="19">
        <f t="shared" si="4"/>
        <v>557.9</v>
      </c>
      <c r="G66" s="72">
        <f>(267792*10%/E66)</f>
        <v>1</v>
      </c>
      <c r="H66" s="3"/>
      <c r="I66" s="3"/>
      <c r="J66" s="3"/>
      <c r="K66" s="3"/>
      <c r="L66" s="3"/>
      <c r="M66" s="3"/>
    </row>
    <row r="67" spans="1:13" ht="25.5" customHeight="1">
      <c r="A67" s="26" t="s">
        <v>60</v>
      </c>
      <c r="B67" s="30"/>
      <c r="C67" s="19"/>
      <c r="D67" s="19"/>
      <c r="E67" s="19">
        <v>6440</v>
      </c>
      <c r="F67" s="19">
        <f t="shared" si="4"/>
        <v>134.16666666666666</v>
      </c>
      <c r="G67" s="72">
        <f>(4584/E67)</f>
        <v>0.7118012422360248</v>
      </c>
      <c r="H67" s="3"/>
      <c r="I67" s="3"/>
      <c r="J67" s="3"/>
      <c r="K67" s="3"/>
      <c r="L67" s="3"/>
      <c r="M67" s="3"/>
    </row>
    <row r="68" spans="1:13" ht="12.75">
      <c r="A68" s="26" t="s">
        <v>61</v>
      </c>
      <c r="B68" s="30"/>
      <c r="C68" s="19"/>
      <c r="D68" s="19"/>
      <c r="E68" s="19">
        <v>0</v>
      </c>
      <c r="F68" s="19">
        <f t="shared" si="4"/>
        <v>0</v>
      </c>
      <c r="G68" s="72" t="e">
        <f>(0/E68)</f>
        <v>#DIV/0!</v>
      </c>
      <c r="H68" s="3"/>
      <c r="I68" s="3"/>
      <c r="J68" s="3"/>
      <c r="K68" s="3"/>
      <c r="L68" s="3"/>
      <c r="M68" s="3"/>
    </row>
    <row r="69" spans="1:13" ht="24.75" customHeight="1">
      <c r="A69" s="28" t="s">
        <v>50</v>
      </c>
      <c r="B69" s="31"/>
      <c r="C69" s="23"/>
      <c r="D69" s="23"/>
      <c r="E69" s="23">
        <f>SUM(E60:E68)</f>
        <v>1090201.2</v>
      </c>
      <c r="F69" s="23">
        <f>SUM(F60:F68)</f>
        <v>22712.525</v>
      </c>
      <c r="G69" s="73">
        <f>(40106+13299+576292+147195/2+267792*10%+4584)/E69</f>
        <v>0.6738735015151331</v>
      </c>
      <c r="H69" s="3"/>
      <c r="I69" s="3"/>
      <c r="J69" s="3"/>
      <c r="K69" s="3"/>
      <c r="L69" s="3"/>
      <c r="M69" s="3"/>
    </row>
    <row r="70" spans="1:13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26.25" customHeight="1">
      <c r="A71" s="25" t="s">
        <v>150</v>
      </c>
      <c r="B71" s="25"/>
      <c r="C71" s="25"/>
      <c r="D71" s="25"/>
      <c r="E71" s="25"/>
      <c r="F71" s="25"/>
      <c r="G71" s="25"/>
      <c r="H71" s="3"/>
      <c r="I71" s="3"/>
      <c r="J71" s="3"/>
      <c r="K71" s="3"/>
      <c r="L71" s="3"/>
      <c r="M71" s="3"/>
    </row>
    <row r="72" spans="1:13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>
      <c r="A73" s="3" t="s">
        <v>63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63.75">
      <c r="A75" s="14" t="s">
        <v>38</v>
      </c>
      <c r="B75" s="14" t="s">
        <v>42</v>
      </c>
      <c r="C75" s="14" t="s">
        <v>26</v>
      </c>
      <c r="D75" s="14" t="s">
        <v>28</v>
      </c>
      <c r="E75" s="32"/>
      <c r="F75" s="32"/>
      <c r="G75" s="32"/>
      <c r="H75" s="3"/>
      <c r="I75" s="3"/>
      <c r="J75" s="3"/>
      <c r="K75" s="3"/>
      <c r="L75" s="3"/>
      <c r="M75" s="3"/>
    </row>
    <row r="76" spans="1:13" ht="51">
      <c r="A76" s="26" t="s">
        <v>64</v>
      </c>
      <c r="B76" s="33">
        <v>201</v>
      </c>
      <c r="C76" s="19">
        <f aca="true" t="shared" si="5" ref="C76:C77">B76/$B$40</f>
        <v>4.1875</v>
      </c>
      <c r="D76" s="72">
        <f>(143/B76)</f>
        <v>0.7114427860696517</v>
      </c>
      <c r="E76" s="34"/>
      <c r="F76" s="35"/>
      <c r="G76" s="35"/>
      <c r="H76" s="3"/>
      <c r="I76" s="3"/>
      <c r="J76" s="3"/>
      <c r="K76" s="3"/>
      <c r="L76" s="3"/>
      <c r="M76" s="3"/>
    </row>
    <row r="77" spans="1:13" ht="19.5" customHeight="1">
      <c r="A77" s="26" t="s">
        <v>65</v>
      </c>
      <c r="B77" s="33">
        <f>60773+17455</f>
        <v>78228</v>
      </c>
      <c r="C77" s="19">
        <f t="shared" si="5"/>
        <v>1629.75</v>
      </c>
      <c r="D77" s="72">
        <f>(43257+12424)/B77</f>
        <v>0.7117783913688194</v>
      </c>
      <c r="E77" s="34"/>
      <c r="F77" s="35"/>
      <c r="G77" s="35"/>
      <c r="H77" s="3"/>
      <c r="I77" s="3"/>
      <c r="J77" s="3"/>
      <c r="K77" s="3"/>
      <c r="L77" s="3"/>
      <c r="M77" s="3"/>
    </row>
    <row r="78" spans="1:13" ht="27" customHeight="1">
      <c r="A78" s="28" t="s">
        <v>50</v>
      </c>
      <c r="B78" s="36">
        <f>SUM(B76:B77)</f>
        <v>78429</v>
      </c>
      <c r="C78" s="36">
        <f>SUM(C76:C77)</f>
        <v>1633.9375</v>
      </c>
      <c r="D78" s="75">
        <f>(43257+12424+143)/B78</f>
        <v>0.711777531270321</v>
      </c>
      <c r="E78" s="37"/>
      <c r="F78" s="37"/>
      <c r="G78" s="37"/>
      <c r="H78" s="3"/>
      <c r="I78" s="3"/>
      <c r="J78" s="3"/>
      <c r="K78" s="3"/>
      <c r="L78" s="3"/>
      <c r="M78" s="3"/>
    </row>
    <row r="79" spans="1:13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29.25" customHeight="1">
      <c r="A80" s="25" t="s">
        <v>66</v>
      </c>
      <c r="B80" s="25"/>
      <c r="C80" s="25"/>
      <c r="D80" s="25"/>
      <c r="E80" s="25"/>
      <c r="F80" s="25"/>
      <c r="G80" s="25"/>
      <c r="H80" s="3"/>
      <c r="I80" s="3"/>
      <c r="J80" s="3"/>
      <c r="K80" s="3"/>
      <c r="L80" s="3"/>
      <c r="M80" s="3"/>
    </row>
    <row r="81" spans="1:13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 hidden="1">
      <c r="A82" s="3" t="s">
        <v>67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63.75" hidden="1">
      <c r="A84" s="38" t="s">
        <v>68</v>
      </c>
      <c r="B84" s="10" t="s">
        <v>69</v>
      </c>
      <c r="C84" s="14" t="s">
        <v>54</v>
      </c>
      <c r="D84" s="10" t="s">
        <v>70</v>
      </c>
      <c r="E84" s="39" t="s">
        <v>71</v>
      </c>
      <c r="F84" s="14" t="s">
        <v>26</v>
      </c>
      <c r="G84" s="14" t="s">
        <v>28</v>
      </c>
      <c r="H84" s="3"/>
      <c r="I84" s="3"/>
      <c r="J84" s="3"/>
      <c r="K84" s="3"/>
      <c r="L84" s="3"/>
      <c r="M84" s="3"/>
    </row>
    <row r="85" spans="1:13" ht="12.75" hidden="1">
      <c r="A85" s="40" t="s">
        <v>72</v>
      </c>
      <c r="B85" s="41">
        <v>1</v>
      </c>
      <c r="C85" s="42">
        <f aca="true" t="shared" si="6" ref="C85:C86">E85/D85/B85</f>
        <v>0</v>
      </c>
      <c r="D85" s="43">
        <v>12</v>
      </c>
      <c r="E85" s="44">
        <v>0</v>
      </c>
      <c r="F85" s="19">
        <f aca="true" t="shared" si="7" ref="F85:F88">E85/$B$40</f>
        <v>0</v>
      </c>
      <c r="G85" s="72" t="e">
        <f aca="true" t="shared" si="8" ref="G85:G87">(0/E85)</f>
        <v>#DIV/0!</v>
      </c>
      <c r="H85" s="3"/>
      <c r="I85" s="3"/>
      <c r="J85" s="3"/>
      <c r="K85" s="3"/>
      <c r="L85" s="3"/>
      <c r="M85" s="3"/>
    </row>
    <row r="86" spans="1:13" ht="12.75" hidden="1">
      <c r="A86" s="40" t="s">
        <v>73</v>
      </c>
      <c r="B86" s="39">
        <v>1</v>
      </c>
      <c r="C86" s="42">
        <f t="shared" si="6"/>
        <v>0</v>
      </c>
      <c r="D86" s="43">
        <v>12</v>
      </c>
      <c r="E86" s="44">
        <v>0</v>
      </c>
      <c r="F86" s="19">
        <f t="shared" si="7"/>
        <v>0</v>
      </c>
      <c r="G86" s="72" t="e">
        <f t="shared" si="8"/>
        <v>#DIV/0!</v>
      </c>
      <c r="H86" s="3"/>
      <c r="I86" s="3"/>
      <c r="J86" s="3"/>
      <c r="K86" s="3"/>
      <c r="L86" s="3"/>
      <c r="M86" s="3"/>
    </row>
    <row r="87" spans="1:13" ht="12.75" hidden="1">
      <c r="A87" s="40" t="s">
        <v>74</v>
      </c>
      <c r="B87" s="41"/>
      <c r="C87" s="41"/>
      <c r="D87" s="43"/>
      <c r="E87" s="44">
        <v>0</v>
      </c>
      <c r="F87" s="19">
        <f t="shared" si="7"/>
        <v>0</v>
      </c>
      <c r="G87" s="72" t="e">
        <f t="shared" si="8"/>
        <v>#DIV/0!</v>
      </c>
      <c r="H87" s="3"/>
      <c r="I87" s="3"/>
      <c r="J87" s="3"/>
      <c r="K87" s="3"/>
      <c r="L87" s="3"/>
      <c r="M87" s="3"/>
    </row>
    <row r="88" spans="1:13" ht="12.75" hidden="1">
      <c r="A88" s="45" t="s">
        <v>75</v>
      </c>
      <c r="B88" s="46"/>
      <c r="C88" s="46"/>
      <c r="D88" s="46"/>
      <c r="E88" s="47">
        <f>E85+E86+E87</f>
        <v>0</v>
      </c>
      <c r="F88" s="23">
        <f t="shared" si="7"/>
        <v>0</v>
      </c>
      <c r="G88" s="73" t="e">
        <f>0/E88</f>
        <v>#DIV/0!</v>
      </c>
      <c r="H88" s="3"/>
      <c r="I88" s="3"/>
      <c r="J88" s="3"/>
      <c r="K88" s="3"/>
      <c r="L88" s="3"/>
      <c r="M88" s="3"/>
    </row>
    <row r="89" spans="1:13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26.25" customHeight="1" hidden="1">
      <c r="A90" s="25" t="s">
        <v>221</v>
      </c>
      <c r="B90" s="25"/>
      <c r="C90" s="25"/>
      <c r="D90" s="25"/>
      <c r="E90" s="25"/>
      <c r="F90" s="25"/>
      <c r="G90" s="25"/>
      <c r="H90" s="3"/>
      <c r="I90" s="3"/>
      <c r="J90" s="3"/>
      <c r="K90" s="3"/>
      <c r="L90" s="3"/>
      <c r="M90" s="3"/>
    </row>
    <row r="91" spans="1:1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45" customHeight="1">
      <c r="A92" s="12" t="s">
        <v>77</v>
      </c>
      <c r="B92" s="12"/>
      <c r="C92" s="12"/>
      <c r="D92" s="12"/>
      <c r="E92" s="12"/>
      <c r="F92" s="12"/>
      <c r="G92" s="12"/>
      <c r="H92" s="13"/>
      <c r="I92" s="13"/>
      <c r="J92" s="13"/>
      <c r="K92" s="3"/>
      <c r="L92" s="3"/>
      <c r="M92" s="3"/>
    </row>
    <row r="93" spans="1:1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63.75">
      <c r="A94" s="14" t="s">
        <v>38</v>
      </c>
      <c r="B94" s="39" t="s">
        <v>71</v>
      </c>
      <c r="C94" s="14" t="s">
        <v>26</v>
      </c>
      <c r="D94" s="14" t="s">
        <v>28</v>
      </c>
      <c r="E94" s="48" t="s">
        <v>78</v>
      </c>
      <c r="F94" s="16" t="s">
        <v>79</v>
      </c>
      <c r="G94" s="3"/>
      <c r="H94" s="3"/>
      <c r="I94" s="3"/>
      <c r="J94" s="3"/>
      <c r="K94" s="3"/>
      <c r="L94" s="3"/>
      <c r="M94" s="3"/>
    </row>
    <row r="95" spans="1:13" ht="12.75">
      <c r="A95" s="49" t="s">
        <v>80</v>
      </c>
      <c r="B95" s="36">
        <v>452403</v>
      </c>
      <c r="C95" s="23">
        <f>B95/$B$40</f>
        <v>9425.0625</v>
      </c>
      <c r="D95" s="73">
        <f>322015/B95</f>
        <v>0.7117879412824406</v>
      </c>
      <c r="E95" s="18">
        <f>B95*D95</f>
        <v>322015</v>
      </c>
      <c r="F95" s="18">
        <f>E95-B95</f>
        <v>-130388</v>
      </c>
      <c r="G95" s="3"/>
      <c r="H95" s="3"/>
      <c r="I95" s="3"/>
      <c r="J95" s="3"/>
      <c r="K95" s="3"/>
      <c r="L95" s="3"/>
      <c r="M95" s="3"/>
    </row>
    <row r="96" spans="1:1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34.5" customHeight="1">
      <c r="A97" s="25" t="s">
        <v>81</v>
      </c>
      <c r="B97" s="25"/>
      <c r="C97" s="25"/>
      <c r="D97" s="25"/>
      <c r="E97" s="25"/>
      <c r="F97" s="25"/>
      <c r="G97" s="25"/>
      <c r="H97" s="3"/>
      <c r="I97" s="3"/>
      <c r="J97" s="3"/>
      <c r="K97" s="3"/>
      <c r="L97" s="3"/>
      <c r="M97" s="3"/>
    </row>
    <row r="98" spans="1:1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48.75" customHeight="1">
      <c r="A99" s="50" t="s">
        <v>271</v>
      </c>
      <c r="B99" s="50"/>
      <c r="C99" s="50"/>
      <c r="D99" s="50"/>
      <c r="E99" s="50"/>
      <c r="F99" s="50"/>
      <c r="G99" s="50"/>
      <c r="H99" s="3"/>
      <c r="I99" s="3"/>
      <c r="J99" s="3"/>
      <c r="K99" s="3"/>
      <c r="L99" s="3"/>
      <c r="M99" s="3"/>
    </row>
    <row r="100" spans="1:13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4.25">
      <c r="A101" s="3" t="s">
        <v>83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>
      <c r="A103" s="3" t="s">
        <v>84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>
      <c r="A105" s="3" t="s">
        <v>85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7.25" customHeight="1">
      <c r="A107" s="4" t="s">
        <v>86</v>
      </c>
      <c r="B107" s="4"/>
      <c r="C107" s="4"/>
      <c r="D107" s="4"/>
      <c r="E107" s="4"/>
      <c r="F107" s="4"/>
      <c r="G107" s="4"/>
      <c r="H107" s="3"/>
      <c r="I107" s="3"/>
      <c r="J107" s="3"/>
      <c r="K107" s="3"/>
      <c r="L107" s="3"/>
      <c r="M107" s="3"/>
    </row>
    <row r="108" spans="1:13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>
      <c r="A109" s="3" t="s">
        <v>87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3.5" customHeight="1">
      <c r="A111" s="4" t="s">
        <v>88</v>
      </c>
      <c r="B111" s="4"/>
      <c r="C111" s="4"/>
      <c r="D111" s="4"/>
      <c r="E111" s="4"/>
      <c r="F111" s="4"/>
      <c r="G111" s="4"/>
      <c r="H111" s="3"/>
      <c r="I111" s="3"/>
      <c r="J111" s="3"/>
      <c r="K111" s="3"/>
      <c r="L111" s="3"/>
      <c r="M111" s="3"/>
    </row>
    <row r="112" spans="1:1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>
      <c r="A113" s="3" t="s">
        <v>5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14.75">
      <c r="A115" s="14" t="s">
        <v>89</v>
      </c>
      <c r="B115" s="14" t="s">
        <v>90</v>
      </c>
      <c r="C115" s="39" t="s">
        <v>91</v>
      </c>
      <c r="D115" s="14" t="s">
        <v>92</v>
      </c>
      <c r="E115" s="14" t="s">
        <v>93</v>
      </c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36">
        <f>C42</f>
        <v>35136.729166666664</v>
      </c>
      <c r="B116" s="36">
        <f>E42</f>
        <v>0.8543855165801693</v>
      </c>
      <c r="C116" s="23">
        <f>C95</f>
        <v>9425.0625</v>
      </c>
      <c r="D116" s="23">
        <f>D95</f>
        <v>0.7117879412824406</v>
      </c>
      <c r="E116" s="36">
        <f>(A116*B116+C116*D116)*F18</f>
        <v>1762989.9999999998</v>
      </c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06.5" customHeight="1">
      <c r="A118" s="12" t="s">
        <v>272</v>
      </c>
      <c r="B118" s="12"/>
      <c r="C118" s="12"/>
      <c r="D118" s="12"/>
      <c r="E118" s="12"/>
      <c r="F118" s="12"/>
      <c r="G118" s="12"/>
      <c r="H118" s="3"/>
      <c r="I118" s="3"/>
      <c r="J118" s="3"/>
      <c r="K118" s="3"/>
      <c r="L118" s="3"/>
      <c r="M118" s="3"/>
    </row>
    <row r="119" spans="1:13" ht="12.75">
      <c r="A119" s="3"/>
      <c r="B119" s="3"/>
      <c r="C119" s="3"/>
      <c r="D119" s="3" t="s">
        <v>95</v>
      </c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>
      <c r="A121" s="3" t="s">
        <v>96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>
      <c r="A123" s="3" t="s">
        <v>97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>
      <c r="A125" s="3" t="s">
        <v>98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>
      <c r="A127" s="3" t="s">
        <v>99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40.25">
      <c r="A129" s="74" t="s">
        <v>100</v>
      </c>
      <c r="B129" s="9" t="s">
        <v>101</v>
      </c>
      <c r="C129" s="74" t="s">
        <v>102</v>
      </c>
      <c r="D129" s="74" t="s">
        <v>103</v>
      </c>
      <c r="E129" s="53"/>
      <c r="F129" s="53"/>
      <c r="G129" s="53"/>
      <c r="H129" s="3"/>
      <c r="I129" s="3"/>
      <c r="J129" s="3"/>
      <c r="K129" s="3"/>
      <c r="L129" s="3"/>
      <c r="M129" s="3"/>
    </row>
    <row r="130" spans="1:13" ht="12.75">
      <c r="A130" s="54">
        <f>4009505+32904+37400+11143+4606+1200-101</f>
        <v>4096657</v>
      </c>
      <c r="B130" s="54">
        <f>396000+119592</f>
        <v>515592</v>
      </c>
      <c r="C130" s="55">
        <f>216000+65232</f>
        <v>281232</v>
      </c>
      <c r="D130" s="56">
        <f>A130+B130+C130</f>
        <v>4893481</v>
      </c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>
      <c r="A133" s="68" t="s">
        <v>107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16" t="s">
        <v>108</v>
      </c>
      <c r="B135" s="16">
        <v>0</v>
      </c>
      <c r="C135" s="16"/>
      <c r="D135" s="62">
        <v>237889</v>
      </c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>
      <c r="A136" s="16" t="s">
        <v>109</v>
      </c>
      <c r="B136" s="16">
        <v>0</v>
      </c>
      <c r="C136" s="16"/>
      <c r="D136" s="62">
        <v>71842</v>
      </c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21" t="s">
        <v>50</v>
      </c>
      <c r="B137" s="21">
        <f>B135+B136</f>
        <v>0</v>
      </c>
      <c r="C137" s="21"/>
      <c r="D137" s="64">
        <f>D135+D136</f>
        <v>309731</v>
      </c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6:13" ht="12.75">
      <c r="F366" s="3"/>
      <c r="G366" s="3"/>
      <c r="H366" s="3"/>
      <c r="I366" s="3"/>
      <c r="J366" s="3"/>
      <c r="K366" s="3"/>
      <c r="L366" s="3"/>
      <c r="M366" s="3"/>
    </row>
  </sheetData>
  <sheetProtection selectLockedCells="1" selectUnlockedCells="1"/>
  <mergeCells count="19">
    <mergeCell ref="A2:G2"/>
    <mergeCell ref="A4:G4"/>
    <mergeCell ref="A5:A6"/>
    <mergeCell ref="B5:C5"/>
    <mergeCell ref="D5:D6"/>
    <mergeCell ref="B6:C6"/>
    <mergeCell ref="A11:G11"/>
    <mergeCell ref="A20:G20"/>
    <mergeCell ref="A44:G44"/>
    <mergeCell ref="A55:G55"/>
    <mergeCell ref="A71:G71"/>
    <mergeCell ref="A80:G80"/>
    <mergeCell ref="A90:G90"/>
    <mergeCell ref="A92:G92"/>
    <mergeCell ref="A97:G97"/>
    <mergeCell ref="A99:G99"/>
    <mergeCell ref="A107:G107"/>
    <mergeCell ref="A111:G111"/>
    <mergeCell ref="A118:G118"/>
  </mergeCells>
  <printOptions/>
  <pageMargins left="0.7083333333333334" right="0.7083333333333334" top="0.7479166666666667" bottom="0.7479166666666667" header="0.5118055555555555" footer="0.5118055555555555"/>
  <pageSetup fitToHeight="3" fitToWidth="1"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M366"/>
  <sheetViews>
    <sheetView workbookViewId="0" topLeftCell="A124">
      <selection activeCell="F135" sqref="F135"/>
    </sheetView>
  </sheetViews>
  <sheetFormatPr defaultColWidth="8.00390625" defaultRowHeight="12.75"/>
  <cols>
    <col min="1" max="1" width="18.00390625" style="0" customWidth="1"/>
    <col min="2" max="2" width="13.625" style="0" customWidth="1"/>
    <col min="3" max="3" width="13.00390625" style="0" customWidth="1"/>
    <col min="4" max="4" width="12.375" style="0" customWidth="1"/>
    <col min="5" max="5" width="15.625" style="0" customWidth="1"/>
    <col min="6" max="6" width="12.75390625" style="0" customWidth="1"/>
    <col min="7" max="7" width="13.625" style="0" customWidth="1"/>
    <col min="8" max="16384" width="9.00390625" style="0" customWidth="1"/>
  </cols>
  <sheetData>
    <row r="2" spans="1:13" ht="59.25" customHeight="1">
      <c r="A2" s="1" t="s">
        <v>273</v>
      </c>
      <c r="B2" s="1"/>
      <c r="C2" s="1"/>
      <c r="D2" s="1"/>
      <c r="E2" s="1"/>
      <c r="F2" s="1"/>
      <c r="G2" s="1"/>
      <c r="H2" s="2"/>
      <c r="I2" s="2"/>
      <c r="J2" s="2"/>
      <c r="K2" s="3"/>
      <c r="L2" s="3"/>
      <c r="M2" s="3"/>
    </row>
    <row r="3" spans="1:1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40.5" customHeight="1">
      <c r="A4" s="4" t="s">
        <v>1</v>
      </c>
      <c r="B4" s="4"/>
      <c r="C4" s="4"/>
      <c r="D4" s="4"/>
      <c r="E4" s="4"/>
      <c r="F4" s="4"/>
      <c r="G4" s="4"/>
      <c r="H4" s="3"/>
      <c r="I4" s="3"/>
      <c r="J4" s="3"/>
      <c r="K4" s="3"/>
      <c r="L4" s="3"/>
      <c r="M4" s="3"/>
    </row>
    <row r="5" spans="1:13" ht="12.75" customHeight="1">
      <c r="A5" s="5" t="s">
        <v>2</v>
      </c>
      <c r="B5" s="6" t="s">
        <v>3</v>
      </c>
      <c r="C5" s="6"/>
      <c r="D5" s="7" t="s">
        <v>4</v>
      </c>
      <c r="E5" s="3"/>
      <c r="F5" s="3"/>
      <c r="G5" s="3"/>
      <c r="H5" s="3"/>
      <c r="I5" s="3"/>
      <c r="J5" s="3"/>
      <c r="K5" s="3"/>
      <c r="L5" s="3"/>
      <c r="M5" s="3"/>
    </row>
    <row r="6" spans="1:13" ht="12.75" customHeight="1">
      <c r="A6" s="5"/>
      <c r="B6" s="8">
        <v>12</v>
      </c>
      <c r="C6" s="8"/>
      <c r="D6" s="7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 s="3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 s="3" t="s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42" customHeight="1">
      <c r="A11" s="4" t="s">
        <v>7</v>
      </c>
      <c r="B11" s="4"/>
      <c r="C11" s="4"/>
      <c r="D11" s="4"/>
      <c r="E11" s="4"/>
      <c r="F11" s="4"/>
      <c r="G11" s="4"/>
      <c r="H11" s="3"/>
      <c r="I11" s="3"/>
      <c r="J11" s="3"/>
      <c r="K11" s="3"/>
      <c r="L11" s="3"/>
      <c r="M11" s="3"/>
    </row>
    <row r="12" spans="1:1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 s="3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3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99" customHeight="1">
      <c r="A17" s="9" t="s">
        <v>10</v>
      </c>
      <c r="B17" s="9" t="s">
        <v>119</v>
      </c>
      <c r="C17" s="10" t="s">
        <v>12</v>
      </c>
      <c r="D17" s="9" t="s">
        <v>126</v>
      </c>
      <c r="E17" s="9" t="s">
        <v>111</v>
      </c>
      <c r="F17" s="9" t="s">
        <v>15</v>
      </c>
      <c r="G17" s="3"/>
      <c r="H17" s="3"/>
      <c r="I17" s="3"/>
      <c r="J17" s="3"/>
      <c r="K17" s="3"/>
      <c r="L17" s="3"/>
      <c r="M17" s="3"/>
    </row>
    <row r="18" spans="1:13" ht="29.25" customHeight="1">
      <c r="A18" s="9">
        <v>102</v>
      </c>
      <c r="B18" s="14">
        <v>0</v>
      </c>
      <c r="C18" s="9">
        <v>27</v>
      </c>
      <c r="D18" s="9">
        <v>13</v>
      </c>
      <c r="E18" s="11">
        <v>0</v>
      </c>
      <c r="F18" s="11">
        <v>88</v>
      </c>
      <c r="G18" s="3"/>
      <c r="H18" s="3"/>
      <c r="I18" s="3"/>
      <c r="J18" s="3"/>
      <c r="K18" s="3"/>
      <c r="L18" s="3"/>
      <c r="M18" s="3"/>
    </row>
    <row r="19" spans="1:1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27" customHeight="1">
      <c r="A20" s="12" t="s">
        <v>16</v>
      </c>
      <c r="B20" s="12"/>
      <c r="C20" s="12"/>
      <c r="D20" s="12"/>
      <c r="E20" s="12"/>
      <c r="F20" s="12"/>
      <c r="G20" s="12"/>
      <c r="H20" s="13"/>
      <c r="I20" s="13"/>
      <c r="J20" s="13"/>
      <c r="K20" s="3"/>
      <c r="L20" s="3"/>
      <c r="M20" s="3"/>
    </row>
    <row r="21" spans="1:13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 s="3" t="s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3" t="s">
        <v>18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3" t="s">
        <v>19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 s="3" t="s">
        <v>20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 t="s">
        <v>21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 s="3" t="s">
        <v>22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s="3" t="s">
        <v>23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63.75" customHeight="1">
      <c r="A36" s="14" t="s">
        <v>24</v>
      </c>
      <c r="B36" s="15" t="s">
        <v>25</v>
      </c>
      <c r="C36" s="14" t="s">
        <v>26</v>
      </c>
      <c r="D36" s="14" t="s">
        <v>27</v>
      </c>
      <c r="E36" s="14" t="s">
        <v>28</v>
      </c>
      <c r="F36" s="14" t="s">
        <v>29</v>
      </c>
      <c r="G36" s="3"/>
      <c r="H36" s="3"/>
      <c r="I36" s="3"/>
      <c r="J36" s="3"/>
      <c r="K36" s="3"/>
      <c r="L36" s="3"/>
      <c r="M36" s="3"/>
    </row>
    <row r="37" spans="1:13" ht="12.75">
      <c r="A37" s="16" t="s">
        <v>30</v>
      </c>
      <c r="B37" s="17">
        <f>F18</f>
        <v>88</v>
      </c>
      <c r="C37" s="18">
        <f>F53</f>
        <v>6787.936363636363</v>
      </c>
      <c r="D37" s="18">
        <f>E53</f>
        <v>597338.4</v>
      </c>
      <c r="E37" s="19">
        <f>G53</f>
        <v>0.8740010687409348</v>
      </c>
      <c r="F37" s="18">
        <f aca="true" t="shared" si="0" ref="F37:F40">D37*E37</f>
        <v>522074.4</v>
      </c>
      <c r="G37" s="3"/>
      <c r="H37" s="3"/>
      <c r="I37" s="3"/>
      <c r="J37" s="3"/>
      <c r="K37" s="3"/>
      <c r="L37" s="3"/>
      <c r="M37" s="3"/>
    </row>
    <row r="38" spans="1:13" ht="12.75">
      <c r="A38" s="16" t="s">
        <v>31</v>
      </c>
      <c r="B38" s="17">
        <f aca="true" t="shared" si="1" ref="B38:B41">B37</f>
        <v>88</v>
      </c>
      <c r="C38" s="18">
        <f>F69</f>
        <v>11100.472727272729</v>
      </c>
      <c r="D38" s="18">
        <f>E69</f>
        <v>976841.6</v>
      </c>
      <c r="E38" s="19">
        <f>G69</f>
        <v>0.7447989520511821</v>
      </c>
      <c r="F38" s="18">
        <f t="shared" si="0"/>
        <v>727550.6</v>
      </c>
      <c r="G38" s="3"/>
      <c r="H38" s="3"/>
      <c r="I38" s="3"/>
      <c r="J38" s="3"/>
      <c r="K38" s="3"/>
      <c r="L38" s="3"/>
      <c r="M38" s="3"/>
    </row>
    <row r="39" spans="1:13" ht="12.75">
      <c r="A39" s="16" t="s">
        <v>32</v>
      </c>
      <c r="B39" s="17">
        <f t="shared" si="1"/>
        <v>88</v>
      </c>
      <c r="C39" s="18">
        <f>C78</f>
        <v>996.0795454545455</v>
      </c>
      <c r="D39" s="18">
        <f>B78</f>
        <v>87655</v>
      </c>
      <c r="E39" s="19">
        <f>D78</f>
        <v>0.7117791341052991</v>
      </c>
      <c r="F39" s="18">
        <f t="shared" si="0"/>
        <v>62390.99999999999</v>
      </c>
      <c r="G39" s="3"/>
      <c r="H39" s="3"/>
      <c r="I39" s="3"/>
      <c r="J39" s="3"/>
      <c r="K39" s="3"/>
      <c r="L39" s="3"/>
      <c r="M39" s="3"/>
    </row>
    <row r="40" spans="1:13" ht="12.75">
      <c r="A40" s="16" t="s">
        <v>33</v>
      </c>
      <c r="B40" s="17">
        <f t="shared" si="1"/>
        <v>88</v>
      </c>
      <c r="C40" s="18">
        <f>F88</f>
        <v>0</v>
      </c>
      <c r="D40" s="18">
        <f>E88</f>
        <v>0</v>
      </c>
      <c r="E40" s="19">
        <v>0</v>
      </c>
      <c r="F40" s="18">
        <f t="shared" si="0"/>
        <v>0</v>
      </c>
      <c r="G40" s="3"/>
      <c r="H40" s="3"/>
      <c r="I40" s="3"/>
      <c r="J40" s="3"/>
      <c r="K40" s="3"/>
      <c r="L40" s="3"/>
      <c r="M40" s="3"/>
    </row>
    <row r="41" spans="1:13" ht="12.75">
      <c r="A41" s="16" t="s">
        <v>34</v>
      </c>
      <c r="B41" s="17">
        <f t="shared" si="1"/>
        <v>88</v>
      </c>
      <c r="C41" s="18">
        <v>0</v>
      </c>
      <c r="D41" s="18">
        <v>0</v>
      </c>
      <c r="E41" s="19">
        <v>1</v>
      </c>
      <c r="F41" s="18">
        <f>D137</f>
        <v>674282</v>
      </c>
      <c r="G41" s="3"/>
      <c r="H41" s="3"/>
      <c r="I41" s="3"/>
      <c r="J41" s="3"/>
      <c r="K41" s="3"/>
      <c r="L41" s="3"/>
      <c r="M41" s="3"/>
    </row>
    <row r="42" spans="1:13" ht="12.75">
      <c r="A42" s="20" t="s">
        <v>35</v>
      </c>
      <c r="B42" s="21"/>
      <c r="C42" s="22">
        <f>D42/B40</f>
        <v>18884.488636363636</v>
      </c>
      <c r="D42" s="22">
        <f>SUM(D37:D40)</f>
        <v>1661835</v>
      </c>
      <c r="E42" s="23">
        <f>F42/D42</f>
        <v>1.1952438118104385</v>
      </c>
      <c r="F42" s="18">
        <f>F37+F38+F39+F40+F41</f>
        <v>1986298</v>
      </c>
      <c r="G42" s="24">
        <f>F42+E95</f>
        <v>2815337</v>
      </c>
      <c r="H42" s="3"/>
      <c r="I42" s="3"/>
      <c r="J42" s="3"/>
      <c r="K42" s="3"/>
      <c r="L42" s="3"/>
      <c r="M42" s="3"/>
    </row>
    <row r="43" spans="1:13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30.75" customHeight="1">
      <c r="A44" s="25" t="s">
        <v>274</v>
      </c>
      <c r="B44" s="25"/>
      <c r="C44" s="25"/>
      <c r="D44" s="25"/>
      <c r="E44" s="25"/>
      <c r="F44" s="25"/>
      <c r="G44" s="25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3" t="s">
        <v>37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63.75">
      <c r="A48" s="14" t="s">
        <v>38</v>
      </c>
      <c r="B48" s="14" t="s">
        <v>39</v>
      </c>
      <c r="C48" s="14" t="s">
        <v>40</v>
      </c>
      <c r="D48" s="14" t="s">
        <v>41</v>
      </c>
      <c r="E48" s="14" t="s">
        <v>42</v>
      </c>
      <c r="F48" s="14" t="s">
        <v>26</v>
      </c>
      <c r="G48" s="14" t="s">
        <v>28</v>
      </c>
      <c r="H48" s="3"/>
      <c r="I48" s="3"/>
      <c r="J48" s="3"/>
      <c r="K48" s="3"/>
      <c r="L48" s="3"/>
      <c r="M48" s="3"/>
    </row>
    <row r="49" spans="1:13" ht="25.5">
      <c r="A49" s="26" t="s">
        <v>43</v>
      </c>
      <c r="B49" s="27" t="s">
        <v>44</v>
      </c>
      <c r="C49" s="19">
        <v>0</v>
      </c>
      <c r="D49" s="19">
        <v>0</v>
      </c>
      <c r="E49" s="19">
        <v>0</v>
      </c>
      <c r="F49" s="19">
        <f aca="true" t="shared" si="2" ref="F49:F52">E49/$B$40</f>
        <v>0</v>
      </c>
      <c r="G49" s="72">
        <v>0</v>
      </c>
      <c r="H49" s="3"/>
      <c r="I49" s="3"/>
      <c r="J49" s="3"/>
      <c r="K49" s="3"/>
      <c r="L49" s="3"/>
      <c r="M49" s="3"/>
    </row>
    <row r="50" spans="1:13" ht="25.5">
      <c r="A50" s="26" t="s">
        <v>45</v>
      </c>
      <c r="B50" s="27" t="s">
        <v>46</v>
      </c>
      <c r="C50" s="19">
        <f>15248/2</f>
        <v>7624</v>
      </c>
      <c r="D50" s="19">
        <f aca="true" t="shared" si="3" ref="D50:D52">E50/C50</f>
        <v>8.361490031479539</v>
      </c>
      <c r="E50" s="19">
        <f>127496/2</f>
        <v>63748</v>
      </c>
      <c r="F50" s="19">
        <f t="shared" si="2"/>
        <v>724.4090909090909</v>
      </c>
      <c r="G50" s="72">
        <f>(127496/2/E50)</f>
        <v>1</v>
      </c>
      <c r="H50" s="3"/>
      <c r="I50" s="3"/>
      <c r="J50" s="3"/>
      <c r="K50" s="3"/>
      <c r="L50" s="3"/>
      <c r="M50" s="3"/>
    </row>
    <row r="51" spans="1:13" ht="25.5">
      <c r="A51" s="26" t="s">
        <v>47</v>
      </c>
      <c r="B51" s="27" t="s">
        <v>48</v>
      </c>
      <c r="C51" s="19">
        <f>35600*90%</f>
        <v>32040</v>
      </c>
      <c r="D51" s="19">
        <f t="shared" si="3"/>
        <v>13.52179775280899</v>
      </c>
      <c r="E51" s="19">
        <f>481376*90%</f>
        <v>433238.4</v>
      </c>
      <c r="F51" s="19">
        <f t="shared" si="2"/>
        <v>4923.163636363636</v>
      </c>
      <c r="G51" s="72">
        <f>(481376*90%/E51)</f>
        <v>1</v>
      </c>
      <c r="H51" s="3"/>
      <c r="I51" s="3"/>
      <c r="J51" s="3"/>
      <c r="K51" s="3"/>
      <c r="L51" s="3"/>
      <c r="M51" s="3"/>
    </row>
    <row r="52" spans="1:13" ht="25.5">
      <c r="A52" s="26" t="s">
        <v>49</v>
      </c>
      <c r="B52" s="27" t="s">
        <v>46</v>
      </c>
      <c r="C52" s="19">
        <f>1700</f>
        <v>1700</v>
      </c>
      <c r="D52" s="19">
        <f t="shared" si="3"/>
        <v>59.03058823529412</v>
      </c>
      <c r="E52" s="19">
        <v>100352</v>
      </c>
      <c r="F52" s="19">
        <f t="shared" si="2"/>
        <v>1140.3636363636363</v>
      </c>
      <c r="G52" s="72">
        <f>(25088/E52)</f>
        <v>0.25</v>
      </c>
      <c r="H52" s="3"/>
      <c r="I52" s="3"/>
      <c r="J52" s="3"/>
      <c r="K52" s="3"/>
      <c r="L52" s="3"/>
      <c r="M52" s="3"/>
    </row>
    <row r="53" spans="1:13" ht="20.25" customHeight="1">
      <c r="A53" s="28" t="s">
        <v>50</v>
      </c>
      <c r="B53" s="29"/>
      <c r="C53" s="23"/>
      <c r="D53" s="23"/>
      <c r="E53" s="23">
        <f>E49+E50+E51+E52</f>
        <v>597338.4</v>
      </c>
      <c r="F53" s="23">
        <f>F49+F50+F51+F52</f>
        <v>6787.936363636363</v>
      </c>
      <c r="G53" s="23">
        <f>(127496/2+481376*90%+25088)/E53</f>
        <v>0.8740010687409348</v>
      </c>
      <c r="H53" s="3"/>
      <c r="I53" s="3"/>
      <c r="J53" s="3"/>
      <c r="K53" s="3"/>
      <c r="L53" s="3"/>
      <c r="M53" s="3"/>
    </row>
    <row r="54" spans="1:13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24" customHeight="1">
      <c r="A55" s="25" t="s">
        <v>275</v>
      </c>
      <c r="B55" s="25"/>
      <c r="C55" s="25"/>
      <c r="D55" s="25"/>
      <c r="E55" s="25"/>
      <c r="F55" s="25"/>
      <c r="G55" s="25"/>
      <c r="H55" s="3"/>
      <c r="I55" s="3"/>
      <c r="J55" s="3"/>
      <c r="K55" s="3"/>
      <c r="L55" s="3"/>
      <c r="M55" s="3"/>
    </row>
    <row r="56" spans="1:1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75">
      <c r="A57" s="3" t="s">
        <v>52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63.75">
      <c r="A59" s="14" t="s">
        <v>38</v>
      </c>
      <c r="B59" s="14" t="s">
        <v>39</v>
      </c>
      <c r="C59" s="14" t="s">
        <v>53</v>
      </c>
      <c r="D59" s="14" t="s">
        <v>54</v>
      </c>
      <c r="E59" s="14" t="s">
        <v>42</v>
      </c>
      <c r="F59" s="14" t="s">
        <v>26</v>
      </c>
      <c r="G59" s="14" t="s">
        <v>28</v>
      </c>
      <c r="H59" s="3"/>
      <c r="I59" s="3"/>
      <c r="J59" s="3"/>
      <c r="K59" s="3"/>
      <c r="L59" s="3"/>
      <c r="M59" s="3"/>
    </row>
    <row r="60" spans="1:13" ht="45.75" customHeight="1">
      <c r="A60" s="26" t="s">
        <v>55</v>
      </c>
      <c r="B60" s="30"/>
      <c r="C60" s="19"/>
      <c r="D60" s="19"/>
      <c r="E60" s="19">
        <v>50740</v>
      </c>
      <c r="F60" s="19">
        <f aca="true" t="shared" si="4" ref="F60:F68">E60/$B$40</f>
        <v>576.5909090909091</v>
      </c>
      <c r="G60" s="72">
        <f>(36116/E60)</f>
        <v>0.7117855735120221</v>
      </c>
      <c r="H60" s="3"/>
      <c r="I60" s="3"/>
      <c r="J60" s="3"/>
      <c r="K60" s="3"/>
      <c r="L60" s="3"/>
      <c r="M60" s="3"/>
    </row>
    <row r="61" spans="1:13" ht="25.5">
      <c r="A61" s="26" t="s">
        <v>56</v>
      </c>
      <c r="B61" s="30" t="s">
        <v>57</v>
      </c>
      <c r="C61" s="19">
        <v>1</v>
      </c>
      <c r="D61" s="19">
        <f>E61/C61</f>
        <v>0</v>
      </c>
      <c r="E61" s="19">
        <v>0</v>
      </c>
      <c r="F61" s="19">
        <f t="shared" si="4"/>
        <v>0</v>
      </c>
      <c r="G61" s="72" t="e">
        <f aca="true" t="shared" si="5" ref="G61:G62">(0/E61)</f>
        <v>#DIV/0!</v>
      </c>
      <c r="H61" s="3"/>
      <c r="I61" s="3"/>
      <c r="J61" s="3"/>
      <c r="K61" s="3"/>
      <c r="L61" s="3"/>
      <c r="M61" s="3"/>
    </row>
    <row r="62" spans="1:13" ht="18" customHeight="1">
      <c r="A62" s="26" t="s">
        <v>58</v>
      </c>
      <c r="B62" s="30"/>
      <c r="C62" s="19"/>
      <c r="D62" s="19"/>
      <c r="E62" s="19">
        <v>0</v>
      </c>
      <c r="F62" s="19">
        <f t="shared" si="4"/>
        <v>0</v>
      </c>
      <c r="G62" s="72" t="e">
        <f t="shared" si="5"/>
        <v>#DIV/0!</v>
      </c>
      <c r="H62" s="3"/>
      <c r="I62" s="3"/>
      <c r="J62" s="3"/>
      <c r="K62" s="3"/>
      <c r="L62" s="3"/>
      <c r="M62" s="3"/>
    </row>
    <row r="63" spans="1:13" ht="18" customHeight="1">
      <c r="A63" s="26" t="s">
        <v>59</v>
      </c>
      <c r="B63" s="30"/>
      <c r="C63" s="19"/>
      <c r="D63" s="19"/>
      <c r="E63" s="19">
        <v>809640</v>
      </c>
      <c r="F63" s="19">
        <f t="shared" si="4"/>
        <v>9200.454545454546</v>
      </c>
      <c r="G63" s="72">
        <f>(576292/E63)</f>
        <v>0.7117879551405563</v>
      </c>
      <c r="H63" s="3"/>
      <c r="I63" s="3"/>
      <c r="J63" s="3"/>
      <c r="K63" s="3"/>
      <c r="L63" s="3"/>
      <c r="M63" s="3"/>
    </row>
    <row r="64" spans="1:13" ht="25.5">
      <c r="A64" s="26" t="s">
        <v>43</v>
      </c>
      <c r="B64" s="27" t="s">
        <v>44</v>
      </c>
      <c r="C64" s="19">
        <v>0</v>
      </c>
      <c r="D64" s="19">
        <v>0</v>
      </c>
      <c r="E64" s="19">
        <v>0</v>
      </c>
      <c r="F64" s="19">
        <f t="shared" si="4"/>
        <v>0</v>
      </c>
      <c r="G64" s="72">
        <v>0</v>
      </c>
      <c r="H64" s="3"/>
      <c r="I64" s="3"/>
      <c r="J64" s="3"/>
      <c r="K64" s="3"/>
      <c r="L64" s="3"/>
      <c r="M64" s="3"/>
    </row>
    <row r="65" spans="1:13" ht="25.5">
      <c r="A65" s="26" t="s">
        <v>45</v>
      </c>
      <c r="B65" s="27" t="s">
        <v>46</v>
      </c>
      <c r="C65" s="19">
        <f>15248/2</f>
        <v>7624</v>
      </c>
      <c r="D65" s="19">
        <f aca="true" t="shared" si="6" ref="D65:D66">E65/C65</f>
        <v>8.361490031479539</v>
      </c>
      <c r="E65" s="19">
        <f>127496/2</f>
        <v>63748</v>
      </c>
      <c r="F65" s="19">
        <f t="shared" si="4"/>
        <v>724.4090909090909</v>
      </c>
      <c r="G65" s="72">
        <f>(127496/2/E65)</f>
        <v>1</v>
      </c>
      <c r="H65" s="3"/>
      <c r="I65" s="3"/>
      <c r="J65" s="3"/>
      <c r="K65" s="3"/>
      <c r="L65" s="3"/>
      <c r="M65" s="3"/>
    </row>
    <row r="66" spans="1:13" ht="25.5">
      <c r="A66" s="26" t="s">
        <v>47</v>
      </c>
      <c r="B66" s="27" t="s">
        <v>48</v>
      </c>
      <c r="C66" s="19">
        <f>35600*10%</f>
        <v>3560</v>
      </c>
      <c r="D66" s="19">
        <f t="shared" si="6"/>
        <v>13.52179775280899</v>
      </c>
      <c r="E66" s="19">
        <f>481376*10%</f>
        <v>48137.600000000006</v>
      </c>
      <c r="F66" s="19">
        <f t="shared" si="4"/>
        <v>547.0181818181819</v>
      </c>
      <c r="G66" s="72">
        <f>(481376*10%/E66)</f>
        <v>1</v>
      </c>
      <c r="H66" s="3"/>
      <c r="I66" s="3"/>
      <c r="J66" s="3"/>
      <c r="K66" s="3"/>
      <c r="L66" s="3"/>
      <c r="M66" s="3"/>
    </row>
    <row r="67" spans="1:13" ht="25.5" customHeight="1">
      <c r="A67" s="26" t="s">
        <v>60</v>
      </c>
      <c r="B67" s="30"/>
      <c r="C67" s="19"/>
      <c r="D67" s="19"/>
      <c r="E67" s="19">
        <v>4576</v>
      </c>
      <c r="F67" s="19">
        <f t="shared" si="4"/>
        <v>52</v>
      </c>
      <c r="G67" s="72">
        <f>(3257/E67)</f>
        <v>0.711756993006993</v>
      </c>
      <c r="H67" s="3"/>
      <c r="I67" s="3"/>
      <c r="J67" s="3"/>
      <c r="K67" s="3"/>
      <c r="L67" s="3"/>
      <c r="M67" s="3"/>
    </row>
    <row r="68" spans="1:13" ht="12.75">
      <c r="A68" s="26" t="s">
        <v>61</v>
      </c>
      <c r="B68" s="30"/>
      <c r="C68" s="19"/>
      <c r="D68" s="19"/>
      <c r="E68" s="19">
        <v>0</v>
      </c>
      <c r="F68" s="19">
        <f t="shared" si="4"/>
        <v>0</v>
      </c>
      <c r="G68" s="72" t="e">
        <f>(0/E68)</f>
        <v>#DIV/0!</v>
      </c>
      <c r="H68" s="3"/>
      <c r="I68" s="3"/>
      <c r="J68" s="3"/>
      <c r="K68" s="3"/>
      <c r="L68" s="3"/>
      <c r="M68" s="3"/>
    </row>
    <row r="69" spans="1:13" ht="24.75" customHeight="1">
      <c r="A69" s="28" t="s">
        <v>50</v>
      </c>
      <c r="B69" s="31"/>
      <c r="C69" s="23"/>
      <c r="D69" s="23"/>
      <c r="E69" s="23">
        <f>SUM(E60:E68)</f>
        <v>976841.6</v>
      </c>
      <c r="F69" s="23">
        <f>SUM(F60:F68)</f>
        <v>11100.472727272729</v>
      </c>
      <c r="G69" s="73">
        <f>(36116+576292+127496/2+481376*10%+3257)/E69</f>
        <v>0.7447989520511821</v>
      </c>
      <c r="H69" s="3"/>
      <c r="I69" s="3"/>
      <c r="J69" s="3"/>
      <c r="K69" s="3"/>
      <c r="L69" s="3"/>
      <c r="M69" s="3"/>
    </row>
    <row r="70" spans="1:13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26.25" customHeight="1">
      <c r="A71" s="25" t="s">
        <v>62</v>
      </c>
      <c r="B71" s="25"/>
      <c r="C71" s="25"/>
      <c r="D71" s="25"/>
      <c r="E71" s="25"/>
      <c r="F71" s="25"/>
      <c r="G71" s="25"/>
      <c r="H71" s="3"/>
      <c r="I71" s="3"/>
      <c r="J71" s="3"/>
      <c r="K71" s="3"/>
      <c r="L71" s="3"/>
      <c r="M71" s="3"/>
    </row>
    <row r="72" spans="1:13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>
      <c r="A73" s="3" t="s">
        <v>63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63.75">
      <c r="A75" s="14" t="s">
        <v>38</v>
      </c>
      <c r="B75" s="14" t="s">
        <v>42</v>
      </c>
      <c r="C75" s="14" t="s">
        <v>26</v>
      </c>
      <c r="D75" s="14" t="s">
        <v>28</v>
      </c>
      <c r="E75" s="32"/>
      <c r="F75" s="32"/>
      <c r="G75" s="32"/>
      <c r="H75" s="3"/>
      <c r="I75" s="3"/>
      <c r="J75" s="3"/>
      <c r="K75" s="3"/>
      <c r="L75" s="3"/>
      <c r="M75" s="3"/>
    </row>
    <row r="76" spans="1:13" ht="51">
      <c r="A76" s="26" t="s">
        <v>64</v>
      </c>
      <c r="B76" s="33">
        <v>446</v>
      </c>
      <c r="C76" s="19">
        <f aca="true" t="shared" si="7" ref="C76:C77">B76/$B$40</f>
        <v>5.068181818181818</v>
      </c>
      <c r="D76" s="72">
        <f>(317/B76)</f>
        <v>0.7107623318385651</v>
      </c>
      <c r="E76" s="34"/>
      <c r="F76" s="35"/>
      <c r="G76" s="35"/>
      <c r="H76" s="3"/>
      <c r="I76" s="3"/>
      <c r="J76" s="3"/>
      <c r="K76" s="3"/>
      <c r="L76" s="3"/>
      <c r="M76" s="3"/>
    </row>
    <row r="77" spans="1:13" ht="19.5" customHeight="1">
      <c r="A77" s="26" t="s">
        <v>65</v>
      </c>
      <c r="B77" s="33">
        <f>69754+17455</f>
        <v>87209</v>
      </c>
      <c r="C77" s="19">
        <f t="shared" si="7"/>
        <v>991.0113636363636</v>
      </c>
      <c r="D77" s="72">
        <f>(49650+12424)/B77</f>
        <v>0.7117843341856919</v>
      </c>
      <c r="E77" s="34"/>
      <c r="F77" s="35"/>
      <c r="G77" s="35"/>
      <c r="H77" s="3"/>
      <c r="I77" s="3"/>
      <c r="J77" s="3"/>
      <c r="K77" s="3"/>
      <c r="L77" s="3"/>
      <c r="M77" s="3"/>
    </row>
    <row r="78" spans="1:13" ht="27" customHeight="1">
      <c r="A78" s="28" t="s">
        <v>50</v>
      </c>
      <c r="B78" s="36">
        <f>SUM(B76:B77)</f>
        <v>87655</v>
      </c>
      <c r="C78" s="36">
        <f>SUM(C76:C77)</f>
        <v>996.0795454545455</v>
      </c>
      <c r="D78" s="75">
        <f>(49650+12424+317)/B78</f>
        <v>0.7117791341052991</v>
      </c>
      <c r="E78" s="37"/>
      <c r="F78" s="37"/>
      <c r="G78" s="37"/>
      <c r="H78" s="3"/>
      <c r="I78" s="3"/>
      <c r="J78" s="3"/>
      <c r="K78" s="3"/>
      <c r="L78" s="3"/>
      <c r="M78" s="3"/>
    </row>
    <row r="79" spans="1:13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29.25" customHeight="1">
      <c r="A80" s="25" t="s">
        <v>66</v>
      </c>
      <c r="B80" s="25"/>
      <c r="C80" s="25"/>
      <c r="D80" s="25"/>
      <c r="E80" s="25"/>
      <c r="F80" s="25"/>
      <c r="G80" s="25"/>
      <c r="H80" s="3"/>
      <c r="I80" s="3"/>
      <c r="J80" s="3"/>
      <c r="K80" s="3"/>
      <c r="L80" s="3"/>
      <c r="M80" s="3"/>
    </row>
    <row r="81" spans="1:13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 hidden="1">
      <c r="A82" s="3" t="s">
        <v>67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63.75" hidden="1">
      <c r="A84" s="38" t="s">
        <v>68</v>
      </c>
      <c r="B84" s="10" t="s">
        <v>69</v>
      </c>
      <c r="C84" s="14" t="s">
        <v>54</v>
      </c>
      <c r="D84" s="10" t="s">
        <v>70</v>
      </c>
      <c r="E84" s="39" t="s">
        <v>71</v>
      </c>
      <c r="F84" s="14" t="s">
        <v>26</v>
      </c>
      <c r="G84" s="14" t="s">
        <v>28</v>
      </c>
      <c r="H84" s="3"/>
      <c r="I84" s="3"/>
      <c r="J84" s="3"/>
      <c r="K84" s="3"/>
      <c r="L84" s="3"/>
      <c r="M84" s="3"/>
    </row>
    <row r="85" spans="1:13" ht="12.75" hidden="1">
      <c r="A85" s="40" t="s">
        <v>72</v>
      </c>
      <c r="B85" s="41">
        <v>1</v>
      </c>
      <c r="C85" s="42">
        <f aca="true" t="shared" si="8" ref="C85:C86">E85/D85/B85</f>
        <v>0</v>
      </c>
      <c r="D85" s="43">
        <v>12</v>
      </c>
      <c r="E85" s="44">
        <v>0</v>
      </c>
      <c r="F85" s="19">
        <f aca="true" t="shared" si="9" ref="F85:F88">E85/$B$40</f>
        <v>0</v>
      </c>
      <c r="G85" s="72" t="e">
        <f aca="true" t="shared" si="10" ref="G85:G87">(0/E85)</f>
        <v>#DIV/0!</v>
      </c>
      <c r="H85" s="3"/>
      <c r="I85" s="3"/>
      <c r="J85" s="3"/>
      <c r="K85" s="3"/>
      <c r="L85" s="3"/>
      <c r="M85" s="3"/>
    </row>
    <row r="86" spans="1:13" ht="12.75" hidden="1">
      <c r="A86" s="40" t="s">
        <v>73</v>
      </c>
      <c r="B86" s="39">
        <v>1</v>
      </c>
      <c r="C86" s="42">
        <f t="shared" si="8"/>
        <v>0</v>
      </c>
      <c r="D86" s="43">
        <v>12</v>
      </c>
      <c r="E86" s="44">
        <v>0</v>
      </c>
      <c r="F86" s="19">
        <f t="shared" si="9"/>
        <v>0</v>
      </c>
      <c r="G86" s="72" t="e">
        <f t="shared" si="10"/>
        <v>#DIV/0!</v>
      </c>
      <c r="H86" s="3"/>
      <c r="I86" s="3"/>
      <c r="J86" s="3"/>
      <c r="K86" s="3"/>
      <c r="L86" s="3"/>
      <c r="M86" s="3"/>
    </row>
    <row r="87" spans="1:13" ht="12.75" hidden="1">
      <c r="A87" s="40" t="s">
        <v>74</v>
      </c>
      <c r="B87" s="41"/>
      <c r="C87" s="41"/>
      <c r="D87" s="43"/>
      <c r="E87" s="44">
        <v>0</v>
      </c>
      <c r="F87" s="19">
        <f t="shared" si="9"/>
        <v>0</v>
      </c>
      <c r="G87" s="72" t="e">
        <f t="shared" si="10"/>
        <v>#DIV/0!</v>
      </c>
      <c r="H87" s="3"/>
      <c r="I87" s="3"/>
      <c r="J87" s="3"/>
      <c r="K87" s="3"/>
      <c r="L87" s="3"/>
      <c r="M87" s="3"/>
    </row>
    <row r="88" spans="1:13" ht="12.75" hidden="1">
      <c r="A88" s="45" t="s">
        <v>75</v>
      </c>
      <c r="B88" s="46"/>
      <c r="C88" s="46"/>
      <c r="D88" s="46"/>
      <c r="E88" s="47">
        <f>E85+E86+E87</f>
        <v>0</v>
      </c>
      <c r="F88" s="23">
        <f t="shared" si="9"/>
        <v>0</v>
      </c>
      <c r="G88" s="73" t="e">
        <f>0/E88</f>
        <v>#DIV/0!</v>
      </c>
      <c r="H88" s="3"/>
      <c r="I88" s="3"/>
      <c r="J88" s="3"/>
      <c r="K88" s="3"/>
      <c r="L88" s="3"/>
      <c r="M88" s="3"/>
    </row>
    <row r="89" spans="1:13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25.5" customHeight="1" hidden="1">
      <c r="A90" s="25" t="s">
        <v>276</v>
      </c>
      <c r="B90" s="25"/>
      <c r="C90" s="25"/>
      <c r="D90" s="25"/>
      <c r="E90" s="25"/>
      <c r="F90" s="25"/>
      <c r="G90" s="25"/>
      <c r="H90" s="3"/>
      <c r="I90" s="3"/>
      <c r="J90" s="3"/>
      <c r="K90" s="3"/>
      <c r="L90" s="3"/>
      <c r="M90" s="3"/>
    </row>
    <row r="91" spans="1:1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45" customHeight="1">
      <c r="A92" s="12" t="s">
        <v>77</v>
      </c>
      <c r="B92" s="12"/>
      <c r="C92" s="12"/>
      <c r="D92" s="12"/>
      <c r="E92" s="12"/>
      <c r="F92" s="12"/>
      <c r="G92" s="12"/>
      <c r="H92" s="13"/>
      <c r="I92" s="13"/>
      <c r="J92" s="13"/>
      <c r="K92" s="3"/>
      <c r="L92" s="3"/>
      <c r="M92" s="3"/>
    </row>
    <row r="93" spans="1:1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63.75">
      <c r="A94" s="14" t="s">
        <v>38</v>
      </c>
      <c r="B94" s="39" t="s">
        <v>71</v>
      </c>
      <c r="C94" s="14" t="s">
        <v>26</v>
      </c>
      <c r="D94" s="14" t="s">
        <v>28</v>
      </c>
      <c r="E94" s="48" t="s">
        <v>78</v>
      </c>
      <c r="F94" s="16" t="s">
        <v>79</v>
      </c>
      <c r="G94" s="3"/>
      <c r="H94" s="3"/>
      <c r="I94" s="3"/>
      <c r="J94" s="3"/>
      <c r="K94" s="3"/>
      <c r="L94" s="3"/>
      <c r="M94" s="3"/>
    </row>
    <row r="95" spans="1:13" ht="12.75">
      <c r="A95" s="49" t="s">
        <v>80</v>
      </c>
      <c r="B95" s="36">
        <v>1164728</v>
      </c>
      <c r="C95" s="23">
        <f>B95/$B$40</f>
        <v>13235.545454545454</v>
      </c>
      <c r="D95" s="73">
        <f>829039/B95</f>
        <v>0.7117876448406838</v>
      </c>
      <c r="E95" s="18">
        <f>B95*D95</f>
        <v>829039</v>
      </c>
      <c r="F95" s="18">
        <f>E95-B95</f>
        <v>-335689</v>
      </c>
      <c r="G95" s="3"/>
      <c r="H95" s="3"/>
      <c r="I95" s="3"/>
      <c r="J95" s="3"/>
      <c r="K95" s="3"/>
      <c r="L95" s="3"/>
      <c r="M95" s="3"/>
    </row>
    <row r="96" spans="1:1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34.5" customHeight="1">
      <c r="A97" s="25" t="s">
        <v>81</v>
      </c>
      <c r="B97" s="25"/>
      <c r="C97" s="25"/>
      <c r="D97" s="25"/>
      <c r="E97" s="25"/>
      <c r="F97" s="25"/>
      <c r="G97" s="25"/>
      <c r="H97" s="3"/>
      <c r="I97" s="3"/>
      <c r="J97" s="3"/>
      <c r="K97" s="3"/>
      <c r="L97" s="3"/>
      <c r="M97" s="3"/>
    </row>
    <row r="98" spans="1:1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48.75" customHeight="1">
      <c r="A99" s="50" t="s">
        <v>277</v>
      </c>
      <c r="B99" s="50"/>
      <c r="C99" s="50"/>
      <c r="D99" s="50"/>
      <c r="E99" s="50"/>
      <c r="F99" s="50"/>
      <c r="G99" s="50"/>
      <c r="H99" s="3"/>
      <c r="I99" s="3"/>
      <c r="J99" s="3"/>
      <c r="K99" s="3"/>
      <c r="L99" s="3"/>
      <c r="M99" s="3"/>
    </row>
    <row r="100" spans="1:13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4.25">
      <c r="A101" s="3" t="s">
        <v>83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>
      <c r="A103" s="3" t="s">
        <v>84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>
      <c r="A105" s="3" t="s">
        <v>85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7.25" customHeight="1">
      <c r="A107" s="4" t="s">
        <v>86</v>
      </c>
      <c r="B107" s="4"/>
      <c r="C107" s="4"/>
      <c r="D107" s="4"/>
      <c r="E107" s="4"/>
      <c r="F107" s="4"/>
      <c r="G107" s="4"/>
      <c r="H107" s="3"/>
      <c r="I107" s="3"/>
      <c r="J107" s="3"/>
      <c r="K107" s="3"/>
      <c r="L107" s="3"/>
      <c r="M107" s="3"/>
    </row>
    <row r="108" spans="1:13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>
      <c r="A109" s="3" t="s">
        <v>87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3.5" customHeight="1">
      <c r="A111" s="4" t="s">
        <v>88</v>
      </c>
      <c r="B111" s="4"/>
      <c r="C111" s="4"/>
      <c r="D111" s="4"/>
      <c r="E111" s="4"/>
      <c r="F111" s="4"/>
      <c r="G111" s="4"/>
      <c r="H111" s="3"/>
      <c r="I111" s="3"/>
      <c r="J111" s="3"/>
      <c r="K111" s="3"/>
      <c r="L111" s="3"/>
      <c r="M111" s="3"/>
    </row>
    <row r="112" spans="1:1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>
      <c r="A113" s="3" t="s">
        <v>5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14.75">
      <c r="A115" s="14" t="s">
        <v>89</v>
      </c>
      <c r="B115" s="14" t="s">
        <v>90</v>
      </c>
      <c r="C115" s="39" t="s">
        <v>91</v>
      </c>
      <c r="D115" s="14" t="s">
        <v>92</v>
      </c>
      <c r="E115" s="14" t="s">
        <v>93</v>
      </c>
      <c r="F115" s="76"/>
      <c r="G115" s="3"/>
      <c r="H115" s="3"/>
      <c r="I115" s="3"/>
      <c r="J115" s="3"/>
      <c r="K115" s="3"/>
      <c r="L115" s="3"/>
      <c r="M115" s="3"/>
    </row>
    <row r="116" spans="1:13" ht="12.75">
      <c r="A116" s="36">
        <f>C42</f>
        <v>18884.488636363636</v>
      </c>
      <c r="B116" s="36">
        <f>E42</f>
        <v>1.1952438118104385</v>
      </c>
      <c r="C116" s="23">
        <f>C95</f>
        <v>13235.545454545454</v>
      </c>
      <c r="D116" s="23">
        <f>D95</f>
        <v>0.7117876448406838</v>
      </c>
      <c r="E116" s="36">
        <f>(A116*B116+C116*D116)*F18</f>
        <v>2815336.9999999995</v>
      </c>
      <c r="F116" s="71"/>
      <c r="G116" s="3"/>
      <c r="H116" s="3"/>
      <c r="I116" s="3"/>
      <c r="J116" s="3"/>
      <c r="K116" s="3"/>
      <c r="L116" s="3"/>
      <c r="M116" s="3"/>
    </row>
    <row r="117" spans="1:1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11.75" customHeight="1">
      <c r="A118" s="12" t="s">
        <v>278</v>
      </c>
      <c r="B118" s="12"/>
      <c r="C118" s="12"/>
      <c r="D118" s="12"/>
      <c r="E118" s="12"/>
      <c r="F118" s="12"/>
      <c r="G118" s="12"/>
      <c r="H118" s="3"/>
      <c r="I118" s="3"/>
      <c r="J118" s="3"/>
      <c r="K118" s="3"/>
      <c r="L118" s="3"/>
      <c r="M118" s="3"/>
    </row>
    <row r="119" spans="1:13" ht="12.75">
      <c r="A119" s="3"/>
      <c r="B119" s="3"/>
      <c r="C119" s="3"/>
      <c r="D119" s="3" t="s">
        <v>95</v>
      </c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>
      <c r="A121" s="3" t="s">
        <v>96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>
      <c r="A123" s="3" t="s">
        <v>97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>
      <c r="A125" s="3" t="s">
        <v>98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>
      <c r="A127" s="3" t="s">
        <v>99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40.25">
      <c r="A129" s="74" t="s">
        <v>100</v>
      </c>
      <c r="B129" s="9" t="s">
        <v>101</v>
      </c>
      <c r="C129" s="74" t="s">
        <v>102</v>
      </c>
      <c r="D129" s="74" t="s">
        <v>103</v>
      </c>
      <c r="E129" s="53"/>
      <c r="F129" s="53"/>
      <c r="G129" s="53"/>
      <c r="H129" s="3"/>
      <c r="I129" s="3"/>
      <c r="J129" s="3"/>
      <c r="K129" s="3"/>
      <c r="L129" s="3"/>
      <c r="M129" s="3"/>
    </row>
    <row r="130" spans="1:13" ht="12.75">
      <c r="A130" s="54">
        <f>5682746+20863+84201+44050+10000</f>
        <v>5841860</v>
      </c>
      <c r="B130" s="54">
        <f>648000+195696</f>
        <v>843696</v>
      </c>
      <c r="C130" s="55">
        <f>432000+130464</f>
        <v>562464</v>
      </c>
      <c r="D130" s="56">
        <f>A130+B130+C130</f>
        <v>7248020</v>
      </c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>
      <c r="A133" s="68" t="s">
        <v>107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16" t="s">
        <v>108</v>
      </c>
      <c r="B135" s="16">
        <v>0</v>
      </c>
      <c r="C135" s="16"/>
      <c r="D135" s="62">
        <v>517882</v>
      </c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>
      <c r="A136" s="16" t="s">
        <v>109</v>
      </c>
      <c r="B136" s="16">
        <v>0</v>
      </c>
      <c r="C136" s="16"/>
      <c r="D136" s="62">
        <v>156400</v>
      </c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21" t="s">
        <v>50</v>
      </c>
      <c r="B137" s="21">
        <f>B135+B136</f>
        <v>0</v>
      </c>
      <c r="C137" s="21"/>
      <c r="D137" s="22">
        <f>D135+D136</f>
        <v>674282</v>
      </c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6:13" ht="12.75">
      <c r="F366" s="3"/>
      <c r="G366" s="3"/>
      <c r="H366" s="3"/>
      <c r="I366" s="3"/>
      <c r="J366" s="3"/>
      <c r="K366" s="3"/>
      <c r="L366" s="3"/>
      <c r="M366" s="3"/>
    </row>
  </sheetData>
  <sheetProtection selectLockedCells="1" selectUnlockedCells="1"/>
  <mergeCells count="19">
    <mergeCell ref="A2:G2"/>
    <mergeCell ref="A4:G4"/>
    <mergeCell ref="A5:A6"/>
    <mergeCell ref="B5:C5"/>
    <mergeCell ref="D5:D6"/>
    <mergeCell ref="B6:C6"/>
    <mergeCell ref="A11:G11"/>
    <mergeCell ref="A20:G20"/>
    <mergeCell ref="A44:G44"/>
    <mergeCell ref="A55:G55"/>
    <mergeCell ref="A71:G71"/>
    <mergeCell ref="A80:G80"/>
    <mergeCell ref="A90:G90"/>
    <mergeCell ref="A92:G92"/>
    <mergeCell ref="A97:G97"/>
    <mergeCell ref="A99:G99"/>
    <mergeCell ref="A107:G107"/>
    <mergeCell ref="A111:G111"/>
    <mergeCell ref="A118:G118"/>
  </mergeCells>
  <printOptions/>
  <pageMargins left="0.7083333333333334" right="0.7083333333333334" top="0.7479166666666667" bottom="0.7479166666666667" header="0.5118055555555555" footer="0.5118055555555555"/>
  <pageSetup fitToHeight="3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M366"/>
  <sheetViews>
    <sheetView workbookViewId="0" topLeftCell="A122">
      <selection activeCell="A130" sqref="A130"/>
    </sheetView>
  </sheetViews>
  <sheetFormatPr defaultColWidth="8.00390625" defaultRowHeight="12.75"/>
  <cols>
    <col min="1" max="1" width="18.00390625" style="0" customWidth="1"/>
    <col min="2" max="2" width="13.625" style="0" customWidth="1"/>
    <col min="3" max="3" width="13.00390625" style="0" customWidth="1"/>
    <col min="4" max="4" width="12.375" style="0" customWidth="1"/>
    <col min="5" max="5" width="15.625" style="0" customWidth="1"/>
    <col min="6" max="6" width="12.75390625" style="0" customWidth="1"/>
    <col min="7" max="7" width="13.625" style="0" customWidth="1"/>
    <col min="8" max="16384" width="9.00390625" style="0" customWidth="1"/>
  </cols>
  <sheetData>
    <row r="2" spans="1:13" ht="46.5" customHeight="1">
      <c r="A2" s="1" t="s">
        <v>118</v>
      </c>
      <c r="B2" s="1"/>
      <c r="C2" s="1"/>
      <c r="D2" s="1"/>
      <c r="E2" s="1"/>
      <c r="F2" s="1"/>
      <c r="G2" s="1"/>
      <c r="H2" s="2"/>
      <c r="I2" s="2"/>
      <c r="J2" s="2"/>
      <c r="K2" s="3"/>
      <c r="L2" s="3"/>
      <c r="M2" s="3"/>
    </row>
    <row r="3" spans="1:1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40.5" customHeight="1">
      <c r="A4" s="4" t="s">
        <v>1</v>
      </c>
      <c r="B4" s="4"/>
      <c r="C4" s="4"/>
      <c r="D4" s="4"/>
      <c r="E4" s="4"/>
      <c r="F4" s="4"/>
      <c r="G4" s="4"/>
      <c r="H4" s="3"/>
      <c r="I4" s="3"/>
      <c r="J4" s="3"/>
      <c r="K4" s="3"/>
      <c r="L4" s="3"/>
      <c r="M4" s="3"/>
    </row>
    <row r="5" spans="1:13" ht="12.75" customHeight="1">
      <c r="A5" s="5" t="s">
        <v>2</v>
      </c>
      <c r="B5" s="6" t="s">
        <v>3</v>
      </c>
      <c r="C5" s="6"/>
      <c r="D5" s="7" t="s">
        <v>4</v>
      </c>
      <c r="E5" s="3"/>
      <c r="F5" s="3"/>
      <c r="G5" s="3"/>
      <c r="H5" s="3"/>
      <c r="I5" s="3"/>
      <c r="J5" s="3"/>
      <c r="K5" s="3"/>
      <c r="L5" s="3"/>
      <c r="M5" s="3"/>
    </row>
    <row r="6" spans="1:13" ht="12.75" customHeight="1">
      <c r="A6" s="5"/>
      <c r="B6" s="8">
        <v>12</v>
      </c>
      <c r="C6" s="8"/>
      <c r="D6" s="7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 s="3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 s="3" t="s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42" customHeight="1">
      <c r="A11" s="4" t="s">
        <v>7</v>
      </c>
      <c r="B11" s="4"/>
      <c r="C11" s="4"/>
      <c r="D11" s="4"/>
      <c r="E11" s="4"/>
      <c r="F11" s="4"/>
      <c r="G11" s="4"/>
      <c r="H11" s="3"/>
      <c r="I11" s="3"/>
      <c r="J11" s="3"/>
      <c r="K11" s="3"/>
      <c r="L11" s="3"/>
      <c r="M11" s="3"/>
    </row>
    <row r="12" spans="1:1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 s="3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3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99" customHeight="1">
      <c r="A17" s="9" t="s">
        <v>10</v>
      </c>
      <c r="B17" s="9" t="s">
        <v>119</v>
      </c>
      <c r="C17" s="10" t="s">
        <v>12</v>
      </c>
      <c r="D17" s="9" t="s">
        <v>13</v>
      </c>
      <c r="E17" s="9" t="s">
        <v>111</v>
      </c>
      <c r="F17" s="9" t="s">
        <v>15</v>
      </c>
      <c r="G17" s="3"/>
      <c r="H17" s="3"/>
      <c r="I17" s="3"/>
      <c r="J17" s="3"/>
      <c r="K17" s="3"/>
      <c r="L17" s="3"/>
      <c r="M17" s="3"/>
    </row>
    <row r="18" spans="1:13" ht="29.25" customHeight="1">
      <c r="A18" s="9">
        <v>201</v>
      </c>
      <c r="B18" s="10">
        <v>0</v>
      </c>
      <c r="C18" s="9">
        <v>38</v>
      </c>
      <c r="D18" s="9">
        <v>26</v>
      </c>
      <c r="E18" s="11">
        <v>0</v>
      </c>
      <c r="F18" s="11">
        <v>184</v>
      </c>
      <c r="G18" s="3"/>
      <c r="H18" s="3"/>
      <c r="I18" s="3"/>
      <c r="J18" s="3"/>
      <c r="K18" s="3"/>
      <c r="L18" s="3"/>
      <c r="M18" s="3"/>
    </row>
    <row r="19" spans="1:1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27" customHeight="1">
      <c r="A20" s="12" t="s">
        <v>16</v>
      </c>
      <c r="B20" s="12"/>
      <c r="C20" s="12"/>
      <c r="D20" s="12"/>
      <c r="E20" s="12"/>
      <c r="F20" s="12"/>
      <c r="G20" s="12"/>
      <c r="H20" s="13"/>
      <c r="I20" s="13"/>
      <c r="J20" s="13"/>
      <c r="K20" s="3"/>
      <c r="L20" s="3"/>
      <c r="M20" s="3"/>
    </row>
    <row r="21" spans="1:13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 s="3" t="s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3" t="s">
        <v>18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3" t="s">
        <v>19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 s="3" t="s">
        <v>20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 t="s">
        <v>21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 s="3" t="s">
        <v>22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s="3" t="s">
        <v>23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63.75" customHeight="1">
      <c r="A36" s="14" t="s">
        <v>24</v>
      </c>
      <c r="B36" s="15" t="s">
        <v>25</v>
      </c>
      <c r="C36" s="14" t="s">
        <v>26</v>
      </c>
      <c r="D36" s="14" t="s">
        <v>27</v>
      </c>
      <c r="E36" s="14" t="s">
        <v>28</v>
      </c>
      <c r="F36" s="14" t="s">
        <v>29</v>
      </c>
      <c r="G36" s="3"/>
      <c r="H36" s="3"/>
      <c r="I36" s="3"/>
      <c r="J36" s="3"/>
      <c r="K36" s="3"/>
      <c r="L36" s="3"/>
      <c r="M36" s="3"/>
    </row>
    <row r="37" spans="1:13" ht="12.75">
      <c r="A37" s="16" t="s">
        <v>30</v>
      </c>
      <c r="B37" s="17">
        <f>F18</f>
        <v>184</v>
      </c>
      <c r="C37" s="18">
        <f>F53</f>
        <v>4535.483695652174</v>
      </c>
      <c r="D37" s="18">
        <f>E53</f>
        <v>834529</v>
      </c>
      <c r="E37" s="19">
        <f>G53</f>
        <v>0.7526047626864975</v>
      </c>
      <c r="F37" s="18">
        <f aca="true" t="shared" si="0" ref="F37:F40">D37*E37</f>
        <v>628070.5</v>
      </c>
      <c r="G37" s="3"/>
      <c r="H37" s="3"/>
      <c r="I37" s="3"/>
      <c r="J37" s="3"/>
      <c r="K37" s="3"/>
      <c r="L37" s="3"/>
      <c r="M37" s="3"/>
    </row>
    <row r="38" spans="1:13" ht="12.75">
      <c r="A38" s="16" t="s">
        <v>31</v>
      </c>
      <c r="B38" s="17">
        <f aca="true" t="shared" si="1" ref="B38:B41">B37</f>
        <v>184</v>
      </c>
      <c r="C38" s="18">
        <f>F69</f>
        <v>11301.581521739132</v>
      </c>
      <c r="D38" s="18">
        <f>E69</f>
        <v>2079491</v>
      </c>
      <c r="E38" s="19">
        <f>G69</f>
        <v>0.7084606281056278</v>
      </c>
      <c r="F38" s="18">
        <f t="shared" si="0"/>
        <v>1473237.5</v>
      </c>
      <c r="G38" s="3"/>
      <c r="H38" s="3"/>
      <c r="I38" s="3"/>
      <c r="J38" s="3"/>
      <c r="K38" s="3"/>
      <c r="L38" s="3"/>
      <c r="M38" s="3"/>
    </row>
    <row r="39" spans="1:13" ht="12.75">
      <c r="A39" s="16" t="s">
        <v>32</v>
      </c>
      <c r="B39" s="17">
        <f t="shared" si="1"/>
        <v>184</v>
      </c>
      <c r="C39" s="18">
        <f>C78</f>
        <v>423.2554347826087</v>
      </c>
      <c r="D39" s="18">
        <f>B78</f>
        <v>77879</v>
      </c>
      <c r="E39" s="19">
        <f>D78</f>
        <v>0.7117836644024705</v>
      </c>
      <c r="F39" s="18">
        <f t="shared" si="0"/>
        <v>55433</v>
      </c>
      <c r="G39" s="3"/>
      <c r="H39" s="3"/>
      <c r="I39" s="3"/>
      <c r="J39" s="3"/>
      <c r="K39" s="3"/>
      <c r="L39" s="3"/>
      <c r="M39" s="3"/>
    </row>
    <row r="40" spans="1:13" ht="12.75">
      <c r="A40" s="16" t="s">
        <v>33</v>
      </c>
      <c r="B40" s="17">
        <f t="shared" si="1"/>
        <v>184</v>
      </c>
      <c r="C40" s="18">
        <f>F88</f>
        <v>0</v>
      </c>
      <c r="D40" s="18">
        <f>E88</f>
        <v>0</v>
      </c>
      <c r="E40" s="19">
        <v>0</v>
      </c>
      <c r="F40" s="18">
        <f t="shared" si="0"/>
        <v>0</v>
      </c>
      <c r="G40" s="3"/>
      <c r="H40" s="3"/>
      <c r="I40" s="3"/>
      <c r="J40" s="3"/>
      <c r="K40" s="3"/>
      <c r="L40" s="3"/>
      <c r="M40" s="3"/>
    </row>
    <row r="41" spans="1:13" ht="12.75">
      <c r="A41" s="16" t="s">
        <v>34</v>
      </c>
      <c r="B41" s="17">
        <f t="shared" si="1"/>
        <v>184</v>
      </c>
      <c r="C41" s="18">
        <v>0</v>
      </c>
      <c r="D41" s="18">
        <v>0</v>
      </c>
      <c r="E41" s="19">
        <v>1</v>
      </c>
      <c r="F41" s="18">
        <f>D137</f>
        <v>1736477</v>
      </c>
      <c r="G41" s="3"/>
      <c r="H41" s="3"/>
      <c r="I41" s="3"/>
      <c r="J41" s="3"/>
      <c r="K41" s="3"/>
      <c r="L41" s="3"/>
      <c r="M41" s="3"/>
    </row>
    <row r="42" spans="1:13" ht="12.75">
      <c r="A42" s="20" t="s">
        <v>35</v>
      </c>
      <c r="B42" s="21"/>
      <c r="C42" s="22">
        <f>D42/B40</f>
        <v>16260.320652173914</v>
      </c>
      <c r="D42" s="22">
        <f>SUM(D37:D40)</f>
        <v>2991899</v>
      </c>
      <c r="E42" s="23">
        <f>F42/D42</f>
        <v>1.3012531505909792</v>
      </c>
      <c r="F42" s="18">
        <f>F37+F38+F39+F40+F41</f>
        <v>3893218</v>
      </c>
      <c r="G42" s="24">
        <f>F42+E95</f>
        <v>5449532</v>
      </c>
      <c r="H42" s="3"/>
      <c r="I42" s="3"/>
      <c r="J42" s="3"/>
      <c r="K42" s="3"/>
      <c r="L42" s="3"/>
      <c r="M42" s="3"/>
    </row>
    <row r="43" spans="1:13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30.75" customHeight="1">
      <c r="A44" s="25" t="s">
        <v>120</v>
      </c>
      <c r="B44" s="25"/>
      <c r="C44" s="25"/>
      <c r="D44" s="25"/>
      <c r="E44" s="25"/>
      <c r="F44" s="25"/>
      <c r="G44" s="25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3" t="s">
        <v>37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63.75">
      <c r="A48" s="14" t="s">
        <v>38</v>
      </c>
      <c r="B48" s="14" t="s">
        <v>39</v>
      </c>
      <c r="C48" s="14" t="s">
        <v>40</v>
      </c>
      <c r="D48" s="14" t="s">
        <v>41</v>
      </c>
      <c r="E48" s="14" t="s">
        <v>42</v>
      </c>
      <c r="F48" s="14" t="s">
        <v>26</v>
      </c>
      <c r="G48" s="14" t="s">
        <v>28</v>
      </c>
      <c r="H48" s="3"/>
      <c r="I48" s="3"/>
      <c r="J48" s="3"/>
      <c r="K48" s="3"/>
      <c r="L48" s="3"/>
      <c r="M48" s="3"/>
    </row>
    <row r="49" spans="1:13" ht="25.5">
      <c r="A49" s="26" t="s">
        <v>43</v>
      </c>
      <c r="B49" s="27" t="s">
        <v>44</v>
      </c>
      <c r="C49" s="19">
        <f>54/2</f>
        <v>27</v>
      </c>
      <c r="D49" s="19">
        <f aca="true" t="shared" si="2" ref="D49:D52">E49/C49</f>
        <v>5359.407407407408</v>
      </c>
      <c r="E49" s="19">
        <f>289408/2</f>
        <v>144704</v>
      </c>
      <c r="F49" s="19">
        <f aca="true" t="shared" si="3" ref="F49:F52">E49/$B$40</f>
        <v>786.4347826086956</v>
      </c>
      <c r="G49" s="19">
        <f>(119587/2/E49)</f>
        <v>0.4132124889429456</v>
      </c>
      <c r="H49" s="3"/>
      <c r="I49" s="3"/>
      <c r="J49" s="3"/>
      <c r="K49" s="3"/>
      <c r="L49" s="3"/>
      <c r="M49" s="3"/>
    </row>
    <row r="50" spans="1:13" ht="25.5">
      <c r="A50" s="26" t="s">
        <v>45</v>
      </c>
      <c r="B50" s="27" t="s">
        <v>46</v>
      </c>
      <c r="C50" s="19">
        <f>16676/2</f>
        <v>8338</v>
      </c>
      <c r="D50" s="19">
        <f t="shared" si="2"/>
        <v>9.075677620532502</v>
      </c>
      <c r="E50" s="19">
        <f>151346/2</f>
        <v>75673</v>
      </c>
      <c r="F50" s="19">
        <f t="shared" si="3"/>
        <v>411.26630434782606</v>
      </c>
      <c r="G50" s="19">
        <f>(151346/2/E50)</f>
        <v>1</v>
      </c>
      <c r="H50" s="3"/>
      <c r="I50" s="3"/>
      <c r="J50" s="3"/>
      <c r="K50" s="3"/>
      <c r="L50" s="3"/>
      <c r="M50" s="3"/>
    </row>
    <row r="51" spans="1:13" ht="25.5">
      <c r="A51" s="26" t="s">
        <v>47</v>
      </c>
      <c r="B51" s="27" t="s">
        <v>48</v>
      </c>
      <c r="C51" s="19">
        <f>25400*90%</f>
        <v>22860</v>
      </c>
      <c r="D51" s="19">
        <f t="shared" si="2"/>
        <v>19.776377952755904</v>
      </c>
      <c r="E51" s="19">
        <f>502320*90%</f>
        <v>452088</v>
      </c>
      <c r="F51" s="19">
        <f t="shared" si="3"/>
        <v>2457</v>
      </c>
      <c r="G51" s="19">
        <f>(502320*90%/E51)</f>
        <v>1</v>
      </c>
      <c r="H51" s="3"/>
      <c r="I51" s="3"/>
      <c r="J51" s="3"/>
      <c r="K51" s="3"/>
      <c r="L51" s="3"/>
      <c r="M51" s="3"/>
    </row>
    <row r="52" spans="1:13" ht="25.5">
      <c r="A52" s="26" t="s">
        <v>49</v>
      </c>
      <c r="B52" s="27" t="s">
        <v>46</v>
      </c>
      <c r="C52" s="19">
        <f>1720</f>
        <v>1720</v>
      </c>
      <c r="D52" s="19">
        <f t="shared" si="2"/>
        <v>94.22325581395349</v>
      </c>
      <c r="E52" s="19">
        <v>162064</v>
      </c>
      <c r="F52" s="19">
        <f t="shared" si="3"/>
        <v>880.7826086956521</v>
      </c>
      <c r="G52" s="19">
        <f>(40516/E52)</f>
        <v>0.25</v>
      </c>
      <c r="H52" s="3"/>
      <c r="I52" s="3"/>
      <c r="J52" s="3"/>
      <c r="K52" s="3"/>
      <c r="L52" s="3"/>
      <c r="M52" s="3"/>
    </row>
    <row r="53" spans="1:13" ht="20.25" customHeight="1">
      <c r="A53" s="28" t="s">
        <v>50</v>
      </c>
      <c r="B53" s="29"/>
      <c r="C53" s="23"/>
      <c r="D53" s="23"/>
      <c r="E53" s="23">
        <f>E49+E50+E51+E52</f>
        <v>834529</v>
      </c>
      <c r="F53" s="23">
        <f>F49+F50+F51+F52</f>
        <v>4535.483695652174</v>
      </c>
      <c r="G53" s="23">
        <f>(119587/2+151346/2+502320*90%+40516)/E53</f>
        <v>0.7526047626864975</v>
      </c>
      <c r="H53" s="3"/>
      <c r="I53" s="3"/>
      <c r="J53" s="3"/>
      <c r="K53" s="3"/>
      <c r="L53" s="3"/>
      <c r="M53" s="3"/>
    </row>
    <row r="54" spans="1:13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35.25" customHeight="1">
      <c r="A55" s="25" t="s">
        <v>121</v>
      </c>
      <c r="B55" s="25"/>
      <c r="C55" s="25"/>
      <c r="D55" s="25"/>
      <c r="E55" s="25"/>
      <c r="F55" s="25"/>
      <c r="G55" s="25"/>
      <c r="H55" s="3"/>
      <c r="I55" s="3"/>
      <c r="J55" s="3"/>
      <c r="K55" s="3"/>
      <c r="L55" s="3"/>
      <c r="M55" s="3"/>
    </row>
    <row r="56" spans="1:1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75">
      <c r="A57" s="3" t="s">
        <v>52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63.75">
      <c r="A59" s="14" t="s">
        <v>38</v>
      </c>
      <c r="B59" s="14" t="s">
        <v>39</v>
      </c>
      <c r="C59" s="14" t="s">
        <v>53</v>
      </c>
      <c r="D59" s="14" t="s">
        <v>54</v>
      </c>
      <c r="E59" s="14" t="s">
        <v>42</v>
      </c>
      <c r="F59" s="14" t="s">
        <v>26</v>
      </c>
      <c r="G59" s="14" t="s">
        <v>28</v>
      </c>
      <c r="H59" s="3"/>
      <c r="I59" s="3"/>
      <c r="J59" s="3"/>
      <c r="K59" s="3"/>
      <c r="L59" s="3"/>
      <c r="M59" s="3"/>
    </row>
    <row r="60" spans="1:13" ht="45.75" customHeight="1">
      <c r="A60" s="26" t="s">
        <v>55</v>
      </c>
      <c r="B60" s="30"/>
      <c r="C60" s="19"/>
      <c r="D60" s="19"/>
      <c r="E60" s="19">
        <v>159354</v>
      </c>
      <c r="F60" s="19">
        <f aca="true" t="shared" si="4" ref="F60:F68">E60/$B$40</f>
        <v>866.054347826087</v>
      </c>
      <c r="G60" s="19">
        <f>(113426/E60)</f>
        <v>0.7117863373369981</v>
      </c>
      <c r="H60" s="3"/>
      <c r="I60" s="3"/>
      <c r="J60" s="3"/>
      <c r="K60" s="3"/>
      <c r="L60" s="3"/>
      <c r="M60" s="3"/>
    </row>
    <row r="61" spans="1:13" ht="25.5">
      <c r="A61" s="26" t="s">
        <v>56</v>
      </c>
      <c r="B61" s="30" t="s">
        <v>57</v>
      </c>
      <c r="C61" s="19">
        <v>1</v>
      </c>
      <c r="D61" s="19">
        <f>E61/C61</f>
        <v>18684</v>
      </c>
      <c r="E61" s="19">
        <v>18684</v>
      </c>
      <c r="F61" s="19">
        <f t="shared" si="4"/>
        <v>101.54347826086956</v>
      </c>
      <c r="G61" s="19">
        <f>(13299/E61)</f>
        <v>0.7117854849068722</v>
      </c>
      <c r="H61" s="3"/>
      <c r="I61" s="3"/>
      <c r="J61" s="3"/>
      <c r="K61" s="3"/>
      <c r="L61" s="3"/>
      <c r="M61" s="3"/>
    </row>
    <row r="62" spans="1:13" ht="18" customHeight="1">
      <c r="A62" s="26" t="s">
        <v>58</v>
      </c>
      <c r="B62" s="30"/>
      <c r="C62" s="19"/>
      <c r="D62" s="19"/>
      <c r="E62" s="19">
        <v>0</v>
      </c>
      <c r="F62" s="19">
        <f t="shared" si="4"/>
        <v>0</v>
      </c>
      <c r="G62" s="19" t="e">
        <f>(0/E62)</f>
        <v>#DIV/0!</v>
      </c>
      <c r="H62" s="3"/>
      <c r="I62" s="3"/>
      <c r="J62" s="3"/>
      <c r="K62" s="3"/>
      <c r="L62" s="3"/>
      <c r="M62" s="3"/>
    </row>
    <row r="63" spans="1:13" ht="18" customHeight="1">
      <c r="A63" s="26" t="s">
        <v>59</v>
      </c>
      <c r="B63" s="30"/>
      <c r="C63" s="19"/>
      <c r="D63" s="19"/>
      <c r="E63" s="19">
        <v>1619280</v>
      </c>
      <c r="F63" s="19">
        <f t="shared" si="4"/>
        <v>8800.434782608696</v>
      </c>
      <c r="G63" s="19">
        <f>(1152583/E63)</f>
        <v>0.7117873375821353</v>
      </c>
      <c r="H63" s="3"/>
      <c r="I63" s="3"/>
      <c r="J63" s="3"/>
      <c r="K63" s="3"/>
      <c r="L63" s="3"/>
      <c r="M63" s="3"/>
    </row>
    <row r="64" spans="1:13" ht="25.5">
      <c r="A64" s="26" t="s">
        <v>43</v>
      </c>
      <c r="B64" s="27" t="s">
        <v>44</v>
      </c>
      <c r="C64" s="19">
        <f>54/2</f>
        <v>27</v>
      </c>
      <c r="D64" s="19">
        <f aca="true" t="shared" si="5" ref="D64:D66">E64/C64</f>
        <v>5359.407407407408</v>
      </c>
      <c r="E64" s="19">
        <f>289408/2</f>
        <v>144704</v>
      </c>
      <c r="F64" s="19">
        <f t="shared" si="4"/>
        <v>786.4347826086956</v>
      </c>
      <c r="G64" s="19">
        <f>(119587/2/E64)</f>
        <v>0.4132124889429456</v>
      </c>
      <c r="H64" s="3"/>
      <c r="I64" s="3"/>
      <c r="J64" s="3"/>
      <c r="K64" s="3"/>
      <c r="L64" s="3"/>
      <c r="M64" s="3"/>
    </row>
    <row r="65" spans="1:13" ht="25.5">
      <c r="A65" s="26" t="s">
        <v>45</v>
      </c>
      <c r="B65" s="27" t="s">
        <v>46</v>
      </c>
      <c r="C65" s="19">
        <f>16676/2</f>
        <v>8338</v>
      </c>
      <c r="D65" s="19">
        <f t="shared" si="5"/>
        <v>9.075677620532502</v>
      </c>
      <c r="E65" s="19">
        <f>151346/2</f>
        <v>75673</v>
      </c>
      <c r="F65" s="19">
        <f t="shared" si="4"/>
        <v>411.26630434782606</v>
      </c>
      <c r="G65" s="19">
        <f>(151346/2/E65)</f>
        <v>1</v>
      </c>
      <c r="H65" s="3"/>
      <c r="I65" s="3"/>
      <c r="J65" s="3"/>
      <c r="K65" s="3"/>
      <c r="L65" s="3"/>
      <c r="M65" s="3"/>
    </row>
    <row r="66" spans="1:13" ht="25.5">
      <c r="A66" s="26" t="s">
        <v>47</v>
      </c>
      <c r="B66" s="27" t="s">
        <v>48</v>
      </c>
      <c r="C66" s="19">
        <f>25400*10%</f>
        <v>2540</v>
      </c>
      <c r="D66" s="19">
        <f t="shared" si="5"/>
        <v>19.776377952755904</v>
      </c>
      <c r="E66" s="19">
        <f>502320*10%</f>
        <v>50232</v>
      </c>
      <c r="F66" s="19">
        <f t="shared" si="4"/>
        <v>273</v>
      </c>
      <c r="G66" s="19">
        <f>(502320*10%/E66)</f>
        <v>1</v>
      </c>
      <c r="H66" s="3"/>
      <c r="I66" s="3"/>
      <c r="J66" s="3"/>
      <c r="K66" s="3"/>
      <c r="L66" s="3"/>
      <c r="M66" s="3"/>
    </row>
    <row r="67" spans="1:13" ht="25.5" customHeight="1">
      <c r="A67" s="26" t="s">
        <v>60</v>
      </c>
      <c r="B67" s="30"/>
      <c r="C67" s="19"/>
      <c r="D67" s="19"/>
      <c r="E67" s="19">
        <v>10228</v>
      </c>
      <c r="F67" s="19">
        <f t="shared" si="4"/>
        <v>55.58695652173913</v>
      </c>
      <c r="G67" s="19">
        <f>(7280/E67)</f>
        <v>0.7117716073523661</v>
      </c>
      <c r="H67" s="3"/>
      <c r="I67" s="3"/>
      <c r="J67" s="3"/>
      <c r="K67" s="3"/>
      <c r="L67" s="3"/>
      <c r="M67" s="3"/>
    </row>
    <row r="68" spans="1:13" ht="12.75">
      <c r="A68" s="26" t="s">
        <v>61</v>
      </c>
      <c r="B68" s="30"/>
      <c r="C68" s="19"/>
      <c r="D68" s="19"/>
      <c r="E68" s="19">
        <v>1336</v>
      </c>
      <c r="F68" s="19">
        <f t="shared" si="4"/>
        <v>7.260869565217392</v>
      </c>
      <c r="G68" s="19">
        <f>(951/E68)</f>
        <v>0.7118263473053892</v>
      </c>
      <c r="H68" s="3"/>
      <c r="I68" s="3"/>
      <c r="J68" s="3"/>
      <c r="K68" s="3"/>
      <c r="L68" s="3"/>
      <c r="M68" s="3"/>
    </row>
    <row r="69" spans="1:13" ht="24.75" customHeight="1">
      <c r="A69" s="28" t="s">
        <v>50</v>
      </c>
      <c r="B69" s="31"/>
      <c r="C69" s="23"/>
      <c r="D69" s="23"/>
      <c r="E69" s="23">
        <f>SUM(E60:E68)</f>
        <v>2079491</v>
      </c>
      <c r="F69" s="23">
        <f>SUM(F60:F68)</f>
        <v>11301.581521739132</v>
      </c>
      <c r="G69" s="23">
        <f>(113426+13299+1152583+119587/2+151346/2+502320*10%+951+7280)/E69</f>
        <v>0.7084606281056278</v>
      </c>
      <c r="H69" s="3"/>
      <c r="I69" s="3"/>
      <c r="J69" s="3"/>
      <c r="K69" s="3"/>
      <c r="L69" s="3"/>
      <c r="M69" s="3"/>
    </row>
    <row r="70" spans="1:13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29.25" customHeight="1">
      <c r="A71" s="25" t="s">
        <v>122</v>
      </c>
      <c r="B71" s="25"/>
      <c r="C71" s="25"/>
      <c r="D71" s="25"/>
      <c r="E71" s="25"/>
      <c r="F71" s="25"/>
      <c r="G71" s="25"/>
      <c r="H71" s="3"/>
      <c r="I71" s="3"/>
      <c r="J71" s="3"/>
      <c r="K71" s="3"/>
      <c r="L71" s="3"/>
      <c r="M71" s="3"/>
    </row>
    <row r="72" spans="1:13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>
      <c r="A73" s="3" t="s">
        <v>63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63.75">
      <c r="A75" s="14" t="s">
        <v>38</v>
      </c>
      <c r="B75" s="14" t="s">
        <v>42</v>
      </c>
      <c r="C75" s="14" t="s">
        <v>26</v>
      </c>
      <c r="D75" s="14" t="s">
        <v>28</v>
      </c>
      <c r="E75" s="32"/>
      <c r="F75" s="32"/>
      <c r="G75" s="32"/>
      <c r="H75" s="3"/>
      <c r="I75" s="3"/>
      <c r="J75" s="3"/>
      <c r="K75" s="3"/>
      <c r="L75" s="3"/>
      <c r="M75" s="3"/>
    </row>
    <row r="76" spans="1:13" ht="51">
      <c r="A76" s="26" t="s">
        <v>64</v>
      </c>
      <c r="B76" s="33">
        <v>3126</v>
      </c>
      <c r="C76" s="19">
        <f aca="true" t="shared" si="6" ref="C76:C77">B76/$B$40</f>
        <v>16.98913043478261</v>
      </c>
      <c r="D76" s="19">
        <f>(2225/B76)</f>
        <v>0.7117722328854766</v>
      </c>
      <c r="E76" s="34"/>
      <c r="F76" s="35"/>
      <c r="G76" s="35"/>
      <c r="H76" s="3"/>
      <c r="I76" s="3"/>
      <c r="J76" s="3"/>
      <c r="K76" s="3"/>
      <c r="L76" s="3"/>
      <c r="M76" s="3"/>
    </row>
    <row r="77" spans="1:13" ht="19.5" customHeight="1">
      <c r="A77" s="26" t="s">
        <v>65</v>
      </c>
      <c r="B77" s="33">
        <f>57298+17455</f>
        <v>74753</v>
      </c>
      <c r="C77" s="19">
        <f t="shared" si="6"/>
        <v>406.26630434782606</v>
      </c>
      <c r="D77" s="19">
        <f>(40784+12424)/B77</f>
        <v>0.7117841424424438</v>
      </c>
      <c r="E77" s="34"/>
      <c r="F77" s="35"/>
      <c r="G77" s="35"/>
      <c r="H77" s="3"/>
      <c r="I77" s="3"/>
      <c r="J77" s="3"/>
      <c r="K77" s="3"/>
      <c r="L77" s="3"/>
      <c r="M77" s="3"/>
    </row>
    <row r="78" spans="1:13" ht="27" customHeight="1">
      <c r="A78" s="28" t="s">
        <v>50</v>
      </c>
      <c r="B78" s="36">
        <f>SUM(B76:B77)</f>
        <v>77879</v>
      </c>
      <c r="C78" s="36">
        <f>SUM(C76:C77)</f>
        <v>423.2554347826087</v>
      </c>
      <c r="D78" s="36">
        <f>(40784+12424+2225)/B78</f>
        <v>0.7117836644024705</v>
      </c>
      <c r="E78" s="37"/>
      <c r="F78" s="37"/>
      <c r="G78" s="37"/>
      <c r="H78" s="3"/>
      <c r="I78" s="3"/>
      <c r="J78" s="3"/>
      <c r="K78" s="3"/>
      <c r="L78" s="3"/>
      <c r="M78" s="3"/>
    </row>
    <row r="79" spans="1:13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29.25" customHeight="1">
      <c r="A80" s="25" t="s">
        <v>66</v>
      </c>
      <c r="B80" s="25"/>
      <c r="C80" s="25"/>
      <c r="D80" s="25"/>
      <c r="E80" s="25"/>
      <c r="F80" s="25"/>
      <c r="G80" s="25"/>
      <c r="H80" s="3"/>
      <c r="I80" s="3"/>
      <c r="J80" s="3"/>
      <c r="K80" s="3"/>
      <c r="L80" s="3"/>
      <c r="M80" s="3"/>
    </row>
    <row r="81" spans="1:13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 hidden="1">
      <c r="A82" s="3" t="s">
        <v>67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63.75" hidden="1">
      <c r="A84" s="38" t="s">
        <v>68</v>
      </c>
      <c r="B84" s="10" t="s">
        <v>69</v>
      </c>
      <c r="C84" s="14" t="s">
        <v>54</v>
      </c>
      <c r="D84" s="10" t="s">
        <v>70</v>
      </c>
      <c r="E84" s="39" t="s">
        <v>71</v>
      </c>
      <c r="F84" s="14" t="s">
        <v>26</v>
      </c>
      <c r="G84" s="14" t="s">
        <v>28</v>
      </c>
      <c r="H84" s="3"/>
      <c r="I84" s="3"/>
      <c r="J84" s="3"/>
      <c r="K84" s="3"/>
      <c r="L84" s="3"/>
      <c r="M84" s="3"/>
    </row>
    <row r="85" spans="1:13" ht="12.75" hidden="1">
      <c r="A85" s="40" t="s">
        <v>72</v>
      </c>
      <c r="B85" s="41">
        <v>2</v>
      </c>
      <c r="C85" s="42">
        <f aca="true" t="shared" si="7" ref="C85:C86">E85/D85/B85</f>
        <v>0</v>
      </c>
      <c r="D85" s="43">
        <v>12</v>
      </c>
      <c r="E85" s="44">
        <v>0</v>
      </c>
      <c r="F85" s="19">
        <f aca="true" t="shared" si="8" ref="F85:F88">E85/$B$40</f>
        <v>0</v>
      </c>
      <c r="G85" s="19" t="e">
        <f>(0*2/E85)</f>
        <v>#DIV/0!</v>
      </c>
      <c r="H85" s="3"/>
      <c r="I85" s="3"/>
      <c r="J85" s="3"/>
      <c r="K85" s="3"/>
      <c r="L85" s="3"/>
      <c r="M85" s="3"/>
    </row>
    <row r="86" spans="1:13" ht="12.75" hidden="1">
      <c r="A86" s="40" t="s">
        <v>73</v>
      </c>
      <c r="B86" s="39">
        <v>2</v>
      </c>
      <c r="C86" s="42">
        <f t="shared" si="7"/>
        <v>0</v>
      </c>
      <c r="D86" s="43">
        <v>12</v>
      </c>
      <c r="E86" s="44">
        <v>0</v>
      </c>
      <c r="F86" s="19">
        <f t="shared" si="8"/>
        <v>0</v>
      </c>
      <c r="G86" s="19" t="e">
        <f aca="true" t="shared" si="9" ref="G86:G87">(0/E86)</f>
        <v>#DIV/0!</v>
      </c>
      <c r="H86" s="3"/>
      <c r="I86" s="3"/>
      <c r="J86" s="3"/>
      <c r="K86" s="3"/>
      <c r="L86" s="3"/>
      <c r="M86" s="3"/>
    </row>
    <row r="87" spans="1:13" ht="12.75" hidden="1">
      <c r="A87" s="40" t="s">
        <v>74</v>
      </c>
      <c r="B87" s="41"/>
      <c r="C87" s="41"/>
      <c r="D87" s="43"/>
      <c r="E87" s="44">
        <v>0</v>
      </c>
      <c r="F87" s="19">
        <f t="shared" si="8"/>
        <v>0</v>
      </c>
      <c r="G87" s="19" t="e">
        <f t="shared" si="9"/>
        <v>#DIV/0!</v>
      </c>
      <c r="H87" s="3"/>
      <c r="I87" s="3"/>
      <c r="J87" s="3"/>
      <c r="K87" s="3"/>
      <c r="L87" s="3"/>
      <c r="M87" s="3"/>
    </row>
    <row r="88" spans="1:13" ht="12.75" hidden="1">
      <c r="A88" s="45" t="s">
        <v>75</v>
      </c>
      <c r="B88" s="46"/>
      <c r="C88" s="46"/>
      <c r="D88" s="46"/>
      <c r="E88" s="47">
        <f>E85+E86+E87</f>
        <v>0</v>
      </c>
      <c r="F88" s="23">
        <f t="shared" si="8"/>
        <v>0</v>
      </c>
      <c r="G88" s="23" t="e">
        <f>0/E88</f>
        <v>#DIV/0!</v>
      </c>
      <c r="H88" s="3"/>
      <c r="I88" s="3"/>
      <c r="J88" s="3"/>
      <c r="K88" s="3"/>
      <c r="L88" s="3"/>
      <c r="M88" s="3"/>
    </row>
    <row r="89" spans="1:13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27" customHeight="1" hidden="1">
      <c r="A90" s="25" t="s">
        <v>123</v>
      </c>
      <c r="B90" s="25"/>
      <c r="C90" s="25"/>
      <c r="D90" s="25"/>
      <c r="E90" s="25"/>
      <c r="F90" s="25"/>
      <c r="G90" s="25"/>
      <c r="H90" s="3"/>
      <c r="I90" s="3"/>
      <c r="J90" s="3"/>
      <c r="K90" s="3"/>
      <c r="L90" s="3"/>
      <c r="M90" s="3"/>
    </row>
    <row r="91" spans="1:13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45" customHeight="1">
      <c r="A92" s="12" t="s">
        <v>77</v>
      </c>
      <c r="B92" s="12"/>
      <c r="C92" s="12"/>
      <c r="D92" s="12"/>
      <c r="E92" s="12"/>
      <c r="F92" s="12"/>
      <c r="G92" s="12"/>
      <c r="H92" s="13"/>
      <c r="I92" s="13"/>
      <c r="J92" s="13"/>
      <c r="K92" s="3"/>
      <c r="L92" s="3"/>
      <c r="M92" s="3"/>
    </row>
    <row r="93" spans="1:1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63.75">
      <c r="A94" s="14" t="s">
        <v>38</v>
      </c>
      <c r="B94" s="39" t="s">
        <v>71</v>
      </c>
      <c r="C94" s="14" t="s">
        <v>26</v>
      </c>
      <c r="D94" s="14" t="s">
        <v>28</v>
      </c>
      <c r="E94" s="48" t="s">
        <v>78</v>
      </c>
      <c r="F94" s="16" t="s">
        <v>79</v>
      </c>
      <c r="G94" s="3"/>
      <c r="H94" s="3"/>
      <c r="I94" s="3"/>
      <c r="J94" s="3"/>
      <c r="K94" s="3"/>
      <c r="L94" s="3"/>
      <c r="M94" s="3"/>
    </row>
    <row r="95" spans="1:13" ht="12.75">
      <c r="A95" s="49" t="s">
        <v>80</v>
      </c>
      <c r="B95" s="36">
        <v>2186487</v>
      </c>
      <c r="C95" s="23">
        <f>B95/$B$40</f>
        <v>11883.08152173913</v>
      </c>
      <c r="D95" s="23">
        <f>1556314/B95</f>
        <v>0.7117874471698208</v>
      </c>
      <c r="E95" s="18">
        <f>B95*D95</f>
        <v>1556314</v>
      </c>
      <c r="F95" s="18">
        <f>E95-B95</f>
        <v>-630173</v>
      </c>
      <c r="G95" s="3"/>
      <c r="H95" s="3"/>
      <c r="I95" s="3"/>
      <c r="J95" s="3"/>
      <c r="K95" s="3"/>
      <c r="L95" s="3"/>
      <c r="M95" s="3"/>
    </row>
    <row r="96" spans="1:1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34.5" customHeight="1">
      <c r="A97" s="25" t="s">
        <v>81</v>
      </c>
      <c r="B97" s="25"/>
      <c r="C97" s="25"/>
      <c r="D97" s="25"/>
      <c r="E97" s="25"/>
      <c r="F97" s="25"/>
      <c r="G97" s="25"/>
      <c r="H97" s="3"/>
      <c r="I97" s="3"/>
      <c r="J97" s="3"/>
      <c r="K97" s="3"/>
      <c r="L97" s="3"/>
      <c r="M97" s="3"/>
    </row>
    <row r="98" spans="1:1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48.75" customHeight="1">
      <c r="A99" s="50" t="s">
        <v>124</v>
      </c>
      <c r="B99" s="50"/>
      <c r="C99" s="50"/>
      <c r="D99" s="50"/>
      <c r="E99" s="50"/>
      <c r="F99" s="50"/>
      <c r="G99" s="50"/>
      <c r="H99" s="3"/>
      <c r="I99" s="3"/>
      <c r="J99" s="3"/>
      <c r="K99" s="3"/>
      <c r="L99" s="3"/>
      <c r="M99" s="3"/>
    </row>
    <row r="100" spans="1:13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4.25">
      <c r="A101" s="3" t="s">
        <v>83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>
      <c r="A103" s="3" t="s">
        <v>84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>
      <c r="A105" s="3" t="s">
        <v>85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7.25" customHeight="1">
      <c r="A107" s="4" t="s">
        <v>86</v>
      </c>
      <c r="B107" s="4"/>
      <c r="C107" s="4"/>
      <c r="D107" s="4"/>
      <c r="E107" s="4"/>
      <c r="F107" s="4"/>
      <c r="G107" s="4"/>
      <c r="H107" s="3"/>
      <c r="I107" s="3"/>
      <c r="J107" s="3"/>
      <c r="K107" s="3"/>
      <c r="L107" s="3"/>
      <c r="M107" s="3"/>
    </row>
    <row r="108" spans="1:13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>
      <c r="A109" s="3" t="s">
        <v>87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3.5" customHeight="1">
      <c r="A111" s="4" t="s">
        <v>88</v>
      </c>
      <c r="B111" s="4"/>
      <c r="C111" s="4"/>
      <c r="D111" s="4"/>
      <c r="E111" s="4"/>
      <c r="F111" s="4"/>
      <c r="G111" s="4"/>
      <c r="H111" s="3"/>
      <c r="I111" s="3"/>
      <c r="J111" s="3"/>
      <c r="K111" s="3"/>
      <c r="L111" s="3"/>
      <c r="M111" s="3"/>
    </row>
    <row r="112" spans="1:1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>
      <c r="A113" s="3" t="s">
        <v>5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14.75">
      <c r="A115" s="14" t="s">
        <v>89</v>
      </c>
      <c r="B115" s="14" t="s">
        <v>90</v>
      </c>
      <c r="C115" s="39" t="s">
        <v>91</v>
      </c>
      <c r="D115" s="14" t="s">
        <v>92</v>
      </c>
      <c r="E115" s="14" t="s">
        <v>93</v>
      </c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36">
        <f>C42</f>
        <v>16260.320652173914</v>
      </c>
      <c r="B116" s="36">
        <f>E42</f>
        <v>1.3012531505909792</v>
      </c>
      <c r="C116" s="23">
        <f>C95</f>
        <v>11883.08152173913</v>
      </c>
      <c r="D116" s="23">
        <f>D95</f>
        <v>0.7117874471698208</v>
      </c>
      <c r="E116" s="36">
        <f>(A116*B116+C116*D116)*F18</f>
        <v>5449532</v>
      </c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05" customHeight="1">
      <c r="A118" s="12" t="s">
        <v>117</v>
      </c>
      <c r="B118" s="12"/>
      <c r="C118" s="12"/>
      <c r="D118" s="12"/>
      <c r="E118" s="12"/>
      <c r="F118" s="12"/>
      <c r="G118" s="12"/>
      <c r="H118" s="3"/>
      <c r="I118" s="3"/>
      <c r="J118" s="3"/>
      <c r="K118" s="3"/>
      <c r="L118" s="3"/>
      <c r="M118" s="3"/>
    </row>
    <row r="119" spans="1:13" ht="12.75">
      <c r="A119" s="3"/>
      <c r="B119" s="3"/>
      <c r="C119" s="3"/>
      <c r="D119" s="3" t="s">
        <v>95</v>
      </c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>
      <c r="A121" s="3" t="s">
        <v>96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>
      <c r="A123" s="3" t="s">
        <v>97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>
      <c r="A125" s="3" t="s">
        <v>98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>
      <c r="A127" s="3" t="s">
        <v>99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40.25">
      <c r="A129" s="51" t="s">
        <v>100</v>
      </c>
      <c r="B129" s="52" t="s">
        <v>101</v>
      </c>
      <c r="C129" s="51" t="s">
        <v>102</v>
      </c>
      <c r="D129" s="51" t="s">
        <v>103</v>
      </c>
      <c r="E129" s="53"/>
      <c r="F129" s="53"/>
      <c r="G129" s="53"/>
      <c r="H129" s="3"/>
      <c r="I129" s="3"/>
      <c r="J129" s="3"/>
      <c r="K129" s="3"/>
      <c r="L129" s="3"/>
      <c r="M129" s="3"/>
    </row>
    <row r="130" spans="1:13" ht="12.75">
      <c r="A130" s="65">
        <f>10327304+600+38614+214214+43817+1</f>
        <v>10624550</v>
      </c>
      <c r="B130" s="65">
        <f>1260000+380520</f>
        <v>1640520</v>
      </c>
      <c r="C130" s="66">
        <f>792000+239184</f>
        <v>1031184</v>
      </c>
      <c r="D130" s="67">
        <f>A130+B130+C130</f>
        <v>13296254</v>
      </c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>
      <c r="A131" s="58"/>
      <c r="B131" s="58"/>
      <c r="C131" s="58"/>
      <c r="D131" s="58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>
      <c r="A132" s="58"/>
      <c r="B132" s="58"/>
      <c r="C132" s="58"/>
      <c r="D132" s="58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>
      <c r="A133" s="59" t="s">
        <v>107</v>
      </c>
      <c r="B133" s="60"/>
      <c r="C133" s="60"/>
      <c r="D133" s="60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60"/>
      <c r="B134" s="60"/>
      <c r="C134" s="60"/>
      <c r="D134" s="60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61" t="s">
        <v>108</v>
      </c>
      <c r="B135" s="61">
        <v>0</v>
      </c>
      <c r="C135" s="61"/>
      <c r="D135" s="18">
        <f>1333239+600</f>
        <v>1333839</v>
      </c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>
      <c r="A136" s="61" t="s">
        <v>109</v>
      </c>
      <c r="B136" s="61">
        <v>0</v>
      </c>
      <c r="C136" s="61"/>
      <c r="D136" s="18">
        <v>402638</v>
      </c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63" t="s">
        <v>50</v>
      </c>
      <c r="B137" s="63">
        <f>B135+B136</f>
        <v>0</v>
      </c>
      <c r="C137" s="63"/>
      <c r="D137" s="22">
        <f>D135+D136</f>
        <v>1736477</v>
      </c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6:13" ht="12.75">
      <c r="F366" s="3"/>
      <c r="G366" s="3"/>
      <c r="H366" s="3"/>
      <c r="I366" s="3"/>
      <c r="J366" s="3"/>
      <c r="K366" s="3"/>
      <c r="L366" s="3"/>
      <c r="M366" s="3"/>
    </row>
  </sheetData>
  <sheetProtection selectLockedCells="1" selectUnlockedCells="1"/>
  <mergeCells count="19">
    <mergeCell ref="A2:G2"/>
    <mergeCell ref="A4:G4"/>
    <mergeCell ref="A5:A6"/>
    <mergeCell ref="B5:C5"/>
    <mergeCell ref="D5:D6"/>
    <mergeCell ref="B6:C6"/>
    <mergeCell ref="A11:G11"/>
    <mergeCell ref="A20:G20"/>
    <mergeCell ref="A44:G44"/>
    <mergeCell ref="A55:G55"/>
    <mergeCell ref="A71:G71"/>
    <mergeCell ref="A80:G80"/>
    <mergeCell ref="A90:G90"/>
    <mergeCell ref="A92:G92"/>
    <mergeCell ref="A97:G97"/>
    <mergeCell ref="A99:G99"/>
    <mergeCell ref="A107:G107"/>
    <mergeCell ref="A111:G111"/>
    <mergeCell ref="A118:G118"/>
  </mergeCells>
  <printOptions/>
  <pageMargins left="0.7083333333333334" right="0.7083333333333334" top="0.7479166666666667" bottom="0.7479166666666667" header="0.5118055555555555" footer="0.5118055555555555"/>
  <pageSetup fitToHeight="3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M366"/>
  <sheetViews>
    <sheetView workbookViewId="0" topLeftCell="A127">
      <selection activeCell="F137" sqref="F137"/>
    </sheetView>
  </sheetViews>
  <sheetFormatPr defaultColWidth="8.00390625" defaultRowHeight="12.75"/>
  <cols>
    <col min="1" max="1" width="18.00390625" style="0" customWidth="1"/>
    <col min="2" max="2" width="13.625" style="0" customWidth="1"/>
    <col min="3" max="3" width="13.00390625" style="0" customWidth="1"/>
    <col min="4" max="4" width="12.375" style="0" customWidth="1"/>
    <col min="5" max="5" width="15.625" style="0" customWidth="1"/>
    <col min="6" max="6" width="12.75390625" style="0" customWidth="1"/>
    <col min="7" max="7" width="13.625" style="0" customWidth="1"/>
    <col min="8" max="16384" width="9.00390625" style="0" customWidth="1"/>
  </cols>
  <sheetData>
    <row r="2" spans="1:13" ht="59.25" customHeight="1">
      <c r="A2" s="1" t="s">
        <v>125</v>
      </c>
      <c r="B2" s="1"/>
      <c r="C2" s="1"/>
      <c r="D2" s="1"/>
      <c r="E2" s="1"/>
      <c r="F2" s="1"/>
      <c r="G2" s="1"/>
      <c r="H2" s="2"/>
      <c r="I2" s="2"/>
      <c r="J2" s="2"/>
      <c r="K2" s="3"/>
      <c r="L2" s="3"/>
      <c r="M2" s="3"/>
    </row>
    <row r="3" spans="1:1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40.5" customHeight="1">
      <c r="A4" s="4" t="s">
        <v>1</v>
      </c>
      <c r="B4" s="4"/>
      <c r="C4" s="4"/>
      <c r="D4" s="4"/>
      <c r="E4" s="4"/>
      <c r="F4" s="4"/>
      <c r="G4" s="4"/>
      <c r="H4" s="3"/>
      <c r="I4" s="3"/>
      <c r="J4" s="3"/>
      <c r="K4" s="3"/>
      <c r="L4" s="3"/>
      <c r="M4" s="3"/>
    </row>
    <row r="5" spans="1:13" ht="12.75" customHeight="1">
      <c r="A5" s="5" t="s">
        <v>2</v>
      </c>
      <c r="B5" s="6" t="s">
        <v>3</v>
      </c>
      <c r="C5" s="6"/>
      <c r="D5" s="7" t="s">
        <v>4</v>
      </c>
      <c r="E5" s="3"/>
      <c r="F5" s="3"/>
      <c r="G5" s="3"/>
      <c r="H5" s="3"/>
      <c r="I5" s="3"/>
      <c r="J5" s="3"/>
      <c r="K5" s="3"/>
      <c r="L5" s="3"/>
      <c r="M5" s="3"/>
    </row>
    <row r="6" spans="1:13" ht="12.75" customHeight="1">
      <c r="A6" s="5"/>
      <c r="B6" s="8">
        <v>12</v>
      </c>
      <c r="C6" s="8"/>
      <c r="D6" s="7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 s="3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 s="3" t="s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42" customHeight="1">
      <c r="A11" s="4" t="s">
        <v>7</v>
      </c>
      <c r="B11" s="4"/>
      <c r="C11" s="4"/>
      <c r="D11" s="4"/>
      <c r="E11" s="4"/>
      <c r="F11" s="4"/>
      <c r="G11" s="4"/>
      <c r="H11" s="3"/>
      <c r="I11" s="3"/>
      <c r="J11" s="3"/>
      <c r="K11" s="3"/>
      <c r="L11" s="3"/>
      <c r="M11" s="3"/>
    </row>
    <row r="12" spans="1:1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 s="3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3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99" customHeight="1">
      <c r="A17" s="9" t="s">
        <v>10</v>
      </c>
      <c r="B17" s="9" t="s">
        <v>119</v>
      </c>
      <c r="C17" s="10" t="s">
        <v>12</v>
      </c>
      <c r="D17" s="9" t="s">
        <v>126</v>
      </c>
      <c r="E17" s="9" t="s">
        <v>127</v>
      </c>
      <c r="F17" s="9" t="s">
        <v>15</v>
      </c>
      <c r="G17" s="3"/>
      <c r="H17" s="3"/>
      <c r="I17" s="3"/>
      <c r="J17" s="3"/>
      <c r="K17" s="3"/>
      <c r="L17" s="3"/>
      <c r="M17" s="3"/>
    </row>
    <row r="18" spans="1:13" ht="29.25" customHeight="1">
      <c r="A18" s="9">
        <v>202</v>
      </c>
      <c r="B18" s="10">
        <v>0</v>
      </c>
      <c r="C18" s="9">
        <v>59</v>
      </c>
      <c r="D18" s="9">
        <v>70</v>
      </c>
      <c r="E18" s="11">
        <v>0</v>
      </c>
      <c r="F18" s="11">
        <v>186</v>
      </c>
      <c r="G18" s="3"/>
      <c r="H18" s="3"/>
      <c r="I18" s="3"/>
      <c r="J18" s="3"/>
      <c r="K18" s="3"/>
      <c r="L18" s="3"/>
      <c r="M18" s="3"/>
    </row>
    <row r="19" spans="1:1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27" customHeight="1">
      <c r="A20" s="12" t="s">
        <v>16</v>
      </c>
      <c r="B20" s="12"/>
      <c r="C20" s="12"/>
      <c r="D20" s="12"/>
      <c r="E20" s="12"/>
      <c r="F20" s="12"/>
      <c r="G20" s="12"/>
      <c r="H20" s="13"/>
      <c r="I20" s="13"/>
      <c r="J20" s="13"/>
      <c r="K20" s="3"/>
      <c r="L20" s="3"/>
      <c r="M20" s="3"/>
    </row>
    <row r="21" spans="1:13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 s="3" t="s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3" t="s">
        <v>18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3" t="s">
        <v>19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 s="3" t="s">
        <v>20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 t="s">
        <v>21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 s="3" t="s">
        <v>22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s="3" t="s">
        <v>23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63.75" customHeight="1">
      <c r="A36" s="14" t="s">
        <v>24</v>
      </c>
      <c r="B36" s="15" t="s">
        <v>25</v>
      </c>
      <c r="C36" s="14" t="s">
        <v>26</v>
      </c>
      <c r="D36" s="14" t="s">
        <v>27</v>
      </c>
      <c r="E36" s="14" t="s">
        <v>28</v>
      </c>
      <c r="F36" s="14" t="s">
        <v>29</v>
      </c>
      <c r="G36" s="3"/>
      <c r="H36" s="3"/>
      <c r="I36" s="3"/>
      <c r="J36" s="3"/>
      <c r="K36" s="3"/>
      <c r="L36" s="3"/>
      <c r="M36" s="3"/>
    </row>
    <row r="37" spans="1:13" ht="12.75">
      <c r="A37" s="16" t="s">
        <v>30</v>
      </c>
      <c r="B37" s="17">
        <f>F18</f>
        <v>186</v>
      </c>
      <c r="C37" s="18">
        <f>F53</f>
        <v>8190.69247311828</v>
      </c>
      <c r="D37" s="18">
        <f>E53</f>
        <v>1523468.8</v>
      </c>
      <c r="E37" s="19">
        <f>G53</f>
        <v>0.8311783608564876</v>
      </c>
      <c r="F37" s="18">
        <f aca="true" t="shared" si="0" ref="F37:F40">D37*E37</f>
        <v>1266274.3</v>
      </c>
      <c r="G37" s="3"/>
      <c r="H37" s="3"/>
      <c r="I37" s="3"/>
      <c r="J37" s="3"/>
      <c r="K37" s="3"/>
      <c r="L37" s="3"/>
      <c r="M37" s="3"/>
    </row>
    <row r="38" spans="1:13" ht="12.75">
      <c r="A38" s="16" t="s">
        <v>31</v>
      </c>
      <c r="B38" s="17">
        <f aca="true" t="shared" si="1" ref="B38:B41">B37</f>
        <v>186</v>
      </c>
      <c r="C38" s="18">
        <f>F69</f>
        <v>6955.581720430107</v>
      </c>
      <c r="D38" s="18">
        <f>E69</f>
        <v>1293738.2</v>
      </c>
      <c r="E38" s="19">
        <f>G69</f>
        <v>0.6830019396505413</v>
      </c>
      <c r="F38" s="18">
        <f t="shared" si="0"/>
        <v>883625.7</v>
      </c>
      <c r="G38" s="3"/>
      <c r="H38" s="3"/>
      <c r="I38" s="3"/>
      <c r="J38" s="3"/>
      <c r="K38" s="3"/>
      <c r="L38" s="3"/>
      <c r="M38" s="3"/>
    </row>
    <row r="39" spans="1:13" ht="12.75">
      <c r="A39" s="16" t="s">
        <v>32</v>
      </c>
      <c r="B39" s="17">
        <f t="shared" si="1"/>
        <v>186</v>
      </c>
      <c r="C39" s="18">
        <f>C78</f>
        <v>404.96774193548384</v>
      </c>
      <c r="D39" s="18">
        <f>B78</f>
        <v>75324</v>
      </c>
      <c r="E39" s="19">
        <f>D78</f>
        <v>0.7117784504274866</v>
      </c>
      <c r="F39" s="18">
        <f t="shared" si="0"/>
        <v>53614</v>
      </c>
      <c r="G39" s="3"/>
      <c r="H39" s="3"/>
      <c r="I39" s="3"/>
      <c r="J39" s="3"/>
      <c r="K39" s="3"/>
      <c r="L39" s="3"/>
      <c r="M39" s="3"/>
    </row>
    <row r="40" spans="1:13" ht="12.75">
      <c r="A40" s="16" t="s">
        <v>33</v>
      </c>
      <c r="B40" s="17">
        <f t="shared" si="1"/>
        <v>186</v>
      </c>
      <c r="C40" s="18">
        <f>F88</f>
        <v>0</v>
      </c>
      <c r="D40" s="18">
        <f>E88</f>
        <v>0</v>
      </c>
      <c r="E40" s="19">
        <v>0</v>
      </c>
      <c r="F40" s="18">
        <f t="shared" si="0"/>
        <v>0</v>
      </c>
      <c r="G40" s="3"/>
      <c r="H40" s="3"/>
      <c r="I40" s="3"/>
      <c r="J40" s="3"/>
      <c r="K40" s="3"/>
      <c r="L40" s="3"/>
      <c r="M40" s="3"/>
    </row>
    <row r="41" spans="1:13" ht="12.75">
      <c r="A41" s="16" t="s">
        <v>34</v>
      </c>
      <c r="B41" s="17">
        <f t="shared" si="1"/>
        <v>186</v>
      </c>
      <c r="C41" s="18">
        <v>0</v>
      </c>
      <c r="D41" s="18">
        <v>0</v>
      </c>
      <c r="E41" s="19">
        <v>1</v>
      </c>
      <c r="F41" s="18">
        <f>D137</f>
        <v>817682</v>
      </c>
      <c r="G41" s="3"/>
      <c r="H41" s="3"/>
      <c r="I41" s="3"/>
      <c r="J41" s="3"/>
      <c r="K41" s="3"/>
      <c r="L41" s="3"/>
      <c r="M41" s="3"/>
    </row>
    <row r="42" spans="1:13" ht="12.75">
      <c r="A42" s="20" t="s">
        <v>35</v>
      </c>
      <c r="B42" s="21"/>
      <c r="C42" s="22">
        <f>D42/B40</f>
        <v>15551.241935483871</v>
      </c>
      <c r="D42" s="22">
        <f>SUM(D37:D40)</f>
        <v>2892531</v>
      </c>
      <c r="E42" s="23">
        <f>F42/D42</f>
        <v>1.044481805035106</v>
      </c>
      <c r="F42" s="18">
        <f>F37+F38+F39+F40+F41</f>
        <v>3021196</v>
      </c>
      <c r="G42" s="24">
        <f>F42+E95</f>
        <v>4768980</v>
      </c>
      <c r="H42" s="3"/>
      <c r="I42" s="3"/>
      <c r="J42" s="3"/>
      <c r="K42" s="3"/>
      <c r="L42" s="3"/>
      <c r="M42" s="3"/>
    </row>
    <row r="43" spans="1:13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30.75" customHeight="1">
      <c r="A44" s="25" t="s">
        <v>128</v>
      </c>
      <c r="B44" s="25"/>
      <c r="C44" s="25"/>
      <c r="D44" s="25"/>
      <c r="E44" s="25"/>
      <c r="F44" s="25"/>
      <c r="G44" s="25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3" t="s">
        <v>37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63.75">
      <c r="A48" s="14" t="s">
        <v>38</v>
      </c>
      <c r="B48" s="14" t="s">
        <v>39</v>
      </c>
      <c r="C48" s="14" t="s">
        <v>40</v>
      </c>
      <c r="D48" s="14" t="s">
        <v>41</v>
      </c>
      <c r="E48" s="14" t="s">
        <v>42</v>
      </c>
      <c r="F48" s="14" t="s">
        <v>26</v>
      </c>
      <c r="G48" s="14" t="s">
        <v>28</v>
      </c>
      <c r="H48" s="3"/>
      <c r="I48" s="3"/>
      <c r="J48" s="3"/>
      <c r="K48" s="3"/>
      <c r="L48" s="3"/>
      <c r="M48" s="3"/>
    </row>
    <row r="49" spans="1:13" ht="25.5">
      <c r="A49" s="26" t="s">
        <v>43</v>
      </c>
      <c r="B49" s="27" t="s">
        <v>44</v>
      </c>
      <c r="C49" s="19">
        <f>140.3/2</f>
        <v>70.15</v>
      </c>
      <c r="D49" s="19">
        <f>E49/C49</f>
        <v>4038.545972915181</v>
      </c>
      <c r="E49" s="19">
        <f>566608/2</f>
        <v>283304</v>
      </c>
      <c r="F49" s="19">
        <f aca="true" t="shared" si="2" ref="F49:F52">E49/$B$40</f>
        <v>1523.1397849462367</v>
      </c>
      <c r="G49" s="19">
        <f>(258187/2/E49)</f>
        <v>0.4556712930279841</v>
      </c>
      <c r="H49" s="3"/>
      <c r="I49" s="3"/>
      <c r="J49" s="3"/>
      <c r="K49" s="3"/>
      <c r="L49" s="3"/>
      <c r="M49" s="3"/>
    </row>
    <row r="50" spans="1:13" ht="25.5">
      <c r="A50" s="26" t="s">
        <v>45</v>
      </c>
      <c r="B50" s="27" t="s">
        <v>46</v>
      </c>
      <c r="C50" s="19">
        <v>0</v>
      </c>
      <c r="D50" s="19">
        <v>0</v>
      </c>
      <c r="E50" s="19">
        <v>0</v>
      </c>
      <c r="F50" s="19">
        <f t="shared" si="2"/>
        <v>0</v>
      </c>
      <c r="G50" s="19">
        <v>0</v>
      </c>
      <c r="H50" s="3"/>
      <c r="I50" s="3"/>
      <c r="J50" s="3"/>
      <c r="K50" s="3"/>
      <c r="L50" s="3"/>
      <c r="M50" s="3"/>
    </row>
    <row r="51" spans="1:13" ht="25.5">
      <c r="A51" s="26" t="s">
        <v>47</v>
      </c>
      <c r="B51" s="27" t="s">
        <v>48</v>
      </c>
      <c r="C51" s="19">
        <f>19700*90%</f>
        <v>17730</v>
      </c>
      <c r="D51" s="19">
        <f aca="true" t="shared" si="3" ref="D51:D52">E51/C51</f>
        <v>62.202639593908636</v>
      </c>
      <c r="E51" s="19">
        <f>1225392*90%</f>
        <v>1102852.8</v>
      </c>
      <c r="F51" s="19">
        <f t="shared" si="2"/>
        <v>5929.316129032259</v>
      </c>
      <c r="G51" s="19">
        <f>(1225392*90%/E51)</f>
        <v>1</v>
      </c>
      <c r="H51" s="3"/>
      <c r="I51" s="3"/>
      <c r="J51" s="3"/>
      <c r="K51" s="3"/>
      <c r="L51" s="3"/>
      <c r="M51" s="3"/>
    </row>
    <row r="52" spans="1:13" ht="25.5">
      <c r="A52" s="26" t="s">
        <v>49</v>
      </c>
      <c r="B52" s="27" t="s">
        <v>46</v>
      </c>
      <c r="C52" s="19">
        <f>2300+1425</f>
        <v>3725</v>
      </c>
      <c r="D52" s="19">
        <f t="shared" si="3"/>
        <v>36.86228187919463</v>
      </c>
      <c r="E52" s="19">
        <v>137312</v>
      </c>
      <c r="F52" s="19">
        <f t="shared" si="2"/>
        <v>738.236559139785</v>
      </c>
      <c r="G52" s="19">
        <f>(34328/E52)</f>
        <v>0.25</v>
      </c>
      <c r="H52" s="3"/>
      <c r="I52" s="3"/>
      <c r="J52" s="3"/>
      <c r="K52" s="3"/>
      <c r="L52" s="3"/>
      <c r="M52" s="3"/>
    </row>
    <row r="53" spans="1:13" ht="20.25" customHeight="1">
      <c r="A53" s="28" t="s">
        <v>50</v>
      </c>
      <c r="B53" s="29"/>
      <c r="C53" s="23"/>
      <c r="D53" s="23"/>
      <c r="E53" s="23">
        <f>E49+E50+E51+E52</f>
        <v>1523468.8</v>
      </c>
      <c r="F53" s="23">
        <f>F49+F50+F51+F52</f>
        <v>8190.69247311828</v>
      </c>
      <c r="G53" s="23">
        <f>(258187/2+1225392*90%+34328)/E53</f>
        <v>0.8311783608564876</v>
      </c>
      <c r="H53" s="3"/>
      <c r="I53" s="3"/>
      <c r="J53" s="3"/>
      <c r="K53" s="3"/>
      <c r="L53" s="3"/>
      <c r="M53" s="3"/>
    </row>
    <row r="54" spans="1:13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28.5" customHeight="1">
      <c r="A55" s="25" t="s">
        <v>129</v>
      </c>
      <c r="B55" s="25"/>
      <c r="C55" s="25"/>
      <c r="D55" s="25"/>
      <c r="E55" s="25"/>
      <c r="F55" s="25"/>
      <c r="G55" s="25"/>
      <c r="H55" s="3"/>
      <c r="I55" s="3"/>
      <c r="J55" s="3"/>
      <c r="K55" s="3"/>
      <c r="L55" s="3"/>
      <c r="M55" s="3"/>
    </row>
    <row r="56" spans="1:1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75">
      <c r="A57" s="3" t="s">
        <v>52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63.75">
      <c r="A59" s="14" t="s">
        <v>38</v>
      </c>
      <c r="B59" s="14" t="s">
        <v>39</v>
      </c>
      <c r="C59" s="14" t="s">
        <v>53</v>
      </c>
      <c r="D59" s="14" t="s">
        <v>54</v>
      </c>
      <c r="E59" s="14" t="s">
        <v>42</v>
      </c>
      <c r="F59" s="14" t="s">
        <v>26</v>
      </c>
      <c r="G59" s="14" t="s">
        <v>28</v>
      </c>
      <c r="H59" s="3"/>
      <c r="I59" s="3"/>
      <c r="J59" s="3"/>
      <c r="K59" s="3"/>
      <c r="L59" s="3"/>
      <c r="M59" s="3"/>
    </row>
    <row r="60" spans="1:13" ht="45.75" customHeight="1">
      <c r="A60" s="26" t="s">
        <v>55</v>
      </c>
      <c r="B60" s="30"/>
      <c r="C60" s="19"/>
      <c r="D60" s="19"/>
      <c r="E60" s="19">
        <v>48803</v>
      </c>
      <c r="F60" s="19">
        <f aca="true" t="shared" si="4" ref="F60:F68">E60/$B$40</f>
        <v>262.3817204301075</v>
      </c>
      <c r="G60" s="19">
        <f>(34737/E60)</f>
        <v>0.7117800135237587</v>
      </c>
      <c r="H60" s="3"/>
      <c r="I60" s="3"/>
      <c r="J60" s="3"/>
      <c r="K60" s="3"/>
      <c r="L60" s="3"/>
      <c r="M60" s="3"/>
    </row>
    <row r="61" spans="1:13" ht="25.5">
      <c r="A61" s="26" t="s">
        <v>56</v>
      </c>
      <c r="B61" s="30" t="s">
        <v>57</v>
      </c>
      <c r="C61" s="19">
        <v>1</v>
      </c>
      <c r="D61" s="19">
        <f>E61/C61</f>
        <v>18684</v>
      </c>
      <c r="E61" s="19">
        <v>18684</v>
      </c>
      <c r="F61" s="19">
        <f t="shared" si="4"/>
        <v>100.45161290322581</v>
      </c>
      <c r="G61" s="19">
        <f>(13299/E61)</f>
        <v>0.7117854849068722</v>
      </c>
      <c r="H61" s="3"/>
      <c r="I61" s="3"/>
      <c r="J61" s="3"/>
      <c r="K61" s="3"/>
      <c r="L61" s="3"/>
      <c r="M61" s="3"/>
    </row>
    <row r="62" spans="1:13" ht="18" customHeight="1">
      <c r="A62" s="26" t="s">
        <v>58</v>
      </c>
      <c r="B62" s="30"/>
      <c r="C62" s="19"/>
      <c r="D62" s="19"/>
      <c r="E62" s="19">
        <v>0</v>
      </c>
      <c r="F62" s="19">
        <f t="shared" si="4"/>
        <v>0</v>
      </c>
      <c r="G62" s="19">
        <v>0</v>
      </c>
      <c r="H62" s="3"/>
      <c r="I62" s="3"/>
      <c r="J62" s="3"/>
      <c r="K62" s="3"/>
      <c r="L62" s="3"/>
      <c r="M62" s="3"/>
    </row>
    <row r="63" spans="1:13" ht="18" customHeight="1">
      <c r="A63" s="26" t="s">
        <v>59</v>
      </c>
      <c r="B63" s="30"/>
      <c r="C63" s="19"/>
      <c r="D63" s="19"/>
      <c r="E63" s="19">
        <v>809640</v>
      </c>
      <c r="F63" s="19">
        <f t="shared" si="4"/>
        <v>4352.903225806452</v>
      </c>
      <c r="G63" s="19">
        <f>(576292/E63)</f>
        <v>0.7117879551405563</v>
      </c>
      <c r="H63" s="3"/>
      <c r="I63" s="3"/>
      <c r="J63" s="3"/>
      <c r="K63" s="3"/>
      <c r="L63" s="3"/>
      <c r="M63" s="3"/>
    </row>
    <row r="64" spans="1:13" ht="25.5">
      <c r="A64" s="26" t="s">
        <v>43</v>
      </c>
      <c r="B64" s="27" t="s">
        <v>44</v>
      </c>
      <c r="C64" s="19">
        <f>140.3/2</f>
        <v>70.15</v>
      </c>
      <c r="D64" s="19">
        <f>E64/C64</f>
        <v>4038.545972915181</v>
      </c>
      <c r="E64" s="19">
        <f>566608/2</f>
        <v>283304</v>
      </c>
      <c r="F64" s="19">
        <f t="shared" si="4"/>
        <v>1523.1397849462367</v>
      </c>
      <c r="G64" s="19">
        <f>(258187/2/E64)</f>
        <v>0.4556712930279841</v>
      </c>
      <c r="H64" s="3"/>
      <c r="I64" s="3"/>
      <c r="J64" s="3"/>
      <c r="K64" s="3"/>
      <c r="L64" s="3"/>
      <c r="M64" s="3"/>
    </row>
    <row r="65" spans="1:13" ht="25.5">
      <c r="A65" s="26" t="s">
        <v>45</v>
      </c>
      <c r="B65" s="27" t="s">
        <v>46</v>
      </c>
      <c r="C65" s="19">
        <v>0</v>
      </c>
      <c r="D65" s="19">
        <v>0</v>
      </c>
      <c r="E65" s="19">
        <v>0</v>
      </c>
      <c r="F65" s="19">
        <f t="shared" si="4"/>
        <v>0</v>
      </c>
      <c r="G65" s="19">
        <v>0</v>
      </c>
      <c r="H65" s="3"/>
      <c r="I65" s="3"/>
      <c r="J65" s="3"/>
      <c r="K65" s="3"/>
      <c r="L65" s="3"/>
      <c r="M65" s="3"/>
    </row>
    <row r="66" spans="1:13" ht="25.5">
      <c r="A66" s="26" t="s">
        <v>47</v>
      </c>
      <c r="B66" s="27" t="s">
        <v>48</v>
      </c>
      <c r="C66" s="19">
        <f>19700*10%</f>
        <v>1970</v>
      </c>
      <c r="D66" s="19">
        <f>E66/C66</f>
        <v>62.202639593908636</v>
      </c>
      <c r="E66" s="19">
        <f>1225392*10%</f>
        <v>122539.20000000001</v>
      </c>
      <c r="F66" s="19">
        <f t="shared" si="4"/>
        <v>658.8129032258065</v>
      </c>
      <c r="G66" s="19">
        <f>(1225392*10%/E66)</f>
        <v>1</v>
      </c>
      <c r="H66" s="3"/>
      <c r="I66" s="3"/>
      <c r="J66" s="3"/>
      <c r="K66" s="3"/>
      <c r="L66" s="3"/>
      <c r="M66" s="3"/>
    </row>
    <row r="67" spans="1:13" ht="25.5" customHeight="1">
      <c r="A67" s="26" t="s">
        <v>60</v>
      </c>
      <c r="B67" s="30"/>
      <c r="C67" s="19"/>
      <c r="D67" s="19"/>
      <c r="E67" s="19">
        <v>10768</v>
      </c>
      <c r="F67" s="19">
        <f t="shared" si="4"/>
        <v>57.89247311827957</v>
      </c>
      <c r="G67" s="19">
        <f>(7665/E67)</f>
        <v>0.711831352154532</v>
      </c>
      <c r="H67" s="3"/>
      <c r="I67" s="3"/>
      <c r="J67" s="3"/>
      <c r="K67" s="3"/>
      <c r="L67" s="3"/>
      <c r="M67" s="3"/>
    </row>
    <row r="68" spans="1:13" ht="12.75">
      <c r="A68" s="26" t="s">
        <v>61</v>
      </c>
      <c r="B68" s="30"/>
      <c r="C68" s="19"/>
      <c r="D68" s="19"/>
      <c r="E68" s="19">
        <v>0</v>
      </c>
      <c r="F68" s="19">
        <f t="shared" si="4"/>
        <v>0</v>
      </c>
      <c r="G68" s="19" t="e">
        <f>(0/E68)</f>
        <v>#DIV/0!</v>
      </c>
      <c r="H68" s="3"/>
      <c r="I68" s="3"/>
      <c r="J68" s="3"/>
      <c r="K68" s="3"/>
      <c r="L68" s="3"/>
      <c r="M68" s="3"/>
    </row>
    <row r="69" spans="1:13" ht="24.75" customHeight="1">
      <c r="A69" s="28" t="s">
        <v>50</v>
      </c>
      <c r="B69" s="31"/>
      <c r="C69" s="23"/>
      <c r="D69" s="23"/>
      <c r="E69" s="23">
        <f>SUM(E60:E68)</f>
        <v>1293738.2</v>
      </c>
      <c r="F69" s="23">
        <f>SUM(F60:F68)</f>
        <v>6955.581720430107</v>
      </c>
      <c r="G69" s="23">
        <f>(34737+13299+576292+258187/2+1225392*10%+7665)/E69</f>
        <v>0.6830019396505413</v>
      </c>
      <c r="H69" s="3"/>
      <c r="I69" s="3"/>
      <c r="J69" s="3"/>
      <c r="K69" s="3"/>
      <c r="L69" s="3"/>
      <c r="M69" s="3"/>
    </row>
    <row r="70" spans="1:13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29.25" customHeight="1">
      <c r="A71" s="25" t="s">
        <v>130</v>
      </c>
      <c r="B71" s="25"/>
      <c r="C71" s="25"/>
      <c r="D71" s="25"/>
      <c r="E71" s="25"/>
      <c r="F71" s="25"/>
      <c r="G71" s="25"/>
      <c r="H71" s="3"/>
      <c r="I71" s="3"/>
      <c r="J71" s="3"/>
      <c r="K71" s="3"/>
      <c r="L71" s="3"/>
      <c r="M71" s="3"/>
    </row>
    <row r="72" spans="1:13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>
      <c r="A73" s="3" t="s">
        <v>63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63.75">
      <c r="A75" s="14" t="s">
        <v>38</v>
      </c>
      <c r="B75" s="14" t="s">
        <v>42</v>
      </c>
      <c r="C75" s="14" t="s">
        <v>26</v>
      </c>
      <c r="D75" s="14" t="s">
        <v>28</v>
      </c>
      <c r="E75" s="32"/>
      <c r="F75" s="32"/>
      <c r="G75" s="32"/>
      <c r="H75" s="3"/>
      <c r="I75" s="3"/>
      <c r="J75" s="3"/>
      <c r="K75" s="3"/>
      <c r="L75" s="3"/>
      <c r="M75" s="3"/>
    </row>
    <row r="76" spans="1:13" ht="51">
      <c r="A76" s="26" t="s">
        <v>64</v>
      </c>
      <c r="B76" s="33">
        <v>571</v>
      </c>
      <c r="C76" s="19">
        <f aca="true" t="shared" si="5" ref="C76:C77">B76/$B$40</f>
        <v>3.0698924731182795</v>
      </c>
      <c r="D76" s="19">
        <f>(406/B76)</f>
        <v>0.7110332749562172</v>
      </c>
      <c r="E76" s="34"/>
      <c r="F76" s="35"/>
      <c r="G76" s="35"/>
      <c r="H76" s="3"/>
      <c r="I76" s="3"/>
      <c r="J76" s="3"/>
      <c r="K76" s="3"/>
      <c r="L76" s="3"/>
      <c r="M76" s="3"/>
    </row>
    <row r="77" spans="1:13" ht="19.5" customHeight="1">
      <c r="A77" s="26" t="s">
        <v>65</v>
      </c>
      <c r="B77" s="33">
        <f>57298+17455</f>
        <v>74753</v>
      </c>
      <c r="C77" s="19">
        <f t="shared" si="5"/>
        <v>401.89784946236557</v>
      </c>
      <c r="D77" s="19">
        <f>(40784+12424)/B77</f>
        <v>0.7117841424424438</v>
      </c>
      <c r="E77" s="34"/>
      <c r="F77" s="35"/>
      <c r="G77" s="35"/>
      <c r="H77" s="3"/>
      <c r="I77" s="3"/>
      <c r="J77" s="3"/>
      <c r="K77" s="3"/>
      <c r="L77" s="3"/>
      <c r="M77" s="3"/>
    </row>
    <row r="78" spans="1:13" ht="27" customHeight="1">
      <c r="A78" s="28" t="s">
        <v>50</v>
      </c>
      <c r="B78" s="36">
        <f>SUM(B76:B77)</f>
        <v>75324</v>
      </c>
      <c r="C78" s="36">
        <f>SUM(C76:C77)</f>
        <v>404.96774193548384</v>
      </c>
      <c r="D78" s="36">
        <f>(40784+12424+406)/B78</f>
        <v>0.7117784504274866</v>
      </c>
      <c r="E78" s="37"/>
      <c r="F78" s="37"/>
      <c r="G78" s="37"/>
      <c r="H78" s="3"/>
      <c r="I78" s="3"/>
      <c r="J78" s="3"/>
      <c r="K78" s="3"/>
      <c r="L78" s="3"/>
      <c r="M78" s="3"/>
    </row>
    <row r="79" spans="1:13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29.25" customHeight="1">
      <c r="A80" s="25" t="s">
        <v>66</v>
      </c>
      <c r="B80" s="25"/>
      <c r="C80" s="25"/>
      <c r="D80" s="25"/>
      <c r="E80" s="25"/>
      <c r="F80" s="25"/>
      <c r="G80" s="25"/>
      <c r="H80" s="3"/>
      <c r="I80" s="3"/>
      <c r="J80" s="3"/>
      <c r="K80" s="3"/>
      <c r="L80" s="3"/>
      <c r="M80" s="3"/>
    </row>
    <row r="81" spans="1:13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 hidden="1">
      <c r="A82" s="3" t="s">
        <v>67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63.75" hidden="1">
      <c r="A84" s="38" t="s">
        <v>68</v>
      </c>
      <c r="B84" s="10" t="s">
        <v>69</v>
      </c>
      <c r="C84" s="14" t="s">
        <v>54</v>
      </c>
      <c r="D84" s="10" t="s">
        <v>70</v>
      </c>
      <c r="E84" s="39" t="s">
        <v>71</v>
      </c>
      <c r="F84" s="14" t="s">
        <v>26</v>
      </c>
      <c r="G84" s="14" t="s">
        <v>28</v>
      </c>
      <c r="H84" s="3"/>
      <c r="I84" s="3"/>
      <c r="J84" s="3"/>
      <c r="K84" s="3"/>
      <c r="L84" s="3"/>
      <c r="M84" s="3"/>
    </row>
    <row r="85" spans="1:13" ht="12.75" hidden="1">
      <c r="A85" s="40" t="s">
        <v>72</v>
      </c>
      <c r="B85" s="41">
        <v>1</v>
      </c>
      <c r="C85" s="42">
        <f aca="true" t="shared" si="6" ref="C85:C86">E85/D85/B85</f>
        <v>0</v>
      </c>
      <c r="D85" s="43">
        <v>12</v>
      </c>
      <c r="E85" s="44">
        <v>0</v>
      </c>
      <c r="F85" s="19">
        <f aca="true" t="shared" si="7" ref="F85:F88">E85/$B$40</f>
        <v>0</v>
      </c>
      <c r="G85" s="19" t="e">
        <f aca="true" t="shared" si="8" ref="G85:G87">(0/E85)</f>
        <v>#DIV/0!</v>
      </c>
      <c r="H85" s="3"/>
      <c r="I85" s="3"/>
      <c r="J85" s="3"/>
      <c r="K85" s="3"/>
      <c r="L85" s="3"/>
      <c r="M85" s="3"/>
    </row>
    <row r="86" spans="1:13" ht="12.75" hidden="1">
      <c r="A86" s="40" t="s">
        <v>73</v>
      </c>
      <c r="B86" s="39">
        <v>1</v>
      </c>
      <c r="C86" s="42">
        <f t="shared" si="6"/>
        <v>0</v>
      </c>
      <c r="D86" s="43">
        <v>12</v>
      </c>
      <c r="E86" s="44">
        <v>0</v>
      </c>
      <c r="F86" s="19">
        <f t="shared" si="7"/>
        <v>0</v>
      </c>
      <c r="G86" s="19" t="e">
        <f t="shared" si="8"/>
        <v>#DIV/0!</v>
      </c>
      <c r="H86" s="3"/>
      <c r="I86" s="3"/>
      <c r="J86" s="3"/>
      <c r="K86" s="3"/>
      <c r="L86" s="3"/>
      <c r="M86" s="3"/>
    </row>
    <row r="87" spans="1:13" ht="12.75" hidden="1">
      <c r="A87" s="40" t="s">
        <v>74</v>
      </c>
      <c r="B87" s="41"/>
      <c r="C87" s="41"/>
      <c r="D87" s="43"/>
      <c r="E87" s="44">
        <v>0</v>
      </c>
      <c r="F87" s="19">
        <f t="shared" si="7"/>
        <v>0</v>
      </c>
      <c r="G87" s="19" t="e">
        <f t="shared" si="8"/>
        <v>#DIV/0!</v>
      </c>
      <c r="H87" s="3"/>
      <c r="I87" s="3"/>
      <c r="J87" s="3"/>
      <c r="K87" s="3"/>
      <c r="L87" s="3"/>
      <c r="M87" s="3"/>
    </row>
    <row r="88" spans="1:13" ht="12.75" hidden="1">
      <c r="A88" s="45" t="s">
        <v>75</v>
      </c>
      <c r="B88" s="46"/>
      <c r="C88" s="46"/>
      <c r="D88" s="46"/>
      <c r="E88" s="47">
        <f>E85+E86+E87</f>
        <v>0</v>
      </c>
      <c r="F88" s="23">
        <f t="shared" si="7"/>
        <v>0</v>
      </c>
      <c r="G88" s="23" t="e">
        <f>0/E88</f>
        <v>#DIV/0!</v>
      </c>
      <c r="H88" s="3"/>
      <c r="I88" s="3"/>
      <c r="J88" s="3"/>
      <c r="K88" s="3"/>
      <c r="L88" s="3"/>
      <c r="M88" s="3"/>
    </row>
    <row r="89" spans="1:13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27.75" customHeight="1" hidden="1">
      <c r="A90" s="25" t="s">
        <v>131</v>
      </c>
      <c r="B90" s="25"/>
      <c r="C90" s="25"/>
      <c r="D90" s="25"/>
      <c r="E90" s="25"/>
      <c r="F90" s="25"/>
      <c r="G90" s="25"/>
      <c r="H90" s="3"/>
      <c r="I90" s="3"/>
      <c r="J90" s="3"/>
      <c r="K90" s="3"/>
      <c r="L90" s="3"/>
      <c r="M90" s="3"/>
    </row>
    <row r="91" spans="1:1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45" customHeight="1">
      <c r="A92" s="12" t="s">
        <v>77</v>
      </c>
      <c r="B92" s="12"/>
      <c r="C92" s="12"/>
      <c r="D92" s="12"/>
      <c r="E92" s="12"/>
      <c r="F92" s="12"/>
      <c r="G92" s="12"/>
      <c r="H92" s="13"/>
      <c r="I92" s="13"/>
      <c r="J92" s="13"/>
      <c r="K92" s="3"/>
      <c r="L92" s="3"/>
      <c r="M92" s="3"/>
    </row>
    <row r="93" spans="1:1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63.75">
      <c r="A94" s="14" t="s">
        <v>38</v>
      </c>
      <c r="B94" s="39" t="s">
        <v>71</v>
      </c>
      <c r="C94" s="14" t="s">
        <v>26</v>
      </c>
      <c r="D94" s="14" t="s">
        <v>28</v>
      </c>
      <c r="E94" s="48" t="s">
        <v>78</v>
      </c>
      <c r="F94" s="16" t="s">
        <v>79</v>
      </c>
      <c r="G94" s="3"/>
      <c r="H94" s="3"/>
      <c r="I94" s="3"/>
      <c r="J94" s="3"/>
      <c r="K94" s="3"/>
      <c r="L94" s="3"/>
      <c r="M94" s="3"/>
    </row>
    <row r="95" spans="1:13" ht="12.75">
      <c r="A95" s="49" t="s">
        <v>80</v>
      </c>
      <c r="B95" s="36">
        <v>2455485</v>
      </c>
      <c r="C95" s="23">
        <f>B95/$B$40</f>
        <v>13201.532258064517</v>
      </c>
      <c r="D95" s="23">
        <f>1747784/B95</f>
        <v>0.7117876916372936</v>
      </c>
      <c r="E95" s="18">
        <f>B95*D95</f>
        <v>1747784</v>
      </c>
      <c r="F95" s="18">
        <f>E95-B95</f>
        <v>-707701</v>
      </c>
      <c r="G95" s="3"/>
      <c r="H95" s="3"/>
      <c r="I95" s="3"/>
      <c r="J95" s="3"/>
      <c r="K95" s="3"/>
      <c r="L95" s="3"/>
      <c r="M95" s="3"/>
    </row>
    <row r="96" spans="1:1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34.5" customHeight="1">
      <c r="A97" s="25" t="s">
        <v>81</v>
      </c>
      <c r="B97" s="25"/>
      <c r="C97" s="25"/>
      <c r="D97" s="25"/>
      <c r="E97" s="25"/>
      <c r="F97" s="25"/>
      <c r="G97" s="25"/>
      <c r="H97" s="3"/>
      <c r="I97" s="3"/>
      <c r="J97" s="3"/>
      <c r="K97" s="3"/>
      <c r="L97" s="3"/>
      <c r="M97" s="3"/>
    </row>
    <row r="98" spans="1:1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48.75" customHeight="1">
      <c r="A99" s="50" t="s">
        <v>132</v>
      </c>
      <c r="B99" s="50"/>
      <c r="C99" s="50"/>
      <c r="D99" s="50"/>
      <c r="E99" s="50"/>
      <c r="F99" s="50"/>
      <c r="G99" s="50"/>
      <c r="H99" s="3"/>
      <c r="I99" s="3"/>
      <c r="J99" s="3"/>
      <c r="K99" s="3"/>
      <c r="L99" s="3"/>
      <c r="M99" s="3"/>
    </row>
    <row r="100" spans="1:13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4.25">
      <c r="A101" s="3" t="s">
        <v>83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>
      <c r="A103" s="3" t="s">
        <v>84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>
      <c r="A105" s="3" t="s">
        <v>85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7.25" customHeight="1">
      <c r="A107" s="4" t="s">
        <v>86</v>
      </c>
      <c r="B107" s="4"/>
      <c r="C107" s="4"/>
      <c r="D107" s="4"/>
      <c r="E107" s="4"/>
      <c r="F107" s="4"/>
      <c r="G107" s="4"/>
      <c r="H107" s="3"/>
      <c r="I107" s="3"/>
      <c r="J107" s="3"/>
      <c r="K107" s="3"/>
      <c r="L107" s="3"/>
      <c r="M107" s="3"/>
    </row>
    <row r="108" spans="1:13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>
      <c r="A109" s="3" t="s">
        <v>87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3.5" customHeight="1">
      <c r="A111" s="4" t="s">
        <v>88</v>
      </c>
      <c r="B111" s="4"/>
      <c r="C111" s="4"/>
      <c r="D111" s="4"/>
      <c r="E111" s="4"/>
      <c r="F111" s="4"/>
      <c r="G111" s="4"/>
      <c r="H111" s="3"/>
      <c r="I111" s="3"/>
      <c r="J111" s="3"/>
      <c r="K111" s="3"/>
      <c r="L111" s="3"/>
      <c r="M111" s="3"/>
    </row>
    <row r="112" spans="1:1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>
      <c r="A113" s="3" t="s">
        <v>5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14.75">
      <c r="A115" s="14" t="s">
        <v>89</v>
      </c>
      <c r="B115" s="14" t="s">
        <v>90</v>
      </c>
      <c r="C115" s="39" t="s">
        <v>91</v>
      </c>
      <c r="D115" s="14" t="s">
        <v>92</v>
      </c>
      <c r="E115" s="14" t="s">
        <v>93</v>
      </c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36">
        <f>C42</f>
        <v>15551.241935483871</v>
      </c>
      <c r="B116" s="36">
        <f>E42</f>
        <v>1.044481805035106</v>
      </c>
      <c r="C116" s="23">
        <f>C95</f>
        <v>13201.532258064517</v>
      </c>
      <c r="D116" s="23">
        <f>D95</f>
        <v>0.7117876916372936</v>
      </c>
      <c r="E116" s="36">
        <f>(A116*B116+C116*D116)*F18</f>
        <v>4768980</v>
      </c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98.25" customHeight="1">
      <c r="A118" s="12" t="s">
        <v>133</v>
      </c>
      <c r="B118" s="12"/>
      <c r="C118" s="12"/>
      <c r="D118" s="12"/>
      <c r="E118" s="12"/>
      <c r="F118" s="12"/>
      <c r="G118" s="12"/>
      <c r="H118" s="3"/>
      <c r="I118" s="3"/>
      <c r="J118" s="3"/>
      <c r="K118" s="3"/>
      <c r="L118" s="3"/>
      <c r="M118" s="3"/>
    </row>
    <row r="119" spans="1:13" ht="12.75">
      <c r="A119" s="3"/>
      <c r="B119" s="3"/>
      <c r="C119" s="3"/>
      <c r="D119" s="3" t="s">
        <v>95</v>
      </c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>
      <c r="A121" s="3" t="s">
        <v>96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>
      <c r="A123" s="3" t="s">
        <v>97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>
      <c r="A125" s="3" t="s">
        <v>98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>
      <c r="A127" s="3" t="s">
        <v>99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40.25">
      <c r="A129" s="51" t="s">
        <v>100</v>
      </c>
      <c r="B129" s="52" t="s">
        <v>101</v>
      </c>
      <c r="C129" s="51" t="s">
        <v>102</v>
      </c>
      <c r="D129" s="51" t="s">
        <v>103</v>
      </c>
      <c r="E129" s="53"/>
      <c r="F129" s="53"/>
      <c r="G129" s="53"/>
      <c r="H129" s="3"/>
      <c r="I129" s="3"/>
      <c r="J129" s="3"/>
      <c r="K129" s="3"/>
      <c r="L129" s="3"/>
      <c r="M129" s="3"/>
    </row>
    <row r="130" spans="1:13" ht="12.75">
      <c r="A130" s="65">
        <f>9606758+28234+113235+195039+10000+1</f>
        <v>9953267</v>
      </c>
      <c r="B130" s="65">
        <f>1080000+326160</f>
        <v>1406160</v>
      </c>
      <c r="C130" s="66">
        <f>720000+217440</f>
        <v>937440</v>
      </c>
      <c r="D130" s="67">
        <f>A130+B130+C130</f>
        <v>12296867</v>
      </c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>
      <c r="A131" s="58"/>
      <c r="B131" s="58"/>
      <c r="C131" s="58"/>
      <c r="D131" s="58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>
      <c r="A132" s="58"/>
      <c r="B132" s="58"/>
      <c r="C132" s="58"/>
      <c r="D132" s="58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>
      <c r="A133" s="59" t="s">
        <v>107</v>
      </c>
      <c r="B133" s="60"/>
      <c r="C133" s="60"/>
      <c r="D133" s="60"/>
      <c r="E133" s="60"/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60"/>
      <c r="B134" s="60"/>
      <c r="C134" s="60"/>
      <c r="D134" s="60"/>
      <c r="E134" s="60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61" t="s">
        <v>108</v>
      </c>
      <c r="B135" s="61">
        <v>0</v>
      </c>
      <c r="C135" s="61"/>
      <c r="D135" s="18">
        <v>628020</v>
      </c>
      <c r="E135" s="60"/>
      <c r="F135" s="3"/>
      <c r="G135" s="3"/>
      <c r="H135" s="3"/>
      <c r="I135" s="3"/>
      <c r="J135" s="3"/>
      <c r="K135" s="3"/>
      <c r="L135" s="3"/>
      <c r="M135" s="3"/>
    </row>
    <row r="136" spans="1:13" ht="12.75">
      <c r="A136" s="61" t="s">
        <v>109</v>
      </c>
      <c r="B136" s="61">
        <v>0</v>
      </c>
      <c r="C136" s="61"/>
      <c r="D136" s="18">
        <v>189662</v>
      </c>
      <c r="E136" s="60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63" t="s">
        <v>50</v>
      </c>
      <c r="B137" s="63">
        <f>B135+B136</f>
        <v>0</v>
      </c>
      <c r="C137" s="63"/>
      <c r="D137" s="64">
        <f>D135+D136</f>
        <v>817682</v>
      </c>
      <c r="E137" s="60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60"/>
      <c r="B138" s="60"/>
      <c r="C138" s="60"/>
      <c r="D138" s="60"/>
      <c r="E138" s="60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6:13" ht="12.75">
      <c r="F366" s="3"/>
      <c r="G366" s="3"/>
      <c r="H366" s="3"/>
      <c r="I366" s="3"/>
      <c r="J366" s="3"/>
      <c r="K366" s="3"/>
      <c r="L366" s="3"/>
      <c r="M366" s="3"/>
    </row>
  </sheetData>
  <sheetProtection selectLockedCells="1" selectUnlockedCells="1"/>
  <mergeCells count="19">
    <mergeCell ref="A2:G2"/>
    <mergeCell ref="A4:G4"/>
    <mergeCell ref="A5:A6"/>
    <mergeCell ref="B5:C5"/>
    <mergeCell ref="D5:D6"/>
    <mergeCell ref="B6:C6"/>
    <mergeCell ref="A11:G11"/>
    <mergeCell ref="A20:G20"/>
    <mergeCell ref="A44:G44"/>
    <mergeCell ref="A55:G55"/>
    <mergeCell ref="A71:G71"/>
    <mergeCell ref="A80:G80"/>
    <mergeCell ref="A90:G90"/>
    <mergeCell ref="A92:G92"/>
    <mergeCell ref="A97:G97"/>
    <mergeCell ref="A99:G99"/>
    <mergeCell ref="A107:G107"/>
    <mergeCell ref="A111:G111"/>
    <mergeCell ref="A118:G118"/>
  </mergeCells>
  <printOptions/>
  <pageMargins left="0.7083333333333334" right="0.7083333333333334" top="0.7479166666666667" bottom="0.7479166666666667" header="0.5118055555555555" footer="0.5118055555555555"/>
  <pageSetup fitToHeight="3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M366"/>
  <sheetViews>
    <sheetView workbookViewId="0" topLeftCell="A121">
      <selection activeCell="A130" sqref="A130"/>
    </sheetView>
  </sheetViews>
  <sheetFormatPr defaultColWidth="8.00390625" defaultRowHeight="12.75"/>
  <cols>
    <col min="1" max="1" width="18.00390625" style="0" customWidth="1"/>
    <col min="2" max="2" width="13.625" style="0" customWidth="1"/>
    <col min="3" max="3" width="13.00390625" style="0" customWidth="1"/>
    <col min="4" max="4" width="12.375" style="0" customWidth="1"/>
    <col min="5" max="5" width="15.625" style="0" customWidth="1"/>
    <col min="6" max="6" width="12.75390625" style="0" customWidth="1"/>
    <col min="7" max="7" width="13.625" style="0" customWidth="1"/>
    <col min="8" max="16384" width="9.00390625" style="0" customWidth="1"/>
  </cols>
  <sheetData>
    <row r="2" spans="1:13" ht="59.25" customHeight="1">
      <c r="A2" s="1" t="s">
        <v>134</v>
      </c>
      <c r="B2" s="1"/>
      <c r="C2" s="1"/>
      <c r="D2" s="1"/>
      <c r="E2" s="1"/>
      <c r="F2" s="1"/>
      <c r="G2" s="1"/>
      <c r="H2" s="2"/>
      <c r="I2" s="2"/>
      <c r="J2" s="2"/>
      <c r="K2" s="3"/>
      <c r="L2" s="3"/>
      <c r="M2" s="3"/>
    </row>
    <row r="3" spans="1:1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40.5" customHeight="1">
      <c r="A4" s="4" t="s">
        <v>1</v>
      </c>
      <c r="B4" s="4"/>
      <c r="C4" s="4"/>
      <c r="D4" s="4"/>
      <c r="E4" s="4"/>
      <c r="F4" s="4"/>
      <c r="G4" s="4"/>
      <c r="H4" s="3"/>
      <c r="I4" s="3"/>
      <c r="J4" s="3"/>
      <c r="K4" s="3"/>
      <c r="L4" s="3"/>
      <c r="M4" s="3"/>
    </row>
    <row r="5" spans="1:13" ht="12.75" customHeight="1">
      <c r="A5" s="5" t="s">
        <v>2</v>
      </c>
      <c r="B5" s="6" t="s">
        <v>3</v>
      </c>
      <c r="C5" s="6"/>
      <c r="D5" s="7" t="s">
        <v>4</v>
      </c>
      <c r="E5" s="3"/>
      <c r="F5" s="3"/>
      <c r="G5" s="3"/>
      <c r="H5" s="3"/>
      <c r="I5" s="3"/>
      <c r="J5" s="3"/>
      <c r="K5" s="3"/>
      <c r="L5" s="3"/>
      <c r="M5" s="3"/>
    </row>
    <row r="6" spans="1:13" ht="12.75" customHeight="1">
      <c r="A6" s="5"/>
      <c r="B6" s="8">
        <v>12</v>
      </c>
      <c r="C6" s="8"/>
      <c r="D6" s="7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 s="3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 s="3" t="s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42" customHeight="1">
      <c r="A11" s="4" t="s">
        <v>7</v>
      </c>
      <c r="B11" s="4"/>
      <c r="C11" s="4"/>
      <c r="D11" s="4"/>
      <c r="E11" s="4"/>
      <c r="F11" s="4"/>
      <c r="G11" s="4"/>
      <c r="H11" s="3"/>
      <c r="I11" s="3"/>
      <c r="J11" s="3"/>
      <c r="K11" s="3"/>
      <c r="L11" s="3"/>
      <c r="M11" s="3"/>
    </row>
    <row r="12" spans="1:1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 s="3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3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99" customHeight="1">
      <c r="A17" s="9" t="s">
        <v>10</v>
      </c>
      <c r="B17" s="9" t="s">
        <v>135</v>
      </c>
      <c r="C17" s="10" t="s">
        <v>12</v>
      </c>
      <c r="D17" s="9" t="s">
        <v>13</v>
      </c>
      <c r="E17" s="9" t="s">
        <v>111</v>
      </c>
      <c r="F17" s="9" t="s">
        <v>15</v>
      </c>
      <c r="G17" s="3"/>
      <c r="H17" s="3"/>
      <c r="I17" s="3"/>
      <c r="J17" s="3"/>
      <c r="K17" s="3"/>
      <c r="L17" s="3"/>
      <c r="M17" s="3"/>
    </row>
    <row r="18" spans="1:13" ht="29.25" customHeight="1">
      <c r="A18" s="9">
        <v>57</v>
      </c>
      <c r="B18" s="10">
        <v>0</v>
      </c>
      <c r="C18" s="9">
        <v>15</v>
      </c>
      <c r="D18" s="9">
        <v>6</v>
      </c>
      <c r="E18" s="11">
        <v>0</v>
      </c>
      <c r="F18" s="11">
        <v>49</v>
      </c>
      <c r="G18" s="3"/>
      <c r="H18" s="3"/>
      <c r="I18" s="3"/>
      <c r="J18" s="3"/>
      <c r="K18" s="3"/>
      <c r="L18" s="3"/>
      <c r="M18" s="3"/>
    </row>
    <row r="19" spans="1:1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27" customHeight="1">
      <c r="A20" s="12" t="s">
        <v>16</v>
      </c>
      <c r="B20" s="12"/>
      <c r="C20" s="12"/>
      <c r="D20" s="12"/>
      <c r="E20" s="12"/>
      <c r="F20" s="12"/>
      <c r="G20" s="12"/>
      <c r="H20" s="13"/>
      <c r="I20" s="13"/>
      <c r="J20" s="13"/>
      <c r="K20" s="3"/>
      <c r="L20" s="3"/>
      <c r="M20" s="3"/>
    </row>
    <row r="21" spans="1:13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 s="3" t="s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3" t="s">
        <v>18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3" t="s">
        <v>19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 s="3" t="s">
        <v>20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 t="s">
        <v>21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 s="3" t="s">
        <v>22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s="3" t="s">
        <v>23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63.75" customHeight="1">
      <c r="A36" s="14" t="s">
        <v>24</v>
      </c>
      <c r="B36" s="15" t="s">
        <v>25</v>
      </c>
      <c r="C36" s="14" t="s">
        <v>26</v>
      </c>
      <c r="D36" s="14" t="s">
        <v>27</v>
      </c>
      <c r="E36" s="14" t="s">
        <v>28</v>
      </c>
      <c r="F36" s="14" t="s">
        <v>29</v>
      </c>
      <c r="G36" s="3"/>
      <c r="H36" s="3"/>
      <c r="I36" s="3"/>
      <c r="J36" s="3"/>
      <c r="K36" s="3"/>
      <c r="L36" s="3"/>
      <c r="M36" s="3"/>
    </row>
    <row r="37" spans="1:13" ht="12.75">
      <c r="A37" s="16" t="s">
        <v>30</v>
      </c>
      <c r="B37" s="17">
        <f>F18</f>
        <v>49</v>
      </c>
      <c r="C37" s="18">
        <f>F53</f>
        <v>7055.616326530612</v>
      </c>
      <c r="D37" s="18">
        <f>E53</f>
        <v>345725.2</v>
      </c>
      <c r="E37" s="19">
        <f>G53</f>
        <v>0.8061119062191591</v>
      </c>
      <c r="F37" s="18">
        <f aca="true" t="shared" si="0" ref="F37:F40">D37*E37</f>
        <v>278693.2</v>
      </c>
      <c r="G37" s="3"/>
      <c r="H37" s="3"/>
      <c r="I37" s="3"/>
      <c r="J37" s="3"/>
      <c r="K37" s="3"/>
      <c r="L37" s="3"/>
      <c r="M37" s="3"/>
    </row>
    <row r="38" spans="1:13" ht="12.75">
      <c r="A38" s="16" t="s">
        <v>31</v>
      </c>
      <c r="B38" s="17">
        <f aca="true" t="shared" si="1" ref="B38:B41">B37</f>
        <v>49</v>
      </c>
      <c r="C38" s="18">
        <f>F69</f>
        <v>18648.485714285714</v>
      </c>
      <c r="D38" s="18">
        <f>E69</f>
        <v>913775.8</v>
      </c>
      <c r="E38" s="19">
        <f>G69</f>
        <v>0.7336053329492859</v>
      </c>
      <c r="F38" s="18">
        <f t="shared" si="0"/>
        <v>670350.8</v>
      </c>
      <c r="G38" s="3"/>
      <c r="H38" s="3"/>
      <c r="I38" s="3"/>
      <c r="J38" s="3"/>
      <c r="K38" s="3"/>
      <c r="L38" s="3"/>
      <c r="M38" s="3"/>
    </row>
    <row r="39" spans="1:13" ht="12.75">
      <c r="A39" s="16" t="s">
        <v>32</v>
      </c>
      <c r="B39" s="17">
        <f t="shared" si="1"/>
        <v>49</v>
      </c>
      <c r="C39" s="18">
        <f>C78</f>
        <v>1100.9795918367347</v>
      </c>
      <c r="D39" s="18">
        <f>B78</f>
        <v>53948</v>
      </c>
      <c r="E39" s="19">
        <f>D78</f>
        <v>0.711778008452584</v>
      </c>
      <c r="F39" s="18">
        <f t="shared" si="0"/>
        <v>38399</v>
      </c>
      <c r="G39" s="3"/>
      <c r="H39" s="3"/>
      <c r="I39" s="3"/>
      <c r="J39" s="3"/>
      <c r="K39" s="3"/>
      <c r="L39" s="3"/>
      <c r="M39" s="3"/>
    </row>
    <row r="40" spans="1:13" ht="12.75">
      <c r="A40" s="16" t="s">
        <v>33</v>
      </c>
      <c r="B40" s="17">
        <f t="shared" si="1"/>
        <v>49</v>
      </c>
      <c r="C40" s="18">
        <f>F88</f>
        <v>0</v>
      </c>
      <c r="D40" s="18">
        <f>E88</f>
        <v>0</v>
      </c>
      <c r="E40" s="19">
        <v>0</v>
      </c>
      <c r="F40" s="18">
        <f t="shared" si="0"/>
        <v>0</v>
      </c>
      <c r="G40" s="3"/>
      <c r="H40" s="3"/>
      <c r="I40" s="3"/>
      <c r="J40" s="3"/>
      <c r="K40" s="3"/>
      <c r="L40" s="3"/>
      <c r="M40" s="3"/>
    </row>
    <row r="41" spans="1:13" ht="12.75">
      <c r="A41" s="16" t="s">
        <v>34</v>
      </c>
      <c r="B41" s="17">
        <f t="shared" si="1"/>
        <v>49</v>
      </c>
      <c r="C41" s="18">
        <v>0</v>
      </c>
      <c r="D41" s="18">
        <v>0</v>
      </c>
      <c r="E41" s="19">
        <v>1</v>
      </c>
      <c r="F41" s="18">
        <f>D136</f>
        <v>552532</v>
      </c>
      <c r="G41" s="3"/>
      <c r="H41" s="3"/>
      <c r="I41" s="3"/>
      <c r="J41" s="3"/>
      <c r="K41" s="3"/>
      <c r="L41" s="3"/>
      <c r="M41" s="3"/>
    </row>
    <row r="42" spans="1:13" ht="12.75">
      <c r="A42" s="20" t="s">
        <v>35</v>
      </c>
      <c r="B42" s="21"/>
      <c r="C42" s="22">
        <f>D42/B40</f>
        <v>26805.081632653062</v>
      </c>
      <c r="D42" s="22">
        <f>SUM(D37:D40)</f>
        <v>1313449</v>
      </c>
      <c r="E42" s="23">
        <f>F42/D42</f>
        <v>1.172466536576601</v>
      </c>
      <c r="F42" s="18">
        <f>F37+F38+F39+F40+F41</f>
        <v>1539975</v>
      </c>
      <c r="G42" s="24">
        <f>F42+E95</f>
        <v>1926884</v>
      </c>
      <c r="H42" s="3"/>
      <c r="I42" s="3"/>
      <c r="J42" s="3"/>
      <c r="K42" s="3"/>
      <c r="L42" s="3"/>
      <c r="M42" s="3"/>
    </row>
    <row r="43" spans="1:13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30.75" customHeight="1">
      <c r="A44" s="25" t="s">
        <v>136</v>
      </c>
      <c r="B44" s="25"/>
      <c r="C44" s="25"/>
      <c r="D44" s="25"/>
      <c r="E44" s="25"/>
      <c r="F44" s="25"/>
      <c r="G44" s="25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3" t="s">
        <v>37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63.75">
      <c r="A48" s="14" t="s">
        <v>38</v>
      </c>
      <c r="B48" s="14" t="s">
        <v>39</v>
      </c>
      <c r="C48" s="14" t="s">
        <v>40</v>
      </c>
      <c r="D48" s="14" t="s">
        <v>41</v>
      </c>
      <c r="E48" s="14" t="s">
        <v>42</v>
      </c>
      <c r="F48" s="14" t="s">
        <v>26</v>
      </c>
      <c r="G48" s="14" t="s">
        <v>28</v>
      </c>
      <c r="H48" s="3"/>
      <c r="I48" s="3"/>
      <c r="J48" s="3"/>
      <c r="K48" s="3"/>
      <c r="L48" s="3"/>
      <c r="M48" s="3"/>
    </row>
    <row r="49" spans="1:13" ht="25.5">
      <c r="A49" s="26" t="s">
        <v>43</v>
      </c>
      <c r="B49" s="27" t="s">
        <v>44</v>
      </c>
      <c r="C49" s="19">
        <v>0</v>
      </c>
      <c r="D49" s="19">
        <v>0</v>
      </c>
      <c r="E49" s="19">
        <v>0</v>
      </c>
      <c r="F49" s="19">
        <f aca="true" t="shared" si="2" ref="F49:F52">E49/$B$40</f>
        <v>0</v>
      </c>
      <c r="G49" s="19">
        <v>0</v>
      </c>
      <c r="H49" s="3"/>
      <c r="I49" s="3"/>
      <c r="J49" s="3"/>
      <c r="K49" s="3"/>
      <c r="L49" s="3"/>
      <c r="M49" s="3"/>
    </row>
    <row r="50" spans="1:13" ht="25.5">
      <c r="A50" s="26" t="s">
        <v>45</v>
      </c>
      <c r="B50" s="27" t="s">
        <v>46</v>
      </c>
      <c r="C50" s="19">
        <f>13590/2</f>
        <v>6795</v>
      </c>
      <c r="D50" s="19">
        <f aca="true" t="shared" si="3" ref="D50:D52">E50/C50</f>
        <v>6.73701250919794</v>
      </c>
      <c r="E50" s="19">
        <f>91556/2</f>
        <v>45778</v>
      </c>
      <c r="F50" s="19">
        <f t="shared" si="2"/>
        <v>934.2448979591836</v>
      </c>
      <c r="G50" s="19">
        <f>(91556/2/E50)</f>
        <v>1</v>
      </c>
      <c r="H50" s="3"/>
      <c r="I50" s="3"/>
      <c r="J50" s="3"/>
      <c r="K50" s="3"/>
      <c r="L50" s="3"/>
      <c r="M50" s="3"/>
    </row>
    <row r="51" spans="1:13" ht="25.5">
      <c r="A51" s="26" t="s">
        <v>47</v>
      </c>
      <c r="B51" s="27" t="s">
        <v>48</v>
      </c>
      <c r="C51" s="19">
        <f>13900*90%</f>
        <v>12510</v>
      </c>
      <c r="D51" s="19">
        <f t="shared" si="3"/>
        <v>16.832230215827337</v>
      </c>
      <c r="E51" s="19">
        <f>233968*90%</f>
        <v>210571.2</v>
      </c>
      <c r="F51" s="19">
        <f t="shared" si="2"/>
        <v>4297.371428571429</v>
      </c>
      <c r="G51" s="19">
        <f>(233968*90%/E51)</f>
        <v>1</v>
      </c>
      <c r="H51" s="3"/>
      <c r="I51" s="3"/>
      <c r="J51" s="3"/>
      <c r="K51" s="3"/>
      <c r="L51" s="3"/>
      <c r="M51" s="3"/>
    </row>
    <row r="52" spans="1:13" ht="25.5">
      <c r="A52" s="26" t="s">
        <v>49</v>
      </c>
      <c r="B52" s="27" t="s">
        <v>46</v>
      </c>
      <c r="C52" s="19">
        <f>1500</f>
        <v>1500</v>
      </c>
      <c r="D52" s="19">
        <f t="shared" si="3"/>
        <v>59.584</v>
      </c>
      <c r="E52" s="19">
        <v>89376</v>
      </c>
      <c r="F52" s="19">
        <f t="shared" si="2"/>
        <v>1824</v>
      </c>
      <c r="G52" s="19">
        <f>(22344/E52)</f>
        <v>0.25</v>
      </c>
      <c r="H52" s="3"/>
      <c r="I52" s="3"/>
      <c r="J52" s="3"/>
      <c r="K52" s="3"/>
      <c r="L52" s="3"/>
      <c r="M52" s="3"/>
    </row>
    <row r="53" spans="1:13" ht="20.25" customHeight="1">
      <c r="A53" s="28" t="s">
        <v>50</v>
      </c>
      <c r="B53" s="29"/>
      <c r="C53" s="23"/>
      <c r="D53" s="23"/>
      <c r="E53" s="23">
        <f>E49+E50+E51+E52</f>
        <v>345725.2</v>
      </c>
      <c r="F53" s="23">
        <f>F49+F50+F51+F52</f>
        <v>7055.616326530612</v>
      </c>
      <c r="G53" s="23">
        <f>(91556/2+233968*90%+22344)/E53</f>
        <v>0.8061119062191591</v>
      </c>
      <c r="H53" s="3"/>
      <c r="I53" s="3"/>
      <c r="J53" s="3"/>
      <c r="K53" s="3"/>
      <c r="L53" s="3"/>
      <c r="M53" s="3"/>
    </row>
    <row r="54" spans="1:13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30" customHeight="1">
      <c r="A55" s="25" t="s">
        <v>137</v>
      </c>
      <c r="B55" s="25"/>
      <c r="C55" s="25"/>
      <c r="D55" s="25"/>
      <c r="E55" s="25"/>
      <c r="F55" s="25"/>
      <c r="G55" s="25"/>
      <c r="H55" s="3"/>
      <c r="I55" s="3"/>
      <c r="J55" s="3"/>
      <c r="K55" s="3"/>
      <c r="L55" s="3"/>
      <c r="M55" s="3"/>
    </row>
    <row r="56" spans="1:1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75">
      <c r="A57" s="3" t="s">
        <v>52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63.75">
      <c r="A59" s="14" t="s">
        <v>38</v>
      </c>
      <c r="B59" s="14" t="s">
        <v>39</v>
      </c>
      <c r="C59" s="14" t="s">
        <v>53</v>
      </c>
      <c r="D59" s="14" t="s">
        <v>54</v>
      </c>
      <c r="E59" s="14" t="s">
        <v>42</v>
      </c>
      <c r="F59" s="14" t="s">
        <v>26</v>
      </c>
      <c r="G59" s="14" t="s">
        <v>28</v>
      </c>
      <c r="H59" s="3"/>
      <c r="I59" s="3"/>
      <c r="J59" s="3"/>
      <c r="K59" s="3"/>
      <c r="L59" s="3"/>
      <c r="M59" s="3"/>
    </row>
    <row r="60" spans="1:13" ht="45.75" customHeight="1">
      <c r="A60" s="26" t="s">
        <v>55</v>
      </c>
      <c r="B60" s="30"/>
      <c r="C60" s="19"/>
      <c r="D60" s="19"/>
      <c r="E60" s="19">
        <v>30285</v>
      </c>
      <c r="F60" s="19">
        <f aca="true" t="shared" si="4" ref="F60:F68">E60/$B$40</f>
        <v>618.0612244897959</v>
      </c>
      <c r="G60" s="19">
        <f>(21556/E60)</f>
        <v>0.7117715040449067</v>
      </c>
      <c r="H60" s="3"/>
      <c r="I60" s="3"/>
      <c r="J60" s="3"/>
      <c r="K60" s="3"/>
      <c r="L60" s="3"/>
      <c r="M60" s="3"/>
    </row>
    <row r="61" spans="1:13" ht="25.5">
      <c r="A61" s="26" t="s">
        <v>56</v>
      </c>
      <c r="B61" s="30" t="s">
        <v>57</v>
      </c>
      <c r="C61" s="19">
        <v>0</v>
      </c>
      <c r="D61" s="19">
        <v>0</v>
      </c>
      <c r="E61" s="19">
        <v>0</v>
      </c>
      <c r="F61" s="19">
        <f t="shared" si="4"/>
        <v>0</v>
      </c>
      <c r="G61" s="19">
        <v>0</v>
      </c>
      <c r="H61" s="3"/>
      <c r="I61" s="3"/>
      <c r="J61" s="3"/>
      <c r="K61" s="3"/>
      <c r="L61" s="3"/>
      <c r="M61" s="3"/>
    </row>
    <row r="62" spans="1:13" ht="18" customHeight="1">
      <c r="A62" s="26" t="s">
        <v>58</v>
      </c>
      <c r="B62" s="30"/>
      <c r="C62" s="19"/>
      <c r="D62" s="19"/>
      <c r="E62" s="19">
        <v>0</v>
      </c>
      <c r="F62" s="19">
        <f t="shared" si="4"/>
        <v>0</v>
      </c>
      <c r="G62" s="19">
        <v>0</v>
      </c>
      <c r="H62" s="3"/>
      <c r="I62" s="3"/>
      <c r="J62" s="3"/>
      <c r="K62" s="3"/>
      <c r="L62" s="3"/>
      <c r="M62" s="3"/>
    </row>
    <row r="63" spans="1:13" ht="18" customHeight="1">
      <c r="A63" s="26" t="s">
        <v>59</v>
      </c>
      <c r="B63" s="30"/>
      <c r="C63" s="19"/>
      <c r="D63" s="19"/>
      <c r="E63" s="19">
        <v>809640</v>
      </c>
      <c r="F63" s="19">
        <f t="shared" si="4"/>
        <v>16523.26530612245</v>
      </c>
      <c r="G63" s="19">
        <f>(576292/E63)</f>
        <v>0.7117879551405563</v>
      </c>
      <c r="H63" s="3"/>
      <c r="I63" s="3"/>
      <c r="J63" s="3"/>
      <c r="K63" s="3"/>
      <c r="L63" s="3"/>
      <c r="M63" s="3"/>
    </row>
    <row r="64" spans="1:13" ht="25.5">
      <c r="A64" s="26" t="s">
        <v>43</v>
      </c>
      <c r="B64" s="27" t="s">
        <v>44</v>
      </c>
      <c r="C64" s="19">
        <v>0</v>
      </c>
      <c r="D64" s="19">
        <v>0</v>
      </c>
      <c r="E64" s="19">
        <v>0</v>
      </c>
      <c r="F64" s="19">
        <f t="shared" si="4"/>
        <v>0</v>
      </c>
      <c r="G64" s="19">
        <v>0</v>
      </c>
      <c r="H64" s="3"/>
      <c r="I64" s="3"/>
      <c r="J64" s="3"/>
      <c r="K64" s="3"/>
      <c r="L64" s="3"/>
      <c r="M64" s="3"/>
    </row>
    <row r="65" spans="1:13" ht="25.5">
      <c r="A65" s="26" t="s">
        <v>45</v>
      </c>
      <c r="B65" s="27" t="s">
        <v>46</v>
      </c>
      <c r="C65" s="19">
        <f>13590/2</f>
        <v>6795</v>
      </c>
      <c r="D65" s="19">
        <f aca="true" t="shared" si="5" ref="D65:D66">E65/C65</f>
        <v>6.73701250919794</v>
      </c>
      <c r="E65" s="19">
        <f>91556/2</f>
        <v>45778</v>
      </c>
      <c r="F65" s="19">
        <f t="shared" si="4"/>
        <v>934.2448979591836</v>
      </c>
      <c r="G65" s="19">
        <f>(91556/2/E65)</f>
        <v>1</v>
      </c>
      <c r="H65" s="3"/>
      <c r="I65" s="3"/>
      <c r="J65" s="3"/>
      <c r="K65" s="3"/>
      <c r="L65" s="3"/>
      <c r="M65" s="3"/>
    </row>
    <row r="66" spans="1:13" ht="25.5">
      <c r="A66" s="26" t="s">
        <v>47</v>
      </c>
      <c r="B66" s="27" t="s">
        <v>48</v>
      </c>
      <c r="C66" s="19">
        <f>13900*10%</f>
        <v>1390</v>
      </c>
      <c r="D66" s="19">
        <f t="shared" si="5"/>
        <v>16.83223021582734</v>
      </c>
      <c r="E66" s="19">
        <f>233968*10%</f>
        <v>23396.800000000003</v>
      </c>
      <c r="F66" s="19">
        <f t="shared" si="4"/>
        <v>477.4857142857143</v>
      </c>
      <c r="G66" s="19">
        <f>(233968*10%/E66)</f>
        <v>1</v>
      </c>
      <c r="H66" s="3"/>
      <c r="I66" s="3"/>
      <c r="J66" s="3"/>
      <c r="K66" s="3"/>
      <c r="L66" s="3"/>
      <c r="M66" s="3"/>
    </row>
    <row r="67" spans="1:13" ht="25.5" customHeight="1">
      <c r="A67" s="26" t="s">
        <v>60</v>
      </c>
      <c r="B67" s="30"/>
      <c r="C67" s="19"/>
      <c r="D67" s="19"/>
      <c r="E67" s="19">
        <v>4676</v>
      </c>
      <c r="F67" s="19">
        <f t="shared" si="4"/>
        <v>95.42857142857143</v>
      </c>
      <c r="G67" s="19">
        <f>(3328/E67)</f>
        <v>0.7117194183062446</v>
      </c>
      <c r="H67" s="3"/>
      <c r="I67" s="3"/>
      <c r="J67" s="3"/>
      <c r="K67" s="3"/>
      <c r="L67" s="3"/>
      <c r="M67" s="3"/>
    </row>
    <row r="68" spans="1:13" ht="12.75">
      <c r="A68" s="26" t="s">
        <v>61</v>
      </c>
      <c r="B68" s="30"/>
      <c r="C68" s="19"/>
      <c r="D68" s="19"/>
      <c r="E68" s="19">
        <v>0</v>
      </c>
      <c r="F68" s="19">
        <f t="shared" si="4"/>
        <v>0</v>
      </c>
      <c r="G68" s="19" t="e">
        <f>(0/E68)</f>
        <v>#DIV/0!</v>
      </c>
      <c r="H68" s="3"/>
      <c r="I68" s="3"/>
      <c r="J68" s="3"/>
      <c r="K68" s="3"/>
      <c r="L68" s="3"/>
      <c r="M68" s="3"/>
    </row>
    <row r="69" spans="1:13" ht="24.75" customHeight="1">
      <c r="A69" s="28" t="s">
        <v>50</v>
      </c>
      <c r="B69" s="31"/>
      <c r="C69" s="23"/>
      <c r="D69" s="23"/>
      <c r="E69" s="23">
        <f>SUM(E60:E68)</f>
        <v>913775.8</v>
      </c>
      <c r="F69" s="23">
        <f>SUM(F60:F68)</f>
        <v>18648.485714285714</v>
      </c>
      <c r="G69" s="23">
        <f>(21556+576292+91556/2+233968*10%+3328)/E69</f>
        <v>0.7336053329492859</v>
      </c>
      <c r="H69" s="3"/>
      <c r="I69" s="3"/>
      <c r="J69" s="3"/>
      <c r="K69" s="3"/>
      <c r="L69" s="3"/>
      <c r="M69" s="3"/>
    </row>
    <row r="70" spans="1:13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32.25" customHeight="1">
      <c r="A71" s="25" t="s">
        <v>138</v>
      </c>
      <c r="B71" s="25"/>
      <c r="C71" s="25"/>
      <c r="D71" s="25"/>
      <c r="E71" s="25"/>
      <c r="F71" s="25"/>
      <c r="G71" s="25"/>
      <c r="H71" s="3"/>
      <c r="I71" s="3"/>
      <c r="J71" s="3"/>
      <c r="K71" s="3"/>
      <c r="L71" s="3"/>
      <c r="M71" s="3"/>
    </row>
    <row r="72" spans="1:13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>
      <c r="A73" s="3" t="s">
        <v>63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63.75">
      <c r="A75" s="14" t="s">
        <v>38</v>
      </c>
      <c r="B75" s="14" t="s">
        <v>42</v>
      </c>
      <c r="C75" s="14" t="s">
        <v>26</v>
      </c>
      <c r="D75" s="14" t="s">
        <v>28</v>
      </c>
      <c r="E75" s="32"/>
      <c r="F75" s="32"/>
      <c r="G75" s="32"/>
      <c r="H75" s="3"/>
      <c r="I75" s="3"/>
      <c r="J75" s="3"/>
      <c r="K75" s="3"/>
      <c r="L75" s="3"/>
      <c r="M75" s="3"/>
    </row>
    <row r="76" spans="1:13" ht="51">
      <c r="A76" s="26" t="s">
        <v>64</v>
      </c>
      <c r="B76" s="33">
        <v>439</v>
      </c>
      <c r="C76" s="19">
        <f aca="true" t="shared" si="6" ref="C76:C77">B76/$B$40</f>
        <v>8.959183673469388</v>
      </c>
      <c r="D76" s="19">
        <f>(312/B76)</f>
        <v>0.7107061503416856</v>
      </c>
      <c r="E76" s="34"/>
      <c r="F76" s="35"/>
      <c r="G76" s="35"/>
      <c r="H76" s="3"/>
      <c r="I76" s="3"/>
      <c r="J76" s="3"/>
      <c r="K76" s="3"/>
      <c r="L76" s="3"/>
      <c r="M76" s="3"/>
    </row>
    <row r="77" spans="1:13" ht="19.5" customHeight="1">
      <c r="A77" s="26" t="s">
        <v>65</v>
      </c>
      <c r="B77" s="33">
        <f>48578+4931</f>
        <v>53509</v>
      </c>
      <c r="C77" s="19">
        <f t="shared" si="6"/>
        <v>1092.0204081632653</v>
      </c>
      <c r="D77" s="19">
        <f>(34577+3510)/B77</f>
        <v>0.7117868022201873</v>
      </c>
      <c r="E77" s="34"/>
      <c r="F77" s="35"/>
      <c r="G77" s="35"/>
      <c r="H77" s="3"/>
      <c r="I77" s="3"/>
      <c r="J77" s="3"/>
      <c r="K77" s="3"/>
      <c r="L77" s="3"/>
      <c r="M77" s="3"/>
    </row>
    <row r="78" spans="1:13" ht="27" customHeight="1">
      <c r="A78" s="28" t="s">
        <v>50</v>
      </c>
      <c r="B78" s="36">
        <f>SUM(B76:B77)</f>
        <v>53948</v>
      </c>
      <c r="C78" s="36">
        <f>SUM(C76:C77)</f>
        <v>1100.9795918367347</v>
      </c>
      <c r="D78" s="36">
        <f>(34577+3510+312)/B78</f>
        <v>0.711778008452584</v>
      </c>
      <c r="E78" s="37"/>
      <c r="F78" s="37"/>
      <c r="G78" s="37"/>
      <c r="H78" s="3"/>
      <c r="I78" s="3"/>
      <c r="J78" s="3"/>
      <c r="K78" s="3"/>
      <c r="L78" s="3"/>
      <c r="M78" s="3"/>
    </row>
    <row r="79" spans="1:13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29.25" customHeight="1">
      <c r="A80" s="25" t="s">
        <v>66</v>
      </c>
      <c r="B80" s="25"/>
      <c r="C80" s="25"/>
      <c r="D80" s="25"/>
      <c r="E80" s="25"/>
      <c r="F80" s="25"/>
      <c r="G80" s="25"/>
      <c r="H80" s="3"/>
      <c r="I80" s="3"/>
      <c r="J80" s="3"/>
      <c r="K80" s="3"/>
      <c r="L80" s="3"/>
      <c r="M80" s="3"/>
    </row>
    <row r="81" spans="1:13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 hidden="1">
      <c r="A82" s="3" t="s">
        <v>67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63.75" hidden="1">
      <c r="A84" s="38" t="s">
        <v>68</v>
      </c>
      <c r="B84" s="10" t="s">
        <v>69</v>
      </c>
      <c r="C84" s="14" t="s">
        <v>54</v>
      </c>
      <c r="D84" s="10" t="s">
        <v>70</v>
      </c>
      <c r="E84" s="39" t="s">
        <v>71</v>
      </c>
      <c r="F84" s="14" t="s">
        <v>26</v>
      </c>
      <c r="G84" s="14" t="s">
        <v>28</v>
      </c>
      <c r="H84" s="3"/>
      <c r="I84" s="3"/>
      <c r="J84" s="3"/>
      <c r="K84" s="3"/>
      <c r="L84" s="3"/>
      <c r="M84" s="3"/>
    </row>
    <row r="85" spans="1:13" ht="12.75" hidden="1">
      <c r="A85" s="40" t="s">
        <v>72</v>
      </c>
      <c r="B85" s="41">
        <v>1</v>
      </c>
      <c r="C85" s="42">
        <f aca="true" t="shared" si="7" ref="C85:C86">E85/D85/B85</f>
        <v>0</v>
      </c>
      <c r="D85" s="43">
        <v>12</v>
      </c>
      <c r="E85" s="44">
        <v>0</v>
      </c>
      <c r="F85" s="19">
        <f aca="true" t="shared" si="8" ref="F85:F88">E85/$B$40</f>
        <v>0</v>
      </c>
      <c r="G85" s="19" t="e">
        <f aca="true" t="shared" si="9" ref="G85:G87">(0/E85)</f>
        <v>#DIV/0!</v>
      </c>
      <c r="H85" s="3"/>
      <c r="I85" s="3"/>
      <c r="J85" s="3"/>
      <c r="K85" s="3"/>
      <c r="L85" s="3"/>
      <c r="M85" s="3"/>
    </row>
    <row r="86" spans="1:13" ht="12.75" hidden="1">
      <c r="A86" s="40" t="s">
        <v>73</v>
      </c>
      <c r="B86" s="39">
        <v>1</v>
      </c>
      <c r="C86" s="42">
        <f t="shared" si="7"/>
        <v>0</v>
      </c>
      <c r="D86" s="43">
        <v>12</v>
      </c>
      <c r="E86" s="44">
        <v>0</v>
      </c>
      <c r="F86" s="19">
        <f t="shared" si="8"/>
        <v>0</v>
      </c>
      <c r="G86" s="19" t="e">
        <f t="shared" si="9"/>
        <v>#DIV/0!</v>
      </c>
      <c r="H86" s="3"/>
      <c r="I86" s="3"/>
      <c r="J86" s="3"/>
      <c r="K86" s="3"/>
      <c r="L86" s="3"/>
      <c r="M86" s="3"/>
    </row>
    <row r="87" spans="1:13" ht="12.75" hidden="1">
      <c r="A87" s="40" t="s">
        <v>74</v>
      </c>
      <c r="B87" s="41"/>
      <c r="C87" s="41"/>
      <c r="D87" s="43"/>
      <c r="E87" s="44">
        <v>0</v>
      </c>
      <c r="F87" s="19">
        <f t="shared" si="8"/>
        <v>0</v>
      </c>
      <c r="G87" s="19" t="e">
        <f t="shared" si="9"/>
        <v>#DIV/0!</v>
      </c>
      <c r="H87" s="3"/>
      <c r="I87" s="3"/>
      <c r="J87" s="3"/>
      <c r="K87" s="3"/>
      <c r="L87" s="3"/>
      <c r="M87" s="3"/>
    </row>
    <row r="88" spans="1:13" ht="12.75" hidden="1">
      <c r="A88" s="45" t="s">
        <v>75</v>
      </c>
      <c r="B88" s="46"/>
      <c r="C88" s="46"/>
      <c r="D88" s="46"/>
      <c r="E88" s="47">
        <f>E85+E86+E87</f>
        <v>0</v>
      </c>
      <c r="F88" s="23">
        <f t="shared" si="8"/>
        <v>0</v>
      </c>
      <c r="G88" s="23" t="e">
        <f>0/E88</f>
        <v>#DIV/0!</v>
      </c>
      <c r="H88" s="3"/>
      <c r="I88" s="3"/>
      <c r="J88" s="3"/>
      <c r="K88" s="3"/>
      <c r="L88" s="3"/>
      <c r="M88" s="3"/>
    </row>
    <row r="89" spans="1:13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27.75" customHeight="1" hidden="1">
      <c r="A90" s="25" t="s">
        <v>131</v>
      </c>
      <c r="B90" s="25"/>
      <c r="C90" s="25"/>
      <c r="D90" s="25"/>
      <c r="E90" s="25"/>
      <c r="F90" s="25"/>
      <c r="G90" s="25"/>
      <c r="H90" s="3"/>
      <c r="I90" s="3"/>
      <c r="J90" s="3"/>
      <c r="K90" s="3"/>
      <c r="L90" s="3"/>
      <c r="M90" s="3"/>
    </row>
    <row r="91" spans="1:1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45" customHeight="1">
      <c r="A92" s="12" t="s">
        <v>77</v>
      </c>
      <c r="B92" s="12"/>
      <c r="C92" s="12"/>
      <c r="D92" s="12"/>
      <c r="E92" s="12"/>
      <c r="F92" s="12"/>
      <c r="G92" s="12"/>
      <c r="H92" s="13"/>
      <c r="I92" s="13"/>
      <c r="J92" s="13"/>
      <c r="K92" s="3"/>
      <c r="L92" s="3"/>
      <c r="M92" s="3"/>
    </row>
    <row r="93" spans="1:1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63.75">
      <c r="A94" s="14" t="s">
        <v>38</v>
      </c>
      <c r="B94" s="39" t="s">
        <v>71</v>
      </c>
      <c r="C94" s="14" t="s">
        <v>26</v>
      </c>
      <c r="D94" s="14" t="s">
        <v>28</v>
      </c>
      <c r="E94" s="48" t="s">
        <v>78</v>
      </c>
      <c r="F94" s="16" t="s">
        <v>79</v>
      </c>
      <c r="G94" s="3"/>
      <c r="H94" s="3"/>
      <c r="I94" s="3"/>
      <c r="J94" s="3"/>
      <c r="K94" s="3"/>
      <c r="L94" s="3"/>
      <c r="M94" s="3"/>
    </row>
    <row r="95" spans="1:13" ht="12.75">
      <c r="A95" s="49" t="s">
        <v>80</v>
      </c>
      <c r="B95" s="36">
        <v>543573</v>
      </c>
      <c r="C95" s="23">
        <f>B95/$B$40</f>
        <v>11093.326530612245</v>
      </c>
      <c r="D95" s="23">
        <f>386909/B95</f>
        <v>0.7117884810319866</v>
      </c>
      <c r="E95" s="18">
        <f>B95*D95</f>
        <v>386909</v>
      </c>
      <c r="F95" s="18">
        <f>E95-B95</f>
        <v>-156664</v>
      </c>
      <c r="G95" s="3"/>
      <c r="H95" s="3"/>
      <c r="I95" s="3"/>
      <c r="J95" s="3"/>
      <c r="K95" s="3"/>
      <c r="L95" s="3"/>
      <c r="M95" s="3"/>
    </row>
    <row r="96" spans="1:1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34.5" customHeight="1">
      <c r="A97" s="25" t="s">
        <v>81</v>
      </c>
      <c r="B97" s="25"/>
      <c r="C97" s="25"/>
      <c r="D97" s="25"/>
      <c r="E97" s="25"/>
      <c r="F97" s="25"/>
      <c r="G97" s="25"/>
      <c r="H97" s="3"/>
      <c r="I97" s="3"/>
      <c r="J97" s="3"/>
      <c r="K97" s="3"/>
      <c r="L97" s="3"/>
      <c r="M97" s="3"/>
    </row>
    <row r="98" spans="1:1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48.75" customHeight="1">
      <c r="A99" s="50" t="s">
        <v>139</v>
      </c>
      <c r="B99" s="50"/>
      <c r="C99" s="50"/>
      <c r="D99" s="50"/>
      <c r="E99" s="50"/>
      <c r="F99" s="50"/>
      <c r="G99" s="50"/>
      <c r="H99" s="3"/>
      <c r="I99" s="3"/>
      <c r="J99" s="3"/>
      <c r="K99" s="3"/>
      <c r="L99" s="3"/>
      <c r="M99" s="3"/>
    </row>
    <row r="100" spans="1:13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4.25">
      <c r="A101" s="3" t="s">
        <v>83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>
      <c r="A103" s="3" t="s">
        <v>84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>
      <c r="A105" s="3" t="s">
        <v>85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7.25" customHeight="1">
      <c r="A107" s="4" t="s">
        <v>86</v>
      </c>
      <c r="B107" s="4"/>
      <c r="C107" s="4"/>
      <c r="D107" s="4"/>
      <c r="E107" s="4"/>
      <c r="F107" s="4"/>
      <c r="G107" s="4"/>
      <c r="H107" s="3"/>
      <c r="I107" s="3"/>
      <c r="J107" s="3"/>
      <c r="K107" s="3"/>
      <c r="L107" s="3"/>
      <c r="M107" s="3"/>
    </row>
    <row r="108" spans="1:13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>
      <c r="A109" s="3" t="s">
        <v>87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3.5" customHeight="1">
      <c r="A111" s="4" t="s">
        <v>88</v>
      </c>
      <c r="B111" s="4"/>
      <c r="C111" s="4"/>
      <c r="D111" s="4"/>
      <c r="E111" s="4"/>
      <c r="F111" s="4"/>
      <c r="G111" s="4"/>
      <c r="H111" s="3"/>
      <c r="I111" s="3"/>
      <c r="J111" s="3"/>
      <c r="K111" s="3"/>
      <c r="L111" s="3"/>
      <c r="M111" s="3"/>
    </row>
    <row r="112" spans="1:1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>
      <c r="A113" s="3" t="s">
        <v>5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14.75">
      <c r="A115" s="14" t="s">
        <v>89</v>
      </c>
      <c r="B115" s="14" t="s">
        <v>90</v>
      </c>
      <c r="C115" s="39" t="s">
        <v>91</v>
      </c>
      <c r="D115" s="14" t="s">
        <v>92</v>
      </c>
      <c r="E115" s="14" t="s">
        <v>93</v>
      </c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36">
        <f>C42</f>
        <v>26805.081632653062</v>
      </c>
      <c r="B116" s="36">
        <f>E42</f>
        <v>1.172466536576601</v>
      </c>
      <c r="C116" s="23">
        <f>C95</f>
        <v>11093.326530612245</v>
      </c>
      <c r="D116" s="23">
        <f>D95</f>
        <v>0.7117884810319866</v>
      </c>
      <c r="E116" s="36">
        <f>(A116*B116+C116*D116)*F18</f>
        <v>1926884</v>
      </c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16.25" customHeight="1">
      <c r="A118" s="12" t="s">
        <v>140</v>
      </c>
      <c r="B118" s="12"/>
      <c r="C118" s="12"/>
      <c r="D118" s="12"/>
      <c r="E118" s="12"/>
      <c r="F118" s="12"/>
      <c r="G118" s="12"/>
      <c r="H118" s="3"/>
      <c r="I118" s="3"/>
      <c r="J118" s="3"/>
      <c r="K118" s="3"/>
      <c r="L118" s="3"/>
      <c r="M118" s="3"/>
    </row>
    <row r="119" spans="1:13" ht="12.75">
      <c r="A119" s="3"/>
      <c r="B119" s="3"/>
      <c r="C119" s="3"/>
      <c r="D119" s="3" t="s">
        <v>95</v>
      </c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>
      <c r="A121" s="3" t="s">
        <v>96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>
      <c r="A123" s="3" t="s">
        <v>97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>
      <c r="A125" s="3" t="s">
        <v>98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>
      <c r="A127" s="3" t="s">
        <v>99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40.25">
      <c r="A129" s="51" t="s">
        <v>100</v>
      </c>
      <c r="B129" s="52" t="s">
        <v>101</v>
      </c>
      <c r="C129" s="51" t="s">
        <v>102</v>
      </c>
      <c r="D129" s="51" t="s">
        <v>103</v>
      </c>
      <c r="E129" s="53"/>
      <c r="F129" s="53"/>
      <c r="G129" s="53"/>
      <c r="H129" s="3"/>
      <c r="I129" s="3"/>
      <c r="J129" s="3"/>
      <c r="K129" s="3"/>
      <c r="L129" s="3"/>
      <c r="M129" s="3"/>
    </row>
    <row r="130" spans="1:13" ht="12.75">
      <c r="A130" s="65">
        <f>3501390+600+28545+46954+13276</f>
        <v>3590765</v>
      </c>
      <c r="B130" s="65">
        <f>468000+141336</f>
        <v>609336</v>
      </c>
      <c r="C130" s="66">
        <f>324000+97848</f>
        <v>421848</v>
      </c>
      <c r="D130" s="67">
        <f>A130+B130+C130</f>
        <v>4621949</v>
      </c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>
      <c r="A131" s="58"/>
      <c r="B131" s="58"/>
      <c r="C131" s="58"/>
      <c r="D131" s="58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>
      <c r="A132" s="59" t="s">
        <v>107</v>
      </c>
      <c r="B132" s="60"/>
      <c r="C132" s="60"/>
      <c r="D132" s="60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>
      <c r="A133" s="60"/>
      <c r="B133" s="60"/>
      <c r="C133" s="60"/>
      <c r="D133" s="60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61" t="s">
        <v>108</v>
      </c>
      <c r="B134" s="61">
        <v>0</v>
      </c>
      <c r="C134" s="61"/>
      <c r="D134" s="18">
        <f>423911+600</f>
        <v>424511</v>
      </c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61" t="s">
        <v>109</v>
      </c>
      <c r="B135" s="61">
        <v>0</v>
      </c>
      <c r="C135" s="61"/>
      <c r="D135" s="18">
        <v>128021</v>
      </c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>
      <c r="A136" s="63" t="s">
        <v>50</v>
      </c>
      <c r="B136" s="63">
        <f>B134+B135</f>
        <v>0</v>
      </c>
      <c r="C136" s="63"/>
      <c r="D136" s="64">
        <f>D134+D135</f>
        <v>552532</v>
      </c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6:13" ht="12.75">
      <c r="F366" s="3"/>
      <c r="G366" s="3"/>
      <c r="H366" s="3"/>
      <c r="I366" s="3"/>
      <c r="J366" s="3"/>
      <c r="K366" s="3"/>
      <c r="L366" s="3"/>
      <c r="M366" s="3"/>
    </row>
  </sheetData>
  <sheetProtection selectLockedCells="1" selectUnlockedCells="1"/>
  <mergeCells count="19">
    <mergeCell ref="A2:G2"/>
    <mergeCell ref="A4:G4"/>
    <mergeCell ref="A5:A6"/>
    <mergeCell ref="B5:C5"/>
    <mergeCell ref="D5:D6"/>
    <mergeCell ref="B6:C6"/>
    <mergeCell ref="A11:G11"/>
    <mergeCell ref="A20:G20"/>
    <mergeCell ref="A44:G44"/>
    <mergeCell ref="A55:G55"/>
    <mergeCell ref="A71:G71"/>
    <mergeCell ref="A80:G80"/>
    <mergeCell ref="A90:G90"/>
    <mergeCell ref="A92:G92"/>
    <mergeCell ref="A97:G97"/>
    <mergeCell ref="A99:G99"/>
    <mergeCell ref="A107:G107"/>
    <mergeCell ref="A111:G111"/>
    <mergeCell ref="A118:G118"/>
  </mergeCells>
  <printOptions/>
  <pageMargins left="0.7083333333333334" right="0.7083333333333334" top="0.7479166666666667" bottom="0.7479166666666667" header="0.5118055555555555" footer="0.5118055555555555"/>
  <pageSetup fitToHeight="3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M366"/>
  <sheetViews>
    <sheetView workbookViewId="0" topLeftCell="A124">
      <selection activeCell="A130" sqref="A130"/>
    </sheetView>
  </sheetViews>
  <sheetFormatPr defaultColWidth="8.00390625" defaultRowHeight="12.75"/>
  <cols>
    <col min="1" max="1" width="18.00390625" style="0" customWidth="1"/>
    <col min="2" max="2" width="13.625" style="0" customWidth="1"/>
    <col min="3" max="3" width="13.00390625" style="0" customWidth="1"/>
    <col min="4" max="4" width="12.375" style="0" customWidth="1"/>
    <col min="5" max="5" width="15.625" style="0" customWidth="1"/>
    <col min="6" max="6" width="12.75390625" style="0" customWidth="1"/>
    <col min="7" max="7" width="13.625" style="0" customWidth="1"/>
    <col min="8" max="16384" width="9.00390625" style="0" customWidth="1"/>
  </cols>
  <sheetData>
    <row r="2" spans="1:13" ht="59.25" customHeight="1">
      <c r="A2" s="1" t="s">
        <v>141</v>
      </c>
      <c r="B2" s="1"/>
      <c r="C2" s="1"/>
      <c r="D2" s="1"/>
      <c r="E2" s="1"/>
      <c r="F2" s="1"/>
      <c r="G2" s="1"/>
      <c r="H2" s="2"/>
      <c r="I2" s="2"/>
      <c r="J2" s="2"/>
      <c r="K2" s="3"/>
      <c r="L2" s="3"/>
      <c r="M2" s="3"/>
    </row>
    <row r="3" spans="1:1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40.5" customHeight="1">
      <c r="A4" s="4" t="s">
        <v>1</v>
      </c>
      <c r="B4" s="4"/>
      <c r="C4" s="4"/>
      <c r="D4" s="4"/>
      <c r="E4" s="4"/>
      <c r="F4" s="4"/>
      <c r="G4" s="4"/>
      <c r="H4" s="3"/>
      <c r="I4" s="3"/>
      <c r="J4" s="3"/>
      <c r="K4" s="3"/>
      <c r="L4" s="3"/>
      <c r="M4" s="3"/>
    </row>
    <row r="5" spans="1:13" ht="12.75" customHeight="1">
      <c r="A5" s="5" t="s">
        <v>2</v>
      </c>
      <c r="B5" s="6" t="s">
        <v>3</v>
      </c>
      <c r="C5" s="6"/>
      <c r="D5" s="7" t="s">
        <v>4</v>
      </c>
      <c r="E5" s="3"/>
      <c r="F5" s="3"/>
      <c r="G5" s="3"/>
      <c r="H5" s="3"/>
      <c r="I5" s="3"/>
      <c r="J5" s="3"/>
      <c r="K5" s="3"/>
      <c r="L5" s="3"/>
      <c r="M5" s="3"/>
    </row>
    <row r="6" spans="1:13" ht="12.75" customHeight="1">
      <c r="A6" s="5"/>
      <c r="B6" s="8">
        <v>12</v>
      </c>
      <c r="C6" s="8"/>
      <c r="D6" s="7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 s="3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 s="3" t="s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42" customHeight="1">
      <c r="A11" s="4" t="s">
        <v>7</v>
      </c>
      <c r="B11" s="4"/>
      <c r="C11" s="4"/>
      <c r="D11" s="4"/>
      <c r="E11" s="4"/>
      <c r="F11" s="4"/>
      <c r="G11" s="4"/>
      <c r="H11" s="3"/>
      <c r="I11" s="3"/>
      <c r="J11" s="3"/>
      <c r="K11" s="3"/>
      <c r="L11" s="3"/>
      <c r="M11" s="3"/>
    </row>
    <row r="12" spans="1:1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 s="3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3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99" customHeight="1">
      <c r="A17" s="9" t="s">
        <v>10</v>
      </c>
      <c r="B17" s="9" t="s">
        <v>11</v>
      </c>
      <c r="C17" s="10" t="s">
        <v>12</v>
      </c>
      <c r="D17" s="9" t="s">
        <v>13</v>
      </c>
      <c r="E17" s="9" t="s">
        <v>14</v>
      </c>
      <c r="F17" s="9" t="s">
        <v>15</v>
      </c>
      <c r="G17" s="3"/>
      <c r="H17" s="3"/>
      <c r="I17" s="3"/>
      <c r="J17" s="3"/>
      <c r="K17" s="3"/>
      <c r="L17" s="3"/>
      <c r="M17" s="3"/>
    </row>
    <row r="18" spans="1:13" ht="29.25" customHeight="1">
      <c r="A18" s="9">
        <v>74</v>
      </c>
      <c r="B18" s="10">
        <v>0</v>
      </c>
      <c r="C18" s="9">
        <v>18</v>
      </c>
      <c r="D18" s="9">
        <v>7</v>
      </c>
      <c r="E18" s="11">
        <v>0</v>
      </c>
      <c r="F18" s="11">
        <v>64</v>
      </c>
      <c r="G18" s="3"/>
      <c r="H18" s="3"/>
      <c r="I18" s="3"/>
      <c r="J18" s="3"/>
      <c r="K18" s="3"/>
      <c r="L18" s="3"/>
      <c r="M18" s="3"/>
    </row>
    <row r="19" spans="1:1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27" customHeight="1">
      <c r="A20" s="12" t="s">
        <v>16</v>
      </c>
      <c r="B20" s="12"/>
      <c r="C20" s="12"/>
      <c r="D20" s="12"/>
      <c r="E20" s="12"/>
      <c r="F20" s="12"/>
      <c r="G20" s="12"/>
      <c r="H20" s="13"/>
      <c r="I20" s="13"/>
      <c r="J20" s="13"/>
      <c r="K20" s="3"/>
      <c r="L20" s="3"/>
      <c r="M20" s="3"/>
    </row>
    <row r="21" spans="1:13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 s="3" t="s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3" t="s">
        <v>18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3" t="s">
        <v>19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 s="3" t="s">
        <v>20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 t="s">
        <v>21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 s="3" t="s">
        <v>22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s="3" t="s">
        <v>23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63.75" customHeight="1">
      <c r="A36" s="14" t="s">
        <v>24</v>
      </c>
      <c r="B36" s="15" t="s">
        <v>25</v>
      </c>
      <c r="C36" s="14" t="s">
        <v>26</v>
      </c>
      <c r="D36" s="14" t="s">
        <v>27</v>
      </c>
      <c r="E36" s="14" t="s">
        <v>28</v>
      </c>
      <c r="F36" s="14" t="s">
        <v>29</v>
      </c>
      <c r="G36" s="3"/>
      <c r="H36" s="3"/>
      <c r="I36" s="3"/>
      <c r="J36" s="3"/>
      <c r="K36" s="3"/>
      <c r="L36" s="3"/>
      <c r="M36" s="3"/>
    </row>
    <row r="37" spans="1:13" ht="12.75">
      <c r="A37" s="16" t="s">
        <v>30</v>
      </c>
      <c r="B37" s="17">
        <f>F18</f>
        <v>64</v>
      </c>
      <c r="C37" s="18">
        <f>F53</f>
        <v>5936.35</v>
      </c>
      <c r="D37" s="18">
        <f>E53</f>
        <v>379926.4</v>
      </c>
      <c r="E37" s="19">
        <f>G53</f>
        <v>0.8346206002004599</v>
      </c>
      <c r="F37" s="18">
        <f aca="true" t="shared" si="0" ref="F37:F40">D37*E37</f>
        <v>317094.4</v>
      </c>
      <c r="G37" s="3"/>
      <c r="H37" s="3"/>
      <c r="I37" s="3"/>
      <c r="J37" s="3"/>
      <c r="K37" s="3"/>
      <c r="L37" s="3"/>
      <c r="M37" s="3"/>
    </row>
    <row r="38" spans="1:13" ht="12.75">
      <c r="A38" s="16" t="s">
        <v>31</v>
      </c>
      <c r="B38" s="17">
        <f aca="true" t="shared" si="1" ref="B38:B41">B37</f>
        <v>64</v>
      </c>
      <c r="C38" s="18">
        <f>F69</f>
        <v>13938.15</v>
      </c>
      <c r="D38" s="18">
        <f>E69</f>
        <v>892041.6</v>
      </c>
      <c r="E38" s="19">
        <f>G69</f>
        <v>0.7224198961124683</v>
      </c>
      <c r="F38" s="18">
        <f t="shared" si="0"/>
        <v>644428.6</v>
      </c>
      <c r="G38" s="3"/>
      <c r="H38" s="3"/>
      <c r="I38" s="3"/>
      <c r="J38" s="3"/>
      <c r="K38" s="3"/>
      <c r="L38" s="3"/>
      <c r="M38" s="3"/>
    </row>
    <row r="39" spans="1:13" ht="12.75">
      <c r="A39" s="16" t="s">
        <v>32</v>
      </c>
      <c r="B39" s="17">
        <f t="shared" si="1"/>
        <v>64</v>
      </c>
      <c r="C39" s="18">
        <f>C78</f>
        <v>8559.390625</v>
      </c>
      <c r="D39" s="18">
        <f>B78</f>
        <v>547801</v>
      </c>
      <c r="E39" s="19">
        <f>D78</f>
        <v>0.711785849240874</v>
      </c>
      <c r="F39" s="18">
        <f t="shared" si="0"/>
        <v>389917</v>
      </c>
      <c r="G39" s="3"/>
      <c r="H39" s="3"/>
      <c r="I39" s="3"/>
      <c r="J39" s="3"/>
      <c r="K39" s="3"/>
      <c r="L39" s="3"/>
      <c r="M39" s="3"/>
    </row>
    <row r="40" spans="1:13" ht="12.75">
      <c r="A40" s="16" t="s">
        <v>33</v>
      </c>
      <c r="B40" s="17">
        <f t="shared" si="1"/>
        <v>64</v>
      </c>
      <c r="C40" s="18">
        <f>F88</f>
        <v>0</v>
      </c>
      <c r="D40" s="18">
        <f>E88</f>
        <v>0</v>
      </c>
      <c r="E40" s="19">
        <v>0</v>
      </c>
      <c r="F40" s="18">
        <f t="shared" si="0"/>
        <v>0</v>
      </c>
      <c r="G40" s="3"/>
      <c r="H40" s="3"/>
      <c r="I40" s="3"/>
      <c r="J40" s="3"/>
      <c r="K40" s="3"/>
      <c r="L40" s="3"/>
      <c r="M40" s="3"/>
    </row>
    <row r="41" spans="1:13" ht="12.75">
      <c r="A41" s="16" t="s">
        <v>34</v>
      </c>
      <c r="B41" s="17">
        <f t="shared" si="1"/>
        <v>64</v>
      </c>
      <c r="C41" s="18">
        <v>0</v>
      </c>
      <c r="D41" s="18">
        <v>0</v>
      </c>
      <c r="E41" s="19">
        <v>1</v>
      </c>
      <c r="F41" s="18">
        <f>D137</f>
        <v>719697</v>
      </c>
      <c r="G41" s="3"/>
      <c r="H41" s="3"/>
      <c r="I41" s="3"/>
      <c r="J41" s="3"/>
      <c r="K41" s="3"/>
      <c r="L41" s="3"/>
      <c r="M41" s="3"/>
    </row>
    <row r="42" spans="1:13" ht="12.75">
      <c r="A42" s="20" t="s">
        <v>35</v>
      </c>
      <c r="B42" s="21"/>
      <c r="C42" s="22">
        <f>D42/B40</f>
        <v>28433.890625</v>
      </c>
      <c r="D42" s="22">
        <f>SUM(D37:D40)</f>
        <v>1819769</v>
      </c>
      <c r="E42" s="23">
        <f>F42/D42</f>
        <v>1.1381318178296256</v>
      </c>
      <c r="F42" s="18">
        <f>F37+F38+F39+F40+F41</f>
        <v>2071137</v>
      </c>
      <c r="G42" s="24">
        <f>F42+E95</f>
        <v>2661927</v>
      </c>
      <c r="H42" s="3"/>
      <c r="I42" s="3"/>
      <c r="J42" s="3"/>
      <c r="K42" s="3"/>
      <c r="L42" s="3"/>
      <c r="M42" s="3"/>
    </row>
    <row r="43" spans="1:13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30.75" customHeight="1">
      <c r="A44" s="25" t="s">
        <v>142</v>
      </c>
      <c r="B44" s="25"/>
      <c r="C44" s="25"/>
      <c r="D44" s="25"/>
      <c r="E44" s="25"/>
      <c r="F44" s="25"/>
      <c r="G44" s="25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3" t="s">
        <v>37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63.75">
      <c r="A48" s="14" t="s">
        <v>38</v>
      </c>
      <c r="B48" s="14" t="s">
        <v>39</v>
      </c>
      <c r="C48" s="14" t="s">
        <v>40</v>
      </c>
      <c r="D48" s="14" t="s">
        <v>41</v>
      </c>
      <c r="E48" s="14" t="s">
        <v>42</v>
      </c>
      <c r="F48" s="14" t="s">
        <v>26</v>
      </c>
      <c r="G48" s="14" t="s">
        <v>28</v>
      </c>
      <c r="H48" s="3"/>
      <c r="I48" s="3"/>
      <c r="J48" s="3"/>
      <c r="K48" s="3"/>
      <c r="L48" s="3"/>
      <c r="M48" s="3"/>
    </row>
    <row r="49" spans="1:13" ht="25.5">
      <c r="A49" s="26" t="s">
        <v>43</v>
      </c>
      <c r="B49" s="27" t="s">
        <v>44</v>
      </c>
      <c r="C49" s="19">
        <v>0</v>
      </c>
      <c r="D49" s="19">
        <v>0</v>
      </c>
      <c r="E49" s="19">
        <v>0</v>
      </c>
      <c r="F49" s="19">
        <f aca="true" t="shared" si="2" ref="F49:F52">E49/$B$40</f>
        <v>0</v>
      </c>
      <c r="G49" s="19">
        <v>0</v>
      </c>
      <c r="H49" s="3"/>
      <c r="I49" s="3"/>
      <c r="J49" s="3"/>
      <c r="K49" s="3"/>
      <c r="L49" s="3"/>
      <c r="M49" s="3"/>
    </row>
    <row r="50" spans="1:13" ht="25.5">
      <c r="A50" s="26" t="s">
        <v>45</v>
      </c>
      <c r="B50" s="27" t="s">
        <v>46</v>
      </c>
      <c r="C50" s="19">
        <v>0</v>
      </c>
      <c r="D50" s="19">
        <v>0</v>
      </c>
      <c r="E50" s="19">
        <v>0</v>
      </c>
      <c r="F50" s="19">
        <f t="shared" si="2"/>
        <v>0</v>
      </c>
      <c r="G50" s="19">
        <v>0</v>
      </c>
      <c r="H50" s="3"/>
      <c r="I50" s="3"/>
      <c r="J50" s="3"/>
      <c r="K50" s="3"/>
      <c r="L50" s="3"/>
      <c r="M50" s="3"/>
    </row>
    <row r="51" spans="1:13" ht="25.5">
      <c r="A51" s="26" t="s">
        <v>47</v>
      </c>
      <c r="B51" s="27" t="s">
        <v>48</v>
      </c>
      <c r="C51" s="19">
        <f>26500*90%</f>
        <v>23850</v>
      </c>
      <c r="D51" s="19">
        <f aca="true" t="shared" si="3" ref="D51:D52">E51/C51</f>
        <v>12.417207547169813</v>
      </c>
      <c r="E51" s="19">
        <f>329056*90%</f>
        <v>296150.4</v>
      </c>
      <c r="F51" s="19">
        <f t="shared" si="2"/>
        <v>4627.35</v>
      </c>
      <c r="G51" s="19">
        <f>(329056*90%/E51)</f>
        <v>1</v>
      </c>
      <c r="H51" s="3"/>
      <c r="I51" s="3"/>
      <c r="J51" s="3"/>
      <c r="K51" s="3"/>
      <c r="L51" s="3"/>
      <c r="M51" s="3"/>
    </row>
    <row r="52" spans="1:13" ht="25.5">
      <c r="A52" s="26" t="s">
        <v>49</v>
      </c>
      <c r="B52" s="27" t="s">
        <v>46</v>
      </c>
      <c r="C52" s="19">
        <v>1400</v>
      </c>
      <c r="D52" s="19">
        <f t="shared" si="3"/>
        <v>59.84</v>
      </c>
      <c r="E52" s="19">
        <v>83776</v>
      </c>
      <c r="F52" s="19">
        <f t="shared" si="2"/>
        <v>1309</v>
      </c>
      <c r="G52" s="19">
        <f>(20944/E52)</f>
        <v>0.25</v>
      </c>
      <c r="H52" s="3"/>
      <c r="I52" s="3"/>
      <c r="J52" s="3"/>
      <c r="K52" s="3"/>
      <c r="L52" s="3"/>
      <c r="M52" s="3"/>
    </row>
    <row r="53" spans="1:13" ht="20.25" customHeight="1">
      <c r="A53" s="28" t="s">
        <v>50</v>
      </c>
      <c r="B53" s="29"/>
      <c r="C53" s="23"/>
      <c r="D53" s="23"/>
      <c r="E53" s="23">
        <f>E49+E50+E51+E52</f>
        <v>379926.4</v>
      </c>
      <c r="F53" s="23">
        <f>F49+F50+F51+F52</f>
        <v>5936.35</v>
      </c>
      <c r="G53" s="23">
        <f>(329056*90%+20944)/E53</f>
        <v>0.8346206002004599</v>
      </c>
      <c r="H53" s="3"/>
      <c r="I53" s="3"/>
      <c r="J53" s="3"/>
      <c r="K53" s="3"/>
      <c r="L53" s="3"/>
      <c r="M53" s="3"/>
    </row>
    <row r="54" spans="1:13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23.25" customHeight="1">
      <c r="A55" s="25" t="s">
        <v>129</v>
      </c>
      <c r="B55" s="25"/>
      <c r="C55" s="25"/>
      <c r="D55" s="25"/>
      <c r="E55" s="25"/>
      <c r="F55" s="25"/>
      <c r="G55" s="25"/>
      <c r="H55" s="3"/>
      <c r="I55" s="3"/>
      <c r="J55" s="3"/>
      <c r="K55" s="3"/>
      <c r="L55" s="3"/>
      <c r="M55" s="3"/>
    </row>
    <row r="56" spans="1:1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75">
      <c r="A57" s="3" t="s">
        <v>52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63.75">
      <c r="A59" s="14" t="s">
        <v>38</v>
      </c>
      <c r="B59" s="14" t="s">
        <v>39</v>
      </c>
      <c r="C59" s="14" t="s">
        <v>53</v>
      </c>
      <c r="D59" s="14" t="s">
        <v>54</v>
      </c>
      <c r="E59" s="14" t="s">
        <v>42</v>
      </c>
      <c r="F59" s="14" t="s">
        <v>26</v>
      </c>
      <c r="G59" s="14" t="s">
        <v>28</v>
      </c>
      <c r="H59" s="3"/>
      <c r="I59" s="3"/>
      <c r="J59" s="3"/>
      <c r="K59" s="3"/>
      <c r="L59" s="3"/>
      <c r="M59" s="3"/>
    </row>
    <row r="60" spans="1:13" ht="45.75" customHeight="1">
      <c r="A60" s="26" t="s">
        <v>55</v>
      </c>
      <c r="B60" s="30"/>
      <c r="C60" s="19"/>
      <c r="D60" s="19"/>
      <c r="E60" s="19">
        <v>46372</v>
      </c>
      <c r="F60" s="19">
        <f aca="true" t="shared" si="4" ref="F60:F68">E60/$B$40</f>
        <v>724.5625</v>
      </c>
      <c r="G60" s="19">
        <f>(33007/E60)</f>
        <v>0.7117872854308634</v>
      </c>
      <c r="H60" s="3"/>
      <c r="I60" s="3"/>
      <c r="J60" s="3"/>
      <c r="K60" s="3"/>
      <c r="L60" s="3"/>
      <c r="M60" s="3"/>
    </row>
    <row r="61" spans="1:13" ht="25.5">
      <c r="A61" s="26" t="s">
        <v>56</v>
      </c>
      <c r="B61" s="30" t="s">
        <v>57</v>
      </c>
      <c r="C61" s="19">
        <v>0</v>
      </c>
      <c r="D61" s="19">
        <v>0</v>
      </c>
      <c r="E61" s="19">
        <v>0</v>
      </c>
      <c r="F61" s="19">
        <f t="shared" si="4"/>
        <v>0</v>
      </c>
      <c r="G61" s="19" t="e">
        <f>(0/E61)</f>
        <v>#DIV/0!</v>
      </c>
      <c r="H61" s="3"/>
      <c r="I61" s="3"/>
      <c r="J61" s="3"/>
      <c r="K61" s="3"/>
      <c r="L61" s="3"/>
      <c r="M61" s="3"/>
    </row>
    <row r="62" spans="1:13" ht="18" customHeight="1">
      <c r="A62" s="26" t="s">
        <v>58</v>
      </c>
      <c r="B62" s="30"/>
      <c r="C62" s="19"/>
      <c r="D62" s="19"/>
      <c r="E62" s="19">
        <v>0</v>
      </c>
      <c r="F62" s="19">
        <f t="shared" si="4"/>
        <v>0</v>
      </c>
      <c r="G62" s="19">
        <v>0</v>
      </c>
      <c r="H62" s="3"/>
      <c r="I62" s="3"/>
      <c r="J62" s="3"/>
      <c r="K62" s="3"/>
      <c r="L62" s="3"/>
      <c r="M62" s="3"/>
    </row>
    <row r="63" spans="1:13" ht="18" customHeight="1">
      <c r="A63" s="26" t="s">
        <v>59</v>
      </c>
      <c r="B63" s="30"/>
      <c r="C63" s="19"/>
      <c r="D63" s="19"/>
      <c r="E63" s="19">
        <v>809640</v>
      </c>
      <c r="F63" s="19">
        <f t="shared" si="4"/>
        <v>12650.625</v>
      </c>
      <c r="G63" s="19">
        <f>(576292/E63)</f>
        <v>0.7117879551405563</v>
      </c>
      <c r="H63" s="3"/>
      <c r="I63" s="3"/>
      <c r="J63" s="3"/>
      <c r="K63" s="3"/>
      <c r="L63" s="3"/>
      <c r="M63" s="3"/>
    </row>
    <row r="64" spans="1:13" ht="25.5">
      <c r="A64" s="26" t="s">
        <v>43</v>
      </c>
      <c r="B64" s="27" t="s">
        <v>44</v>
      </c>
      <c r="C64" s="19">
        <v>0</v>
      </c>
      <c r="D64" s="19">
        <v>0</v>
      </c>
      <c r="E64" s="19">
        <v>0</v>
      </c>
      <c r="F64" s="19">
        <f t="shared" si="4"/>
        <v>0</v>
      </c>
      <c r="G64" s="19">
        <v>0</v>
      </c>
      <c r="H64" s="3"/>
      <c r="I64" s="3"/>
      <c r="J64" s="3"/>
      <c r="K64" s="3"/>
      <c r="L64" s="3"/>
      <c r="M64" s="3"/>
    </row>
    <row r="65" spans="1:13" ht="25.5">
      <c r="A65" s="26" t="s">
        <v>45</v>
      </c>
      <c r="B65" s="27" t="s">
        <v>46</v>
      </c>
      <c r="C65" s="19">
        <v>0</v>
      </c>
      <c r="D65" s="19">
        <v>0</v>
      </c>
      <c r="E65" s="19">
        <v>0</v>
      </c>
      <c r="F65" s="19">
        <f t="shared" si="4"/>
        <v>0</v>
      </c>
      <c r="G65" s="19">
        <v>0</v>
      </c>
      <c r="H65" s="3"/>
      <c r="I65" s="3"/>
      <c r="J65" s="3"/>
      <c r="K65" s="3"/>
      <c r="L65" s="3"/>
      <c r="M65" s="3"/>
    </row>
    <row r="66" spans="1:13" ht="25.5">
      <c r="A66" s="26" t="s">
        <v>47</v>
      </c>
      <c r="B66" s="27" t="s">
        <v>48</v>
      </c>
      <c r="C66" s="19">
        <f>26500*10%</f>
        <v>2650</v>
      </c>
      <c r="D66" s="19">
        <f>E66/C66</f>
        <v>12.417207547169811</v>
      </c>
      <c r="E66" s="19">
        <f>329056*10%</f>
        <v>32905.6</v>
      </c>
      <c r="F66" s="19">
        <f t="shared" si="4"/>
        <v>514.15</v>
      </c>
      <c r="G66" s="19">
        <f>(329056*10%/E66)</f>
        <v>1</v>
      </c>
      <c r="H66" s="3"/>
      <c r="I66" s="3"/>
      <c r="J66" s="3"/>
      <c r="K66" s="3"/>
      <c r="L66" s="3"/>
      <c r="M66" s="3"/>
    </row>
    <row r="67" spans="1:13" ht="25.5" customHeight="1">
      <c r="A67" s="26" t="s">
        <v>60</v>
      </c>
      <c r="B67" s="30"/>
      <c r="C67" s="19"/>
      <c r="D67" s="19"/>
      <c r="E67" s="19">
        <v>3124</v>
      </c>
      <c r="F67" s="19">
        <f t="shared" si="4"/>
        <v>48.8125</v>
      </c>
      <c r="G67" s="19">
        <f>(2224/E67)</f>
        <v>0.7119078104993598</v>
      </c>
      <c r="H67" s="3"/>
      <c r="I67" s="3"/>
      <c r="J67" s="3"/>
      <c r="K67" s="3"/>
      <c r="L67" s="3"/>
      <c r="M67" s="3"/>
    </row>
    <row r="68" spans="1:13" ht="12.75">
      <c r="A68" s="26" t="s">
        <v>61</v>
      </c>
      <c r="B68" s="30"/>
      <c r="C68" s="19"/>
      <c r="D68" s="19"/>
      <c r="E68" s="19">
        <v>0</v>
      </c>
      <c r="F68" s="19">
        <f t="shared" si="4"/>
        <v>0</v>
      </c>
      <c r="G68" s="19" t="e">
        <f>(0/E68)</f>
        <v>#DIV/0!</v>
      </c>
      <c r="H68" s="3"/>
      <c r="I68" s="3"/>
      <c r="J68" s="3"/>
      <c r="K68" s="3"/>
      <c r="L68" s="3"/>
      <c r="M68" s="3"/>
    </row>
    <row r="69" spans="1:13" ht="24.75" customHeight="1">
      <c r="A69" s="28" t="s">
        <v>50</v>
      </c>
      <c r="B69" s="31"/>
      <c r="C69" s="23"/>
      <c r="D69" s="23"/>
      <c r="E69" s="23">
        <f>SUM(E60:E68)</f>
        <v>892041.6</v>
      </c>
      <c r="F69" s="23">
        <f>SUM(F60:F68)</f>
        <v>13938.15</v>
      </c>
      <c r="G69" s="23">
        <f>(33007+576292+329056*10%+2224)/E69</f>
        <v>0.7224198961124683</v>
      </c>
      <c r="H69" s="3"/>
      <c r="I69" s="3"/>
      <c r="J69" s="3"/>
      <c r="K69" s="3"/>
      <c r="L69" s="3"/>
      <c r="M69" s="3"/>
    </row>
    <row r="70" spans="1:13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30" customHeight="1">
      <c r="A71" s="25" t="s">
        <v>114</v>
      </c>
      <c r="B71" s="25"/>
      <c r="C71" s="25"/>
      <c r="D71" s="25"/>
      <c r="E71" s="25"/>
      <c r="F71" s="25"/>
      <c r="G71" s="25"/>
      <c r="H71" s="3"/>
      <c r="I71" s="3"/>
      <c r="J71" s="3"/>
      <c r="K71" s="3"/>
      <c r="L71" s="3"/>
      <c r="M71" s="3"/>
    </row>
    <row r="72" spans="1:13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>
      <c r="A73" s="3" t="s">
        <v>63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63.75">
      <c r="A75" s="14" t="s">
        <v>38</v>
      </c>
      <c r="B75" s="14" t="s">
        <v>42</v>
      </c>
      <c r="C75" s="14" t="s">
        <v>26</v>
      </c>
      <c r="D75" s="14" t="s">
        <v>28</v>
      </c>
      <c r="E75" s="32"/>
      <c r="F75" s="32"/>
      <c r="G75" s="32"/>
      <c r="H75" s="3"/>
      <c r="I75" s="3"/>
      <c r="J75" s="3"/>
      <c r="K75" s="3"/>
      <c r="L75" s="3"/>
      <c r="M75" s="3"/>
    </row>
    <row r="76" spans="1:13" ht="51">
      <c r="A76" s="26" t="s">
        <v>64</v>
      </c>
      <c r="B76" s="33">
        <v>3042</v>
      </c>
      <c r="C76" s="19">
        <f aca="true" t="shared" si="5" ref="C76:C77">B76/$B$40</f>
        <v>47.53125</v>
      </c>
      <c r="D76" s="19">
        <f>(2165/B76)</f>
        <v>0.7117028270874425</v>
      </c>
      <c r="E76" s="34"/>
      <c r="F76" s="35"/>
      <c r="G76" s="35"/>
      <c r="H76" s="3"/>
      <c r="I76" s="3"/>
      <c r="J76" s="3"/>
      <c r="K76" s="3"/>
      <c r="L76" s="3"/>
      <c r="M76" s="3"/>
    </row>
    <row r="77" spans="1:13" ht="19.5" customHeight="1">
      <c r="A77" s="26" t="s">
        <v>65</v>
      </c>
      <c r="B77" s="33">
        <f>62280+17455+465024</f>
        <v>544759</v>
      </c>
      <c r="C77" s="19">
        <f t="shared" si="5"/>
        <v>8511.859375</v>
      </c>
      <c r="D77" s="19">
        <f>(44330+12424+330998)/B77</f>
        <v>0.7117863128465982</v>
      </c>
      <c r="E77" s="34"/>
      <c r="F77" s="35"/>
      <c r="G77" s="35"/>
      <c r="H77" s="3"/>
      <c r="I77" s="3"/>
      <c r="J77" s="3"/>
      <c r="K77" s="3"/>
      <c r="L77" s="3"/>
      <c r="M77" s="3"/>
    </row>
    <row r="78" spans="1:13" ht="27" customHeight="1">
      <c r="A78" s="28" t="s">
        <v>50</v>
      </c>
      <c r="B78" s="36">
        <f>SUM(B76:B77)</f>
        <v>547801</v>
      </c>
      <c r="C78" s="36">
        <f>SUM(C76:C77)</f>
        <v>8559.390625</v>
      </c>
      <c r="D78" s="36">
        <f>(44330+12424+2165+330998)/B78</f>
        <v>0.711785849240874</v>
      </c>
      <c r="E78" s="37"/>
      <c r="F78" s="37"/>
      <c r="G78" s="37"/>
      <c r="H78" s="3"/>
      <c r="I78" s="3"/>
      <c r="J78" s="3"/>
      <c r="K78" s="3"/>
      <c r="L78" s="3"/>
      <c r="M78" s="3"/>
    </row>
    <row r="79" spans="1:13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29.25" customHeight="1">
      <c r="A80" s="25" t="s">
        <v>66</v>
      </c>
      <c r="B80" s="25"/>
      <c r="C80" s="25"/>
      <c r="D80" s="25"/>
      <c r="E80" s="25"/>
      <c r="F80" s="25"/>
      <c r="G80" s="25"/>
      <c r="H80" s="3"/>
      <c r="I80" s="3"/>
      <c r="J80" s="3"/>
      <c r="K80" s="3"/>
      <c r="L80" s="3"/>
      <c r="M80" s="3"/>
    </row>
    <row r="81" spans="1:13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 hidden="1">
      <c r="A82" s="3" t="s">
        <v>67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63.75" hidden="1">
      <c r="A84" s="38" t="s">
        <v>68</v>
      </c>
      <c r="B84" s="10" t="s">
        <v>69</v>
      </c>
      <c r="C84" s="14" t="s">
        <v>54</v>
      </c>
      <c r="D84" s="10" t="s">
        <v>70</v>
      </c>
      <c r="E84" s="39" t="s">
        <v>71</v>
      </c>
      <c r="F84" s="14" t="s">
        <v>26</v>
      </c>
      <c r="G84" s="14" t="s">
        <v>28</v>
      </c>
      <c r="H84" s="3"/>
      <c r="I84" s="3"/>
      <c r="J84" s="3"/>
      <c r="K84" s="3"/>
      <c r="L84" s="3"/>
      <c r="M84" s="3"/>
    </row>
    <row r="85" spans="1:13" ht="12.75" hidden="1">
      <c r="A85" s="40" t="s">
        <v>72</v>
      </c>
      <c r="B85" s="41">
        <v>1</v>
      </c>
      <c r="C85" s="42">
        <f aca="true" t="shared" si="6" ref="C85:C86">E85/D85/B85</f>
        <v>0</v>
      </c>
      <c r="D85" s="43">
        <v>12</v>
      </c>
      <c r="E85" s="44">
        <v>0</v>
      </c>
      <c r="F85" s="19">
        <f aca="true" t="shared" si="7" ref="F85:F88">E85/$B$40</f>
        <v>0</v>
      </c>
      <c r="G85" s="19" t="e">
        <f aca="true" t="shared" si="8" ref="G85:G86">(0/E85)</f>
        <v>#DIV/0!</v>
      </c>
      <c r="H85" s="3"/>
      <c r="I85" s="3"/>
      <c r="J85" s="3"/>
      <c r="K85" s="3"/>
      <c r="L85" s="3"/>
      <c r="M85" s="3"/>
    </row>
    <row r="86" spans="1:13" ht="12.75" hidden="1">
      <c r="A86" s="40" t="s">
        <v>73</v>
      </c>
      <c r="B86" s="39">
        <v>1</v>
      </c>
      <c r="C86" s="42">
        <f t="shared" si="6"/>
        <v>0</v>
      </c>
      <c r="D86" s="43">
        <v>12</v>
      </c>
      <c r="E86" s="44">
        <v>0</v>
      </c>
      <c r="F86" s="19">
        <f t="shared" si="7"/>
        <v>0</v>
      </c>
      <c r="G86" s="19" t="e">
        <f t="shared" si="8"/>
        <v>#DIV/0!</v>
      </c>
      <c r="H86" s="3"/>
      <c r="I86" s="3"/>
      <c r="J86" s="3"/>
      <c r="K86" s="3"/>
      <c r="L86" s="3"/>
      <c r="M86" s="3"/>
    </row>
    <row r="87" spans="1:13" ht="12.75" hidden="1">
      <c r="A87" s="40" t="s">
        <v>74</v>
      </c>
      <c r="B87" s="41"/>
      <c r="C87" s="41"/>
      <c r="D87" s="43"/>
      <c r="E87" s="44">
        <v>0</v>
      </c>
      <c r="F87" s="19">
        <f t="shared" si="7"/>
        <v>0</v>
      </c>
      <c r="G87" s="19" t="e">
        <f>(7350/E87)</f>
        <v>#DIV/0!</v>
      </c>
      <c r="H87" s="3"/>
      <c r="I87" s="3"/>
      <c r="J87" s="3"/>
      <c r="K87" s="3"/>
      <c r="L87" s="3"/>
      <c r="M87" s="3"/>
    </row>
    <row r="88" spans="1:13" ht="12.75" hidden="1">
      <c r="A88" s="45" t="s">
        <v>75</v>
      </c>
      <c r="B88" s="46"/>
      <c r="C88" s="46"/>
      <c r="D88" s="46"/>
      <c r="E88" s="47">
        <f>E85+E86+E87</f>
        <v>0</v>
      </c>
      <c r="F88" s="23">
        <f t="shared" si="7"/>
        <v>0</v>
      </c>
      <c r="G88" s="23" t="e">
        <f>0/E88</f>
        <v>#DIV/0!</v>
      </c>
      <c r="H88" s="3"/>
      <c r="I88" s="3"/>
      <c r="J88" s="3"/>
      <c r="K88" s="3"/>
      <c r="L88" s="3"/>
      <c r="M88" s="3"/>
    </row>
    <row r="89" spans="1:13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27.75" customHeight="1" hidden="1">
      <c r="A90" s="25" t="s">
        <v>143</v>
      </c>
      <c r="B90" s="25"/>
      <c r="C90" s="25"/>
      <c r="D90" s="25"/>
      <c r="E90" s="25"/>
      <c r="F90" s="25"/>
      <c r="G90" s="25"/>
      <c r="H90" s="3"/>
      <c r="I90" s="3"/>
      <c r="J90" s="3"/>
      <c r="K90" s="3"/>
      <c r="L90" s="3"/>
      <c r="M90" s="3"/>
    </row>
    <row r="91" spans="1:1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45" customHeight="1">
      <c r="A92" s="12" t="s">
        <v>77</v>
      </c>
      <c r="B92" s="12"/>
      <c r="C92" s="12"/>
      <c r="D92" s="12"/>
      <c r="E92" s="12"/>
      <c r="F92" s="12"/>
      <c r="G92" s="12"/>
      <c r="H92" s="13"/>
      <c r="I92" s="13"/>
      <c r="J92" s="13"/>
      <c r="K92" s="3"/>
      <c r="L92" s="3"/>
      <c r="M92" s="3"/>
    </row>
    <row r="93" spans="1:1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63.75">
      <c r="A94" s="14" t="s">
        <v>38</v>
      </c>
      <c r="B94" s="39" t="s">
        <v>71</v>
      </c>
      <c r="C94" s="14" t="s">
        <v>26</v>
      </c>
      <c r="D94" s="14" t="s">
        <v>28</v>
      </c>
      <c r="E94" s="48" t="s">
        <v>78</v>
      </c>
      <c r="F94" s="16" t="s">
        <v>79</v>
      </c>
      <c r="G94" s="3"/>
      <c r="H94" s="3"/>
      <c r="I94" s="3"/>
      <c r="J94" s="3"/>
      <c r="K94" s="3"/>
      <c r="L94" s="3"/>
      <c r="M94" s="3"/>
    </row>
    <row r="95" spans="1:13" ht="12.75">
      <c r="A95" s="49" t="s">
        <v>80</v>
      </c>
      <c r="B95" s="36">
        <v>830009</v>
      </c>
      <c r="C95" s="23">
        <f>B95/$B$40</f>
        <v>12968.890625</v>
      </c>
      <c r="D95" s="23">
        <f>590790/B95</f>
        <v>0.7117874625455869</v>
      </c>
      <c r="E95" s="18">
        <f>B95*D95</f>
        <v>590790</v>
      </c>
      <c r="F95" s="18">
        <f>E95-B95</f>
        <v>-239219</v>
      </c>
      <c r="G95" s="3"/>
      <c r="H95" s="3"/>
      <c r="I95" s="3"/>
      <c r="J95" s="3"/>
      <c r="K95" s="3"/>
      <c r="L95" s="3"/>
      <c r="M95" s="3"/>
    </row>
    <row r="96" spans="1:1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34.5" customHeight="1">
      <c r="A97" s="25" t="s">
        <v>81</v>
      </c>
      <c r="B97" s="25"/>
      <c r="C97" s="25"/>
      <c r="D97" s="25"/>
      <c r="E97" s="25"/>
      <c r="F97" s="25"/>
      <c r="G97" s="25"/>
      <c r="H97" s="3"/>
      <c r="I97" s="3"/>
      <c r="J97" s="3"/>
      <c r="K97" s="3"/>
      <c r="L97" s="3"/>
      <c r="M97" s="3"/>
    </row>
    <row r="98" spans="1:1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48.75" customHeight="1">
      <c r="A99" s="50" t="s">
        <v>144</v>
      </c>
      <c r="B99" s="50"/>
      <c r="C99" s="50"/>
      <c r="D99" s="50"/>
      <c r="E99" s="50"/>
      <c r="F99" s="50"/>
      <c r="G99" s="50"/>
      <c r="H99" s="3"/>
      <c r="I99" s="3"/>
      <c r="J99" s="3"/>
      <c r="K99" s="3"/>
      <c r="L99" s="3"/>
      <c r="M99" s="3"/>
    </row>
    <row r="100" spans="1:13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4.25">
      <c r="A101" s="3" t="s">
        <v>83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>
      <c r="A103" s="3" t="s">
        <v>84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>
      <c r="A105" s="3" t="s">
        <v>85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7.25" customHeight="1">
      <c r="A107" s="4" t="s">
        <v>86</v>
      </c>
      <c r="B107" s="4"/>
      <c r="C107" s="4"/>
      <c r="D107" s="4"/>
      <c r="E107" s="4"/>
      <c r="F107" s="4"/>
      <c r="G107" s="4"/>
      <c r="H107" s="3"/>
      <c r="I107" s="3"/>
      <c r="J107" s="3"/>
      <c r="K107" s="3"/>
      <c r="L107" s="3"/>
      <c r="M107" s="3"/>
    </row>
    <row r="108" spans="1:13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>
      <c r="A109" s="3" t="s">
        <v>87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3.5" customHeight="1">
      <c r="A111" s="4" t="s">
        <v>88</v>
      </c>
      <c r="B111" s="4"/>
      <c r="C111" s="4"/>
      <c r="D111" s="4"/>
      <c r="E111" s="4"/>
      <c r="F111" s="4"/>
      <c r="G111" s="4"/>
      <c r="H111" s="3"/>
      <c r="I111" s="3"/>
      <c r="J111" s="3"/>
      <c r="K111" s="3"/>
      <c r="L111" s="3"/>
      <c r="M111" s="3"/>
    </row>
    <row r="112" spans="1:1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>
      <c r="A113" s="3" t="s">
        <v>5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14.75">
      <c r="A115" s="14" t="s">
        <v>89</v>
      </c>
      <c r="B115" s="14" t="s">
        <v>90</v>
      </c>
      <c r="C115" s="39" t="s">
        <v>91</v>
      </c>
      <c r="D115" s="14" t="s">
        <v>92</v>
      </c>
      <c r="E115" s="14" t="s">
        <v>93</v>
      </c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36">
        <f>C42</f>
        <v>28433.890625</v>
      </c>
      <c r="B116" s="36">
        <f>E42</f>
        <v>1.1381318178296256</v>
      </c>
      <c r="C116" s="23">
        <f>C95</f>
        <v>12968.890625</v>
      </c>
      <c r="D116" s="23">
        <f>D95</f>
        <v>0.7117874625455869</v>
      </c>
      <c r="E116" s="36">
        <f>(A116*B116+C116*D116)*F18</f>
        <v>2661927</v>
      </c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02.75" customHeight="1">
      <c r="A118" s="12" t="s">
        <v>145</v>
      </c>
      <c r="B118" s="12"/>
      <c r="C118" s="12"/>
      <c r="D118" s="12"/>
      <c r="E118" s="12"/>
      <c r="F118" s="12"/>
      <c r="G118" s="12"/>
      <c r="H118" s="3"/>
      <c r="I118" s="3"/>
      <c r="J118" s="3"/>
      <c r="K118" s="3"/>
      <c r="L118" s="3"/>
      <c r="M118" s="3"/>
    </row>
    <row r="119" spans="1:13" ht="12.75">
      <c r="A119" s="3"/>
      <c r="B119" s="3"/>
      <c r="C119" s="3"/>
      <c r="D119" s="3" t="s">
        <v>95</v>
      </c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>
      <c r="A121" s="3" t="s">
        <v>96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>
      <c r="A123" s="3" t="s">
        <v>97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>
      <c r="A125" s="3" t="s">
        <v>98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>
      <c r="A127" s="3" t="s">
        <v>99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40.25">
      <c r="A129" s="51" t="s">
        <v>100</v>
      </c>
      <c r="B129" s="52" t="s">
        <v>101</v>
      </c>
      <c r="C129" s="51" t="s">
        <v>102</v>
      </c>
      <c r="D129" s="51" t="s">
        <v>103</v>
      </c>
      <c r="E129" s="53"/>
      <c r="F129" s="53"/>
      <c r="G129" s="53"/>
      <c r="H129" s="3"/>
      <c r="I129" s="3"/>
      <c r="J129" s="3"/>
      <c r="K129" s="3"/>
      <c r="L129" s="3"/>
      <c r="M129" s="3"/>
    </row>
    <row r="130" spans="1:13" ht="12.75">
      <c r="A130" s="65">
        <f>4375406+21798+45543+49055</f>
        <v>4491802</v>
      </c>
      <c r="B130" s="65">
        <f>540000+163080</f>
        <v>703080</v>
      </c>
      <c r="C130" s="66">
        <f>360000+108720</f>
        <v>468720</v>
      </c>
      <c r="D130" s="67">
        <f>A130+B130+C130</f>
        <v>5663602</v>
      </c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>
      <c r="A131" s="58"/>
      <c r="B131" s="58"/>
      <c r="C131" s="58"/>
      <c r="D131" s="58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>
      <c r="A132" s="58"/>
      <c r="B132" s="58"/>
      <c r="C132" s="58"/>
      <c r="D132" s="58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>
      <c r="A133" s="59" t="s">
        <v>107</v>
      </c>
      <c r="B133" s="60"/>
      <c r="C133" s="60"/>
      <c r="D133" s="60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60"/>
      <c r="B134" s="60"/>
      <c r="C134" s="60"/>
      <c r="D134" s="60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61" t="s">
        <v>108</v>
      </c>
      <c r="B135" s="61">
        <v>0</v>
      </c>
      <c r="C135" s="61"/>
      <c r="D135" s="18">
        <v>552763</v>
      </c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>
      <c r="A136" s="61" t="s">
        <v>109</v>
      </c>
      <c r="B136" s="61">
        <v>0</v>
      </c>
      <c r="C136" s="61"/>
      <c r="D136" s="18">
        <v>166934</v>
      </c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63" t="s">
        <v>50</v>
      </c>
      <c r="B137" s="63">
        <f>B135+B136</f>
        <v>0</v>
      </c>
      <c r="C137" s="63"/>
      <c r="D137" s="64">
        <f>D135+D136</f>
        <v>719697</v>
      </c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60"/>
      <c r="B138" s="60"/>
      <c r="C138" s="60"/>
      <c r="D138" s="60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6:13" ht="12.75">
      <c r="F366" s="3"/>
      <c r="G366" s="3"/>
      <c r="H366" s="3"/>
      <c r="I366" s="3"/>
      <c r="J366" s="3"/>
      <c r="K366" s="3"/>
      <c r="L366" s="3"/>
      <c r="M366" s="3"/>
    </row>
  </sheetData>
  <sheetProtection selectLockedCells="1" selectUnlockedCells="1"/>
  <mergeCells count="19">
    <mergeCell ref="A2:G2"/>
    <mergeCell ref="A4:G4"/>
    <mergeCell ref="A5:A6"/>
    <mergeCell ref="B5:C5"/>
    <mergeCell ref="D5:D6"/>
    <mergeCell ref="B6:C6"/>
    <mergeCell ref="A11:G11"/>
    <mergeCell ref="A20:G20"/>
    <mergeCell ref="A44:G44"/>
    <mergeCell ref="A55:G55"/>
    <mergeCell ref="A71:G71"/>
    <mergeCell ref="A80:G80"/>
    <mergeCell ref="A90:G90"/>
    <mergeCell ref="A92:G92"/>
    <mergeCell ref="A97:G97"/>
    <mergeCell ref="A99:G99"/>
    <mergeCell ref="A107:G107"/>
    <mergeCell ref="A111:G111"/>
    <mergeCell ref="A118:G118"/>
  </mergeCells>
  <printOptions/>
  <pageMargins left="0.7083333333333334" right="0.7083333333333334" top="0.7479166666666667" bottom="0.7479166666666667" header="0.5118055555555555" footer="0.5118055555555555"/>
  <pageSetup fitToHeight="3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M366"/>
  <sheetViews>
    <sheetView workbookViewId="0" topLeftCell="A124">
      <selection activeCell="A130" sqref="A130"/>
    </sheetView>
  </sheetViews>
  <sheetFormatPr defaultColWidth="8.00390625" defaultRowHeight="12.75"/>
  <cols>
    <col min="1" max="1" width="18.00390625" style="0" customWidth="1"/>
    <col min="2" max="2" width="13.625" style="0" customWidth="1"/>
    <col min="3" max="3" width="13.00390625" style="0" customWidth="1"/>
    <col min="4" max="4" width="12.375" style="0" customWidth="1"/>
    <col min="5" max="5" width="15.625" style="0" customWidth="1"/>
    <col min="6" max="6" width="12.75390625" style="0" customWidth="1"/>
    <col min="7" max="7" width="13.625" style="0" customWidth="1"/>
    <col min="8" max="16384" width="9.00390625" style="0" customWidth="1"/>
  </cols>
  <sheetData>
    <row r="2" spans="1:13" ht="59.25" customHeight="1">
      <c r="A2" s="1" t="s">
        <v>146</v>
      </c>
      <c r="B2" s="1"/>
      <c r="C2" s="1"/>
      <c r="D2" s="1"/>
      <c r="E2" s="1"/>
      <c r="F2" s="1"/>
      <c r="G2" s="1"/>
      <c r="H2" s="2"/>
      <c r="I2" s="2"/>
      <c r="J2" s="2"/>
      <c r="K2" s="3"/>
      <c r="L2" s="3"/>
      <c r="M2" s="3"/>
    </row>
    <row r="3" spans="1:1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40.5" customHeight="1">
      <c r="A4" s="4" t="s">
        <v>1</v>
      </c>
      <c r="B4" s="4"/>
      <c r="C4" s="4"/>
      <c r="D4" s="4"/>
      <c r="E4" s="4"/>
      <c r="F4" s="4"/>
      <c r="G4" s="4"/>
      <c r="H4" s="3"/>
      <c r="I4" s="3"/>
      <c r="J4" s="3"/>
      <c r="K4" s="3"/>
      <c r="L4" s="3"/>
      <c r="M4" s="3"/>
    </row>
    <row r="5" spans="1:13" ht="12.75" customHeight="1">
      <c r="A5" s="5" t="s">
        <v>2</v>
      </c>
      <c r="B5" s="6" t="s">
        <v>3</v>
      </c>
      <c r="C5" s="6"/>
      <c r="D5" s="7" t="s">
        <v>4</v>
      </c>
      <c r="E5" s="3"/>
      <c r="F5" s="3"/>
      <c r="G5" s="3"/>
      <c r="H5" s="3"/>
      <c r="I5" s="3"/>
      <c r="J5" s="3"/>
      <c r="K5" s="3"/>
      <c r="L5" s="3"/>
      <c r="M5" s="3"/>
    </row>
    <row r="6" spans="1:13" ht="12.75" customHeight="1">
      <c r="A6" s="5"/>
      <c r="B6" s="8">
        <v>12</v>
      </c>
      <c r="C6" s="8"/>
      <c r="D6" s="7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 s="3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 s="3" t="s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42" customHeight="1">
      <c r="A11" s="4" t="s">
        <v>7</v>
      </c>
      <c r="B11" s="4"/>
      <c r="C11" s="4"/>
      <c r="D11" s="4"/>
      <c r="E11" s="4"/>
      <c r="F11" s="4"/>
      <c r="G11" s="4"/>
      <c r="H11" s="3"/>
      <c r="I11" s="3"/>
      <c r="J11" s="3"/>
      <c r="K11" s="3"/>
      <c r="L11" s="3"/>
      <c r="M11" s="3"/>
    </row>
    <row r="12" spans="1:1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 s="3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3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99" customHeight="1">
      <c r="A17" s="9" t="s">
        <v>10</v>
      </c>
      <c r="B17" s="9" t="s">
        <v>147</v>
      </c>
      <c r="C17" s="10" t="s">
        <v>12</v>
      </c>
      <c r="D17" s="9" t="s">
        <v>13</v>
      </c>
      <c r="E17" s="9" t="s">
        <v>14</v>
      </c>
      <c r="F17" s="9" t="s">
        <v>15</v>
      </c>
      <c r="G17" s="3"/>
      <c r="H17" s="3"/>
      <c r="I17" s="3"/>
      <c r="J17" s="3"/>
      <c r="K17" s="3"/>
      <c r="L17" s="3"/>
      <c r="M17" s="3"/>
    </row>
    <row r="18" spans="1:13" ht="29.25" customHeight="1">
      <c r="A18" s="9">
        <v>91</v>
      </c>
      <c r="B18" s="10">
        <v>1</v>
      </c>
      <c r="C18" s="9">
        <v>18</v>
      </c>
      <c r="D18" s="9">
        <v>18</v>
      </c>
      <c r="E18" s="11">
        <v>0</v>
      </c>
      <c r="F18" s="11">
        <v>86</v>
      </c>
      <c r="G18" s="3"/>
      <c r="H18" s="3"/>
      <c r="I18" s="3"/>
      <c r="J18" s="3"/>
      <c r="K18" s="3"/>
      <c r="L18" s="3"/>
      <c r="M18" s="3"/>
    </row>
    <row r="19" spans="1:1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27" customHeight="1">
      <c r="A20" s="12" t="s">
        <v>16</v>
      </c>
      <c r="B20" s="12"/>
      <c r="C20" s="12"/>
      <c r="D20" s="12"/>
      <c r="E20" s="12"/>
      <c r="F20" s="12"/>
      <c r="G20" s="12"/>
      <c r="H20" s="13"/>
      <c r="I20" s="13"/>
      <c r="J20" s="13"/>
      <c r="K20" s="3"/>
      <c r="L20" s="3"/>
      <c r="M20" s="3"/>
    </row>
    <row r="21" spans="1:13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 s="3" t="s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3" t="s">
        <v>18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3" t="s">
        <v>19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 s="3" t="s">
        <v>20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 t="s">
        <v>21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 s="3" t="s">
        <v>22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s="3" t="s">
        <v>23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63.75" customHeight="1">
      <c r="A36" s="14" t="s">
        <v>24</v>
      </c>
      <c r="B36" s="15" t="s">
        <v>25</v>
      </c>
      <c r="C36" s="14" t="s">
        <v>26</v>
      </c>
      <c r="D36" s="14" t="s">
        <v>27</v>
      </c>
      <c r="E36" s="14" t="s">
        <v>28</v>
      </c>
      <c r="F36" s="14" t="s">
        <v>29</v>
      </c>
      <c r="G36" s="3"/>
      <c r="H36" s="3"/>
      <c r="I36" s="3"/>
      <c r="J36" s="3"/>
      <c r="K36" s="3"/>
      <c r="L36" s="3"/>
      <c r="M36" s="3"/>
    </row>
    <row r="37" spans="1:13" ht="12.75">
      <c r="A37" s="16" t="s">
        <v>30</v>
      </c>
      <c r="B37" s="17">
        <f>F18</f>
        <v>86</v>
      </c>
      <c r="C37" s="18">
        <f>F53</f>
        <v>8763.609302325582</v>
      </c>
      <c r="D37" s="18">
        <f>E53</f>
        <v>753670.4</v>
      </c>
      <c r="E37" s="19">
        <f>G53</f>
        <v>0.6662858193714388</v>
      </c>
      <c r="F37" s="18">
        <f aca="true" t="shared" si="0" ref="F37:F40">D37*E37</f>
        <v>502159.9000000001</v>
      </c>
      <c r="G37" s="3"/>
      <c r="H37" s="3"/>
      <c r="I37" s="3"/>
      <c r="J37" s="3"/>
      <c r="K37" s="3"/>
      <c r="L37" s="3"/>
      <c r="M37" s="3"/>
    </row>
    <row r="38" spans="1:13" ht="12.75">
      <c r="A38" s="16" t="s">
        <v>31</v>
      </c>
      <c r="B38" s="17">
        <f aca="true" t="shared" si="1" ref="B38:B41">B37</f>
        <v>86</v>
      </c>
      <c r="C38" s="18">
        <f>F69</f>
        <v>13597.06511627907</v>
      </c>
      <c r="D38" s="18">
        <f>E69</f>
        <v>1169347.6</v>
      </c>
      <c r="E38" s="19">
        <f>G69</f>
        <v>0.6725109796265883</v>
      </c>
      <c r="F38" s="18">
        <f t="shared" si="0"/>
        <v>786399.1000000001</v>
      </c>
      <c r="G38" s="3"/>
      <c r="H38" s="3"/>
      <c r="I38" s="3"/>
      <c r="J38" s="3"/>
      <c r="K38" s="3"/>
      <c r="L38" s="3"/>
      <c r="M38" s="3"/>
    </row>
    <row r="39" spans="1:13" ht="12.75">
      <c r="A39" s="16" t="s">
        <v>32</v>
      </c>
      <c r="B39" s="17">
        <f t="shared" si="1"/>
        <v>86</v>
      </c>
      <c r="C39" s="18">
        <f>C78</f>
        <v>831.7906976744187</v>
      </c>
      <c r="D39" s="18">
        <f>B78</f>
        <v>71534</v>
      </c>
      <c r="E39" s="19">
        <f>D78</f>
        <v>0.7117874017949507</v>
      </c>
      <c r="F39" s="18">
        <f t="shared" si="0"/>
        <v>50917</v>
      </c>
      <c r="G39" s="3"/>
      <c r="H39" s="3"/>
      <c r="I39" s="3"/>
      <c r="J39" s="3"/>
      <c r="K39" s="3"/>
      <c r="L39" s="3"/>
      <c r="M39" s="3"/>
    </row>
    <row r="40" spans="1:13" ht="12.75">
      <c r="A40" s="16" t="s">
        <v>33</v>
      </c>
      <c r="B40" s="17">
        <f t="shared" si="1"/>
        <v>86</v>
      </c>
      <c r="C40" s="18">
        <f>F88</f>
        <v>0</v>
      </c>
      <c r="D40" s="18">
        <f>E88</f>
        <v>0</v>
      </c>
      <c r="E40" s="19">
        <v>0</v>
      </c>
      <c r="F40" s="18">
        <f t="shared" si="0"/>
        <v>0</v>
      </c>
      <c r="G40" s="3"/>
      <c r="H40" s="3"/>
      <c r="I40" s="3"/>
      <c r="J40" s="3"/>
      <c r="K40" s="3"/>
      <c r="L40" s="3"/>
      <c r="M40" s="3"/>
    </row>
    <row r="41" spans="1:13" ht="12.75">
      <c r="A41" s="16" t="s">
        <v>34</v>
      </c>
      <c r="B41" s="17">
        <f t="shared" si="1"/>
        <v>86</v>
      </c>
      <c r="C41" s="18">
        <v>0</v>
      </c>
      <c r="D41" s="18">
        <v>0</v>
      </c>
      <c r="E41" s="19">
        <v>1</v>
      </c>
      <c r="F41" s="18">
        <f>D137</f>
        <v>500745</v>
      </c>
      <c r="G41" s="3"/>
      <c r="H41" s="3"/>
      <c r="I41" s="3"/>
      <c r="J41" s="3"/>
      <c r="K41" s="3"/>
      <c r="L41" s="3"/>
      <c r="M41" s="3"/>
    </row>
    <row r="42" spans="1:13" ht="12.75">
      <c r="A42" s="20" t="s">
        <v>35</v>
      </c>
      <c r="B42" s="21"/>
      <c r="C42" s="22">
        <f>D42/B40</f>
        <v>23192.46511627907</v>
      </c>
      <c r="D42" s="22">
        <f>SUM(D37:D40)</f>
        <v>1994552</v>
      </c>
      <c r="E42" s="23">
        <f>F42/D42</f>
        <v>0.9226237270324364</v>
      </c>
      <c r="F42" s="18">
        <f>F37+F38+F39+F40+F41</f>
        <v>1840221.0000000002</v>
      </c>
      <c r="G42" s="24">
        <f>F42+E95</f>
        <v>2547614</v>
      </c>
      <c r="H42" s="3"/>
      <c r="I42" s="3"/>
      <c r="J42" s="3"/>
      <c r="K42" s="3"/>
      <c r="L42" s="3"/>
      <c r="M42" s="3"/>
    </row>
    <row r="43" spans="1:13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30.75" customHeight="1">
      <c r="A44" s="25" t="s">
        <v>148</v>
      </c>
      <c r="B44" s="25"/>
      <c r="C44" s="25"/>
      <c r="D44" s="25"/>
      <c r="E44" s="25"/>
      <c r="F44" s="25"/>
      <c r="G44" s="25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3" t="s">
        <v>37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63.75">
      <c r="A48" s="14" t="s">
        <v>38</v>
      </c>
      <c r="B48" s="14" t="s">
        <v>39</v>
      </c>
      <c r="C48" s="14" t="s">
        <v>40</v>
      </c>
      <c r="D48" s="14" t="s">
        <v>41</v>
      </c>
      <c r="E48" s="14" t="s">
        <v>42</v>
      </c>
      <c r="F48" s="14" t="s">
        <v>26</v>
      </c>
      <c r="G48" s="14" t="s">
        <v>28</v>
      </c>
      <c r="H48" s="3"/>
      <c r="I48" s="3"/>
      <c r="J48" s="3"/>
      <c r="K48" s="3"/>
      <c r="L48" s="3"/>
      <c r="M48" s="3"/>
    </row>
    <row r="49" spans="1:13" ht="25.5">
      <c r="A49" s="26" t="s">
        <v>43</v>
      </c>
      <c r="B49" s="27" t="s">
        <v>44</v>
      </c>
      <c r="C49" s="19">
        <f>65.9/2</f>
        <v>32.95</v>
      </c>
      <c r="D49" s="19">
        <f>E49/C49</f>
        <v>6453.171471927162</v>
      </c>
      <c r="E49" s="19">
        <f>425264/2</f>
        <v>212632</v>
      </c>
      <c r="F49" s="19">
        <f aca="true" t="shared" si="2" ref="F49:F52">E49/$B$40</f>
        <v>2472.4651162790697</v>
      </c>
      <c r="G49" s="19">
        <f>(187515/2/E49)</f>
        <v>0.4409378644794763</v>
      </c>
      <c r="H49" s="3"/>
      <c r="I49" s="3"/>
      <c r="J49" s="3"/>
      <c r="K49" s="3"/>
      <c r="L49" s="3"/>
      <c r="M49" s="3"/>
    </row>
    <row r="50" spans="1:13" ht="25.5">
      <c r="A50" s="26" t="s">
        <v>45</v>
      </c>
      <c r="B50" s="27" t="s">
        <v>46</v>
      </c>
      <c r="C50" s="19">
        <v>0</v>
      </c>
      <c r="D50" s="19">
        <v>0</v>
      </c>
      <c r="E50" s="19">
        <v>0</v>
      </c>
      <c r="F50" s="19">
        <f t="shared" si="2"/>
        <v>0</v>
      </c>
      <c r="G50" s="19">
        <v>0</v>
      </c>
      <c r="H50" s="3"/>
      <c r="I50" s="3"/>
      <c r="J50" s="3"/>
      <c r="K50" s="3"/>
      <c r="L50" s="3"/>
      <c r="M50" s="3"/>
    </row>
    <row r="51" spans="1:13" ht="25.5">
      <c r="A51" s="26" t="s">
        <v>47</v>
      </c>
      <c r="B51" s="27" t="s">
        <v>48</v>
      </c>
      <c r="C51" s="19">
        <f>36700*90%</f>
        <v>33030</v>
      </c>
      <c r="D51" s="19">
        <f aca="true" t="shared" si="3" ref="D51:D52">E51/C51</f>
        <v>11.026049046321527</v>
      </c>
      <c r="E51" s="19">
        <f>404656*90%</f>
        <v>364190.4</v>
      </c>
      <c r="F51" s="19">
        <f t="shared" si="2"/>
        <v>4234.772093023256</v>
      </c>
      <c r="G51" s="19">
        <f>(404656*90%/E51)</f>
        <v>1</v>
      </c>
      <c r="H51" s="3"/>
      <c r="I51" s="3"/>
      <c r="J51" s="3"/>
      <c r="K51" s="3"/>
      <c r="L51" s="3"/>
      <c r="M51" s="3"/>
    </row>
    <row r="52" spans="1:13" ht="25.5">
      <c r="A52" s="26" t="s">
        <v>49</v>
      </c>
      <c r="B52" s="27" t="s">
        <v>46</v>
      </c>
      <c r="C52" s="19">
        <v>1200</v>
      </c>
      <c r="D52" s="19">
        <f t="shared" si="3"/>
        <v>147.37333333333333</v>
      </c>
      <c r="E52" s="19">
        <v>176848</v>
      </c>
      <c r="F52" s="19">
        <f t="shared" si="2"/>
        <v>2056.3720930232557</v>
      </c>
      <c r="G52" s="19">
        <f>(44212/E52)</f>
        <v>0.25</v>
      </c>
      <c r="H52" s="3"/>
      <c r="I52" s="3"/>
      <c r="J52" s="3"/>
      <c r="K52" s="3"/>
      <c r="L52" s="3"/>
      <c r="M52" s="3"/>
    </row>
    <row r="53" spans="1:13" ht="20.25" customHeight="1">
      <c r="A53" s="28" t="s">
        <v>50</v>
      </c>
      <c r="B53" s="29"/>
      <c r="C53" s="23"/>
      <c r="D53" s="23"/>
      <c r="E53" s="23">
        <f>E49+E50+E51+E52</f>
        <v>753670.4</v>
      </c>
      <c r="F53" s="23">
        <f>F49+F50+F51+F52</f>
        <v>8763.609302325582</v>
      </c>
      <c r="G53" s="23">
        <f>(187515/2+404656*90%+44212)/E53</f>
        <v>0.6662858193714388</v>
      </c>
      <c r="H53" s="3"/>
      <c r="I53" s="3"/>
      <c r="J53" s="3"/>
      <c r="K53" s="3"/>
      <c r="L53" s="3"/>
      <c r="M53" s="3"/>
    </row>
    <row r="54" spans="1:13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33" customHeight="1">
      <c r="A55" s="25" t="s">
        <v>149</v>
      </c>
      <c r="B55" s="25"/>
      <c r="C55" s="25"/>
      <c r="D55" s="25"/>
      <c r="E55" s="25"/>
      <c r="F55" s="25"/>
      <c r="G55" s="25"/>
      <c r="H55" s="3"/>
      <c r="I55" s="3"/>
      <c r="J55" s="3"/>
      <c r="K55" s="3"/>
      <c r="L55" s="3"/>
      <c r="M55" s="3"/>
    </row>
    <row r="56" spans="1:1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75">
      <c r="A57" s="3" t="s">
        <v>52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63.75">
      <c r="A59" s="14" t="s">
        <v>38</v>
      </c>
      <c r="B59" s="14" t="s">
        <v>39</v>
      </c>
      <c r="C59" s="14" t="s">
        <v>53</v>
      </c>
      <c r="D59" s="14" t="s">
        <v>54</v>
      </c>
      <c r="E59" s="14" t="s">
        <v>42</v>
      </c>
      <c r="F59" s="14" t="s">
        <v>26</v>
      </c>
      <c r="G59" s="14" t="s">
        <v>28</v>
      </c>
      <c r="H59" s="3"/>
      <c r="I59" s="3"/>
      <c r="J59" s="3"/>
      <c r="K59" s="3"/>
      <c r="L59" s="3"/>
      <c r="M59" s="3"/>
    </row>
    <row r="60" spans="1:13" ht="45.75" customHeight="1">
      <c r="A60" s="26" t="s">
        <v>55</v>
      </c>
      <c r="B60" s="30"/>
      <c r="C60" s="19"/>
      <c r="D60" s="19"/>
      <c r="E60" s="19">
        <v>78086</v>
      </c>
      <c r="F60" s="19">
        <f aca="true" t="shared" si="4" ref="F60:F68">E60/$B$40</f>
        <v>907.9767441860465</v>
      </c>
      <c r="G60" s="19">
        <f>(55581/E60)</f>
        <v>0.7117921266296136</v>
      </c>
      <c r="H60" s="3"/>
      <c r="I60" s="3"/>
      <c r="J60" s="3"/>
      <c r="K60" s="3"/>
      <c r="L60" s="3"/>
      <c r="M60" s="3"/>
    </row>
    <row r="61" spans="1:13" ht="25.5">
      <c r="A61" s="26" t="s">
        <v>56</v>
      </c>
      <c r="B61" s="30" t="s">
        <v>57</v>
      </c>
      <c r="C61" s="19">
        <v>2</v>
      </c>
      <c r="D61" s="19">
        <f>E61/C61</f>
        <v>9342</v>
      </c>
      <c r="E61" s="19">
        <v>18684</v>
      </c>
      <c r="F61" s="19">
        <f t="shared" si="4"/>
        <v>217.25581395348837</v>
      </c>
      <c r="G61" s="19">
        <f>(13299/E61)</f>
        <v>0.7117854849068722</v>
      </c>
      <c r="H61" s="3"/>
      <c r="I61" s="3"/>
      <c r="J61" s="3"/>
      <c r="K61" s="3"/>
      <c r="L61" s="3"/>
      <c r="M61" s="3"/>
    </row>
    <row r="62" spans="1:13" ht="18" customHeight="1">
      <c r="A62" s="26" t="s">
        <v>58</v>
      </c>
      <c r="B62" s="30"/>
      <c r="C62" s="19"/>
      <c r="D62" s="19"/>
      <c r="E62" s="19">
        <v>0</v>
      </c>
      <c r="F62" s="19">
        <f t="shared" si="4"/>
        <v>0</v>
      </c>
      <c r="G62" s="19">
        <v>0</v>
      </c>
      <c r="H62" s="3"/>
      <c r="I62" s="3"/>
      <c r="J62" s="3"/>
      <c r="K62" s="3"/>
      <c r="L62" s="3"/>
      <c r="M62" s="3"/>
    </row>
    <row r="63" spans="1:13" ht="18" customHeight="1">
      <c r="A63" s="26" t="s">
        <v>59</v>
      </c>
      <c r="B63" s="30"/>
      <c r="C63" s="19"/>
      <c r="D63" s="19"/>
      <c r="E63" s="19">
        <v>809640</v>
      </c>
      <c r="F63" s="19">
        <f t="shared" si="4"/>
        <v>9414.418604651162</v>
      </c>
      <c r="G63" s="19">
        <f>(576292/E63)</f>
        <v>0.7117879551405563</v>
      </c>
      <c r="H63" s="3"/>
      <c r="I63" s="3"/>
      <c r="J63" s="3"/>
      <c r="K63" s="3"/>
      <c r="L63" s="3"/>
      <c r="M63" s="3"/>
    </row>
    <row r="64" spans="1:13" ht="25.5">
      <c r="A64" s="26" t="s">
        <v>43</v>
      </c>
      <c r="B64" s="27" t="s">
        <v>44</v>
      </c>
      <c r="C64" s="19">
        <f>65.9/2</f>
        <v>32.95</v>
      </c>
      <c r="D64" s="19">
        <f>E64/C64</f>
        <v>6453.171471927162</v>
      </c>
      <c r="E64" s="19">
        <f>425264/2</f>
        <v>212632</v>
      </c>
      <c r="F64" s="19">
        <f t="shared" si="4"/>
        <v>2472.4651162790697</v>
      </c>
      <c r="G64" s="19">
        <f>(187515/2/E64)</f>
        <v>0.4409378644794763</v>
      </c>
      <c r="H64" s="3"/>
      <c r="I64" s="3"/>
      <c r="J64" s="3"/>
      <c r="K64" s="3"/>
      <c r="L64" s="3"/>
      <c r="M64" s="3"/>
    </row>
    <row r="65" spans="1:13" ht="25.5">
      <c r="A65" s="26" t="s">
        <v>45</v>
      </c>
      <c r="B65" s="27" t="s">
        <v>46</v>
      </c>
      <c r="C65" s="19">
        <v>0</v>
      </c>
      <c r="D65" s="19">
        <v>0</v>
      </c>
      <c r="E65" s="19">
        <v>0</v>
      </c>
      <c r="F65" s="19">
        <f t="shared" si="4"/>
        <v>0</v>
      </c>
      <c r="G65" s="19">
        <v>0</v>
      </c>
      <c r="H65" s="3"/>
      <c r="I65" s="3"/>
      <c r="J65" s="3"/>
      <c r="K65" s="3"/>
      <c r="L65" s="3"/>
      <c r="M65" s="3"/>
    </row>
    <row r="66" spans="1:13" ht="25.5">
      <c r="A66" s="26" t="s">
        <v>47</v>
      </c>
      <c r="B66" s="27" t="s">
        <v>48</v>
      </c>
      <c r="C66" s="19">
        <f>36700*10%</f>
        <v>3670</v>
      </c>
      <c r="D66" s="19">
        <f>E66/C66</f>
        <v>11.026049046321527</v>
      </c>
      <c r="E66" s="19">
        <f>404656*10%</f>
        <v>40465.600000000006</v>
      </c>
      <c r="F66" s="19">
        <f t="shared" si="4"/>
        <v>470.53023255813963</v>
      </c>
      <c r="G66" s="19">
        <f>(187515*10%/E66)</f>
        <v>0.4633935985133051</v>
      </c>
      <c r="H66" s="3"/>
      <c r="I66" s="3"/>
      <c r="J66" s="3"/>
      <c r="K66" s="3"/>
      <c r="L66" s="3"/>
      <c r="M66" s="3"/>
    </row>
    <row r="67" spans="1:13" ht="25.5" customHeight="1">
      <c r="A67" s="26" t="s">
        <v>60</v>
      </c>
      <c r="B67" s="30"/>
      <c r="C67" s="19"/>
      <c r="D67" s="19"/>
      <c r="E67" s="19">
        <v>9840</v>
      </c>
      <c r="F67" s="19">
        <f t="shared" si="4"/>
        <v>114.4186046511628</v>
      </c>
      <c r="G67" s="19">
        <f>(7004/E67)</f>
        <v>0.7117886178861789</v>
      </c>
      <c r="H67" s="3"/>
      <c r="I67" s="3"/>
      <c r="J67" s="3"/>
      <c r="K67" s="3"/>
      <c r="L67" s="3"/>
      <c r="M67" s="3"/>
    </row>
    <row r="68" spans="1:13" ht="12.75">
      <c r="A68" s="26" t="s">
        <v>61</v>
      </c>
      <c r="B68" s="30"/>
      <c r="C68" s="19"/>
      <c r="D68" s="19"/>
      <c r="E68" s="19">
        <v>0</v>
      </c>
      <c r="F68" s="19">
        <f t="shared" si="4"/>
        <v>0</v>
      </c>
      <c r="G68" s="19" t="e">
        <f>(0/E68)</f>
        <v>#DIV/0!</v>
      </c>
      <c r="H68" s="3"/>
      <c r="I68" s="3"/>
      <c r="J68" s="3"/>
      <c r="K68" s="3"/>
      <c r="L68" s="3"/>
      <c r="M68" s="3"/>
    </row>
    <row r="69" spans="1:13" ht="24.75" customHeight="1">
      <c r="A69" s="28" t="s">
        <v>50</v>
      </c>
      <c r="B69" s="31"/>
      <c r="C69" s="23"/>
      <c r="D69" s="23"/>
      <c r="E69" s="23">
        <f>SUM(E60:E68)</f>
        <v>1169347.6</v>
      </c>
      <c r="F69" s="23">
        <f>SUM(F60:F68)</f>
        <v>13597.06511627907</v>
      </c>
      <c r="G69" s="23">
        <f>(55581+13299+576292+187515/2+404656*10%+7004)/E69</f>
        <v>0.6725109796265883</v>
      </c>
      <c r="H69" s="3"/>
      <c r="I69" s="3"/>
      <c r="J69" s="3"/>
      <c r="K69" s="3"/>
      <c r="L69" s="3"/>
      <c r="M69" s="3"/>
    </row>
    <row r="70" spans="1:13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30.75" customHeight="1">
      <c r="A71" s="25" t="s">
        <v>150</v>
      </c>
      <c r="B71" s="25"/>
      <c r="C71" s="25"/>
      <c r="D71" s="25"/>
      <c r="E71" s="25"/>
      <c r="F71" s="25"/>
      <c r="G71" s="25"/>
      <c r="H71" s="3"/>
      <c r="I71" s="3"/>
      <c r="J71" s="3"/>
      <c r="K71" s="3"/>
      <c r="L71" s="3"/>
      <c r="M71" s="3"/>
    </row>
    <row r="72" spans="1:13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>
      <c r="A73" s="3" t="s">
        <v>63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63.75">
      <c r="A75" s="14" t="s">
        <v>38</v>
      </c>
      <c r="B75" s="14" t="s">
        <v>42</v>
      </c>
      <c r="C75" s="14" t="s">
        <v>26</v>
      </c>
      <c r="D75" s="14" t="s">
        <v>28</v>
      </c>
      <c r="E75" s="32"/>
      <c r="F75" s="32"/>
      <c r="G75" s="32"/>
      <c r="H75" s="3"/>
      <c r="I75" s="3"/>
      <c r="J75" s="3"/>
      <c r="K75" s="3"/>
      <c r="L75" s="3"/>
      <c r="M75" s="3"/>
    </row>
    <row r="76" spans="1:13" ht="51">
      <c r="A76" s="26" t="s">
        <v>64</v>
      </c>
      <c r="B76" s="33">
        <v>518</v>
      </c>
      <c r="C76" s="19">
        <f aca="true" t="shared" si="5" ref="C76:C77">B76/$B$40</f>
        <v>6.023255813953488</v>
      </c>
      <c r="D76" s="19">
        <f>(369/B76)</f>
        <v>0.7123552123552124</v>
      </c>
      <c r="E76" s="34"/>
      <c r="F76" s="35"/>
      <c r="G76" s="35"/>
      <c r="H76" s="3"/>
      <c r="I76" s="3"/>
      <c r="J76" s="3"/>
      <c r="K76" s="3"/>
      <c r="L76" s="3"/>
      <c r="M76" s="3"/>
    </row>
    <row r="77" spans="1:13" ht="19.5" customHeight="1">
      <c r="A77" s="26" t="s">
        <v>65</v>
      </c>
      <c r="B77" s="33">
        <f>53561+17455</f>
        <v>71016</v>
      </c>
      <c r="C77" s="19">
        <f t="shared" si="5"/>
        <v>825.7674418604652</v>
      </c>
      <c r="D77" s="19">
        <f>(38124+12424)/B77</f>
        <v>0.7117832601103976</v>
      </c>
      <c r="E77" s="34"/>
      <c r="F77" s="35"/>
      <c r="G77" s="35"/>
      <c r="H77" s="3"/>
      <c r="I77" s="3"/>
      <c r="J77" s="3"/>
      <c r="K77" s="3"/>
      <c r="L77" s="3"/>
      <c r="M77" s="3"/>
    </row>
    <row r="78" spans="1:13" ht="27" customHeight="1">
      <c r="A78" s="28" t="s">
        <v>50</v>
      </c>
      <c r="B78" s="36">
        <f>SUM(B76:B77)</f>
        <v>71534</v>
      </c>
      <c r="C78" s="36">
        <f>SUM(C76:C77)</f>
        <v>831.7906976744187</v>
      </c>
      <c r="D78" s="36">
        <f>(38124+12424+369)/B78</f>
        <v>0.7117874017949507</v>
      </c>
      <c r="E78" s="37"/>
      <c r="F78" s="37"/>
      <c r="G78" s="37"/>
      <c r="H78" s="3"/>
      <c r="I78" s="3"/>
      <c r="J78" s="3"/>
      <c r="K78" s="3"/>
      <c r="L78" s="3"/>
      <c r="M78" s="3"/>
    </row>
    <row r="79" spans="1:13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29.25" customHeight="1">
      <c r="A80" s="25" t="s">
        <v>66</v>
      </c>
      <c r="B80" s="25"/>
      <c r="C80" s="25"/>
      <c r="D80" s="25"/>
      <c r="E80" s="25"/>
      <c r="F80" s="25"/>
      <c r="G80" s="25"/>
      <c r="H80" s="3"/>
      <c r="I80" s="3"/>
      <c r="J80" s="3"/>
      <c r="K80" s="3"/>
      <c r="L80" s="3"/>
      <c r="M80" s="3"/>
    </row>
    <row r="81" spans="1:13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 hidden="1">
      <c r="A82" s="3" t="s">
        <v>67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63.75" hidden="1">
      <c r="A84" s="38" t="s">
        <v>68</v>
      </c>
      <c r="B84" s="10" t="s">
        <v>69</v>
      </c>
      <c r="C84" s="14" t="s">
        <v>54</v>
      </c>
      <c r="D84" s="10" t="s">
        <v>70</v>
      </c>
      <c r="E84" s="39" t="s">
        <v>71</v>
      </c>
      <c r="F84" s="14" t="s">
        <v>26</v>
      </c>
      <c r="G84" s="14" t="s">
        <v>28</v>
      </c>
      <c r="H84" s="3"/>
      <c r="I84" s="3"/>
      <c r="J84" s="3"/>
      <c r="K84" s="3"/>
      <c r="L84" s="3"/>
      <c r="M84" s="3"/>
    </row>
    <row r="85" spans="1:13" ht="12.75" hidden="1">
      <c r="A85" s="40" t="s">
        <v>72</v>
      </c>
      <c r="B85" s="41">
        <v>1</v>
      </c>
      <c r="C85" s="42">
        <f aca="true" t="shared" si="6" ref="C85:C86">E85/D85/B85</f>
        <v>0</v>
      </c>
      <c r="D85" s="43">
        <v>12</v>
      </c>
      <c r="E85" s="44">
        <v>0</v>
      </c>
      <c r="F85" s="19">
        <f aca="true" t="shared" si="7" ref="F85:F88">E85/$B$40</f>
        <v>0</v>
      </c>
      <c r="G85" s="19" t="e">
        <f aca="true" t="shared" si="8" ref="G85:G87">(0/E85)</f>
        <v>#DIV/0!</v>
      </c>
      <c r="H85" s="3"/>
      <c r="I85" s="3"/>
      <c r="J85" s="3"/>
      <c r="K85" s="3"/>
      <c r="L85" s="3"/>
      <c r="M85" s="3"/>
    </row>
    <row r="86" spans="1:13" ht="12.75" hidden="1">
      <c r="A86" s="40" t="s">
        <v>73</v>
      </c>
      <c r="B86" s="39">
        <v>1</v>
      </c>
      <c r="C86" s="42">
        <f t="shared" si="6"/>
        <v>0</v>
      </c>
      <c r="D86" s="43">
        <v>12</v>
      </c>
      <c r="E86" s="44">
        <v>0</v>
      </c>
      <c r="F86" s="19">
        <f t="shared" si="7"/>
        <v>0</v>
      </c>
      <c r="G86" s="19" t="e">
        <f t="shared" si="8"/>
        <v>#DIV/0!</v>
      </c>
      <c r="H86" s="3"/>
      <c r="I86" s="3"/>
      <c r="J86" s="3"/>
      <c r="K86" s="3"/>
      <c r="L86" s="3"/>
      <c r="M86" s="3"/>
    </row>
    <row r="87" spans="1:13" ht="12.75" hidden="1">
      <c r="A87" s="40" t="s">
        <v>74</v>
      </c>
      <c r="B87" s="41"/>
      <c r="C87" s="41"/>
      <c r="D87" s="43"/>
      <c r="E87" s="44">
        <v>0</v>
      </c>
      <c r="F87" s="19">
        <f t="shared" si="7"/>
        <v>0</v>
      </c>
      <c r="G87" s="19" t="e">
        <f t="shared" si="8"/>
        <v>#DIV/0!</v>
      </c>
      <c r="H87" s="3"/>
      <c r="I87" s="3"/>
      <c r="J87" s="3"/>
      <c r="K87" s="3"/>
      <c r="L87" s="3"/>
      <c r="M87" s="3"/>
    </row>
    <row r="88" spans="1:13" ht="12.75" hidden="1">
      <c r="A88" s="45" t="s">
        <v>75</v>
      </c>
      <c r="B88" s="46"/>
      <c r="C88" s="46"/>
      <c r="D88" s="46"/>
      <c r="E88" s="47">
        <f>E85+E86+E87</f>
        <v>0</v>
      </c>
      <c r="F88" s="23">
        <f t="shared" si="7"/>
        <v>0</v>
      </c>
      <c r="G88" s="23" t="e">
        <f>0/E88</f>
        <v>#DIV/0!</v>
      </c>
      <c r="H88" s="3"/>
      <c r="I88" s="3"/>
      <c r="J88" s="3"/>
      <c r="K88" s="3"/>
      <c r="L88" s="3"/>
      <c r="M88" s="3"/>
    </row>
    <row r="89" spans="1:13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28.5" customHeight="1" hidden="1">
      <c r="A90" s="25" t="s">
        <v>151</v>
      </c>
      <c r="B90" s="25"/>
      <c r="C90" s="25"/>
      <c r="D90" s="25"/>
      <c r="E90" s="25"/>
      <c r="F90" s="25"/>
      <c r="G90" s="25"/>
      <c r="H90" s="3"/>
      <c r="I90" s="3"/>
      <c r="J90" s="3"/>
      <c r="K90" s="3"/>
      <c r="L90" s="3"/>
      <c r="M90" s="3"/>
    </row>
    <row r="91" spans="1:1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45" customHeight="1">
      <c r="A92" s="12" t="s">
        <v>77</v>
      </c>
      <c r="B92" s="12"/>
      <c r="C92" s="12"/>
      <c r="D92" s="12"/>
      <c r="E92" s="12"/>
      <c r="F92" s="12"/>
      <c r="G92" s="12"/>
      <c r="H92" s="13"/>
      <c r="I92" s="13"/>
      <c r="J92" s="13"/>
      <c r="K92" s="3"/>
      <c r="L92" s="3"/>
      <c r="M92" s="3"/>
    </row>
    <row r="93" spans="1:1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63.75">
      <c r="A94" s="14" t="s">
        <v>38</v>
      </c>
      <c r="B94" s="39" t="s">
        <v>71</v>
      </c>
      <c r="C94" s="14" t="s">
        <v>26</v>
      </c>
      <c r="D94" s="14" t="s">
        <v>28</v>
      </c>
      <c r="E94" s="48" t="s">
        <v>78</v>
      </c>
      <c r="F94" s="16" t="s">
        <v>79</v>
      </c>
      <c r="G94" s="3"/>
      <c r="H94" s="3"/>
      <c r="I94" s="3"/>
      <c r="J94" s="3"/>
      <c r="K94" s="3"/>
      <c r="L94" s="3"/>
      <c r="M94" s="3"/>
    </row>
    <row r="95" spans="1:13" ht="12.75">
      <c r="A95" s="49" t="s">
        <v>80</v>
      </c>
      <c r="B95" s="36">
        <v>993826</v>
      </c>
      <c r="C95" s="23">
        <f>B95/$B$40</f>
        <v>11556.116279069767</v>
      </c>
      <c r="D95" s="23">
        <f>707393/B95</f>
        <v>0.7117875764972943</v>
      </c>
      <c r="E95" s="18">
        <f>B95*D95</f>
        <v>707393</v>
      </c>
      <c r="F95" s="18">
        <f>E95-B95</f>
        <v>-286433</v>
      </c>
      <c r="G95" s="3"/>
      <c r="H95" s="3"/>
      <c r="I95" s="3"/>
      <c r="J95" s="3"/>
      <c r="K95" s="3"/>
      <c r="L95" s="3"/>
      <c r="M95" s="3"/>
    </row>
    <row r="96" spans="1:1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34.5" customHeight="1">
      <c r="A97" s="25" t="s">
        <v>81</v>
      </c>
      <c r="B97" s="25"/>
      <c r="C97" s="25"/>
      <c r="D97" s="25"/>
      <c r="E97" s="25"/>
      <c r="F97" s="25"/>
      <c r="G97" s="25"/>
      <c r="H97" s="3"/>
      <c r="I97" s="3"/>
      <c r="J97" s="3"/>
      <c r="K97" s="3"/>
      <c r="L97" s="3"/>
      <c r="M97" s="3"/>
    </row>
    <row r="98" spans="1:1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48.75" customHeight="1">
      <c r="A99" s="50" t="s">
        <v>152</v>
      </c>
      <c r="B99" s="50"/>
      <c r="C99" s="50"/>
      <c r="D99" s="50"/>
      <c r="E99" s="50"/>
      <c r="F99" s="50"/>
      <c r="G99" s="50"/>
      <c r="H99" s="3"/>
      <c r="I99" s="3"/>
      <c r="J99" s="3"/>
      <c r="K99" s="3"/>
      <c r="L99" s="3"/>
      <c r="M99" s="3"/>
    </row>
    <row r="100" spans="1:13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4.25">
      <c r="A101" s="3" t="s">
        <v>83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>
      <c r="A103" s="3" t="s">
        <v>84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>
      <c r="A105" s="3" t="s">
        <v>85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7.25" customHeight="1">
      <c r="A107" s="4" t="s">
        <v>86</v>
      </c>
      <c r="B107" s="4"/>
      <c r="C107" s="4"/>
      <c r="D107" s="4"/>
      <c r="E107" s="4"/>
      <c r="F107" s="4"/>
      <c r="G107" s="4"/>
      <c r="H107" s="3"/>
      <c r="I107" s="3"/>
      <c r="J107" s="3"/>
      <c r="K107" s="3"/>
      <c r="L107" s="3"/>
      <c r="M107" s="3"/>
    </row>
    <row r="108" spans="1:13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>
      <c r="A109" s="3" t="s">
        <v>87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3.5" customHeight="1">
      <c r="A111" s="4" t="s">
        <v>88</v>
      </c>
      <c r="B111" s="4"/>
      <c r="C111" s="4"/>
      <c r="D111" s="4"/>
      <c r="E111" s="4"/>
      <c r="F111" s="4"/>
      <c r="G111" s="4"/>
      <c r="H111" s="3"/>
      <c r="I111" s="3"/>
      <c r="J111" s="3"/>
      <c r="K111" s="3"/>
      <c r="L111" s="3"/>
      <c r="M111" s="3"/>
    </row>
    <row r="112" spans="1:1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>
      <c r="A113" s="3" t="s">
        <v>5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14.75">
      <c r="A115" s="14" t="s">
        <v>89</v>
      </c>
      <c r="B115" s="14" t="s">
        <v>90</v>
      </c>
      <c r="C115" s="39" t="s">
        <v>91</v>
      </c>
      <c r="D115" s="14" t="s">
        <v>92</v>
      </c>
      <c r="E115" s="14" t="s">
        <v>93</v>
      </c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36">
        <f>C42</f>
        <v>23192.46511627907</v>
      </c>
      <c r="B116" s="36">
        <f>E42</f>
        <v>0.9226237270324364</v>
      </c>
      <c r="C116" s="23">
        <f>C95</f>
        <v>11556.116279069767</v>
      </c>
      <c r="D116" s="23">
        <f>D95</f>
        <v>0.7117875764972943</v>
      </c>
      <c r="E116" s="36">
        <f>(A116*B116+C116*D116)*F18</f>
        <v>2547614</v>
      </c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11" customHeight="1">
      <c r="A118" s="12" t="s">
        <v>153</v>
      </c>
      <c r="B118" s="12"/>
      <c r="C118" s="12"/>
      <c r="D118" s="12"/>
      <c r="E118" s="12"/>
      <c r="F118" s="12"/>
      <c r="G118" s="12"/>
      <c r="H118" s="3"/>
      <c r="I118" s="3"/>
      <c r="J118" s="3"/>
      <c r="K118" s="3"/>
      <c r="L118" s="3"/>
      <c r="M118" s="3"/>
    </row>
    <row r="119" spans="1:13" ht="12.75">
      <c r="A119" s="3"/>
      <c r="B119" s="3"/>
      <c r="C119" s="3"/>
      <c r="D119" s="3" t="s">
        <v>95</v>
      </c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>
      <c r="A121" s="3" t="s">
        <v>96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>
      <c r="A123" s="3" t="s">
        <v>97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>
      <c r="A125" s="3" t="s">
        <v>98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>
      <c r="A127" s="3" t="s">
        <v>99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40.25">
      <c r="A129" s="51" t="s">
        <v>100</v>
      </c>
      <c r="B129" s="52" t="s">
        <v>101</v>
      </c>
      <c r="C129" s="51" t="s">
        <v>102</v>
      </c>
      <c r="D129" s="51" t="s">
        <v>103</v>
      </c>
      <c r="E129" s="53"/>
      <c r="F129" s="53"/>
      <c r="G129" s="53"/>
      <c r="H129" s="3"/>
      <c r="I129" s="3"/>
      <c r="J129" s="3"/>
      <c r="K129" s="3"/>
      <c r="L129" s="3"/>
      <c r="M129" s="3"/>
    </row>
    <row r="130" spans="1:13" ht="12.75">
      <c r="A130" s="65">
        <f>4919738+28234+67472+55974+4565</f>
        <v>5075983</v>
      </c>
      <c r="B130" s="65">
        <f>540000+163080</f>
        <v>703080</v>
      </c>
      <c r="C130" s="66">
        <f>324000+97848</f>
        <v>421848</v>
      </c>
      <c r="D130" s="67">
        <f>A130+B130+C130</f>
        <v>6200911</v>
      </c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>
      <c r="A131" s="58"/>
      <c r="B131" s="58"/>
      <c r="C131" s="58"/>
      <c r="D131" s="58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>
      <c r="A132" s="58"/>
      <c r="B132" s="58"/>
      <c r="C132" s="58"/>
      <c r="D132" s="58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>
      <c r="A133" s="59" t="s">
        <v>107</v>
      </c>
      <c r="B133" s="60"/>
      <c r="C133" s="60"/>
      <c r="D133" s="60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60"/>
      <c r="B134" s="60"/>
      <c r="C134" s="60"/>
      <c r="D134" s="60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61" t="s">
        <v>108</v>
      </c>
      <c r="B135" s="61">
        <v>0</v>
      </c>
      <c r="C135" s="61"/>
      <c r="D135" s="18">
        <v>384597</v>
      </c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>
      <c r="A136" s="61" t="s">
        <v>109</v>
      </c>
      <c r="B136" s="61">
        <v>0</v>
      </c>
      <c r="C136" s="61"/>
      <c r="D136" s="18">
        <v>116148</v>
      </c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63" t="s">
        <v>50</v>
      </c>
      <c r="B137" s="63">
        <f>B135+B136</f>
        <v>0</v>
      </c>
      <c r="C137" s="63"/>
      <c r="D137" s="64">
        <f>D135+D136</f>
        <v>500745</v>
      </c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60"/>
      <c r="B138" s="60"/>
      <c r="C138" s="60"/>
      <c r="D138" s="60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6:13" ht="12.75">
      <c r="F366" s="3"/>
      <c r="G366" s="3"/>
      <c r="H366" s="3"/>
      <c r="I366" s="3"/>
      <c r="J366" s="3"/>
      <c r="K366" s="3"/>
      <c r="L366" s="3"/>
      <c r="M366" s="3"/>
    </row>
  </sheetData>
  <sheetProtection selectLockedCells="1" selectUnlockedCells="1"/>
  <mergeCells count="19">
    <mergeCell ref="A2:G2"/>
    <mergeCell ref="A4:G4"/>
    <mergeCell ref="A5:A6"/>
    <mergeCell ref="B5:C5"/>
    <mergeCell ref="D5:D6"/>
    <mergeCell ref="B6:C6"/>
    <mergeCell ref="A11:G11"/>
    <mergeCell ref="A20:G20"/>
    <mergeCell ref="A44:G44"/>
    <mergeCell ref="A55:G55"/>
    <mergeCell ref="A71:G71"/>
    <mergeCell ref="A80:G80"/>
    <mergeCell ref="A90:G90"/>
    <mergeCell ref="A92:G92"/>
    <mergeCell ref="A97:G97"/>
    <mergeCell ref="A99:G99"/>
    <mergeCell ref="A107:G107"/>
    <mergeCell ref="A111:G111"/>
    <mergeCell ref="A118:G118"/>
  </mergeCells>
  <printOptions/>
  <pageMargins left="0.7083333333333334" right="0.7083333333333334" top="0.7479166666666667" bottom="0.7479166666666667" header="0.5118055555555555" footer="0.5118055555555555"/>
  <pageSetup fitToHeight="3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M366"/>
  <sheetViews>
    <sheetView workbookViewId="0" topLeftCell="A119">
      <selection activeCell="E139" sqref="E139"/>
    </sheetView>
  </sheetViews>
  <sheetFormatPr defaultColWidth="8.00390625" defaultRowHeight="12.75"/>
  <cols>
    <col min="1" max="1" width="18.00390625" style="0" customWidth="1"/>
    <col min="2" max="2" width="13.625" style="0" customWidth="1"/>
    <col min="3" max="3" width="13.00390625" style="0" customWidth="1"/>
    <col min="4" max="4" width="12.375" style="0" customWidth="1"/>
    <col min="5" max="5" width="15.625" style="0" customWidth="1"/>
    <col min="6" max="6" width="12.75390625" style="0" customWidth="1"/>
    <col min="7" max="7" width="13.625" style="0" customWidth="1"/>
    <col min="8" max="16384" width="9.00390625" style="0" customWidth="1"/>
  </cols>
  <sheetData>
    <row r="2" spans="1:13" ht="59.25" customHeight="1">
      <c r="A2" s="1" t="s">
        <v>154</v>
      </c>
      <c r="B2" s="1"/>
      <c r="C2" s="1"/>
      <c r="D2" s="1"/>
      <c r="E2" s="1"/>
      <c r="F2" s="1"/>
      <c r="G2" s="1"/>
      <c r="H2" s="2"/>
      <c r="I2" s="2"/>
      <c r="J2" s="2"/>
      <c r="K2" s="3"/>
      <c r="L2" s="3"/>
      <c r="M2" s="3"/>
    </row>
    <row r="3" spans="1:1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40.5" customHeight="1">
      <c r="A4" s="4" t="s">
        <v>1</v>
      </c>
      <c r="B4" s="4"/>
      <c r="C4" s="4"/>
      <c r="D4" s="4"/>
      <c r="E4" s="4"/>
      <c r="F4" s="4"/>
      <c r="G4" s="4"/>
      <c r="H4" s="3"/>
      <c r="I4" s="3"/>
      <c r="J4" s="3"/>
      <c r="K4" s="3"/>
      <c r="L4" s="3"/>
      <c r="M4" s="3"/>
    </row>
    <row r="5" spans="1:13" ht="12.75" customHeight="1">
      <c r="A5" s="5" t="s">
        <v>2</v>
      </c>
      <c r="B5" s="6" t="s">
        <v>3</v>
      </c>
      <c r="C5" s="6"/>
      <c r="D5" s="7" t="s">
        <v>4</v>
      </c>
      <c r="E5" s="3"/>
      <c r="F5" s="3"/>
      <c r="G5" s="3"/>
      <c r="H5" s="3"/>
      <c r="I5" s="3"/>
      <c r="J5" s="3"/>
      <c r="K5" s="3"/>
      <c r="L5" s="3"/>
      <c r="M5" s="3"/>
    </row>
    <row r="6" spans="1:13" ht="12.75" customHeight="1">
      <c r="A6" s="5"/>
      <c r="B6" s="8">
        <v>12</v>
      </c>
      <c r="C6" s="8"/>
      <c r="D6" s="7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 s="3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 s="3" t="s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42" customHeight="1">
      <c r="A11" s="4" t="s">
        <v>7</v>
      </c>
      <c r="B11" s="4"/>
      <c r="C11" s="4"/>
      <c r="D11" s="4"/>
      <c r="E11" s="4"/>
      <c r="F11" s="4"/>
      <c r="G11" s="4"/>
      <c r="H11" s="3"/>
      <c r="I11" s="3"/>
      <c r="J11" s="3"/>
      <c r="K11" s="3"/>
      <c r="L11" s="3"/>
      <c r="M11" s="3"/>
    </row>
    <row r="12" spans="1:1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 s="3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3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99" customHeight="1">
      <c r="A17" s="9" t="s">
        <v>10</v>
      </c>
      <c r="B17" s="9" t="s">
        <v>119</v>
      </c>
      <c r="C17" s="10" t="s">
        <v>12</v>
      </c>
      <c r="D17" s="9" t="s">
        <v>13</v>
      </c>
      <c r="E17" s="9" t="s">
        <v>127</v>
      </c>
      <c r="F17" s="9" t="s">
        <v>15</v>
      </c>
      <c r="G17" s="3"/>
      <c r="H17" s="3"/>
      <c r="I17" s="3"/>
      <c r="J17" s="3"/>
      <c r="K17" s="3"/>
      <c r="L17" s="3"/>
      <c r="M17" s="3"/>
    </row>
    <row r="18" spans="1:13" ht="29.25" customHeight="1">
      <c r="A18" s="9">
        <v>245</v>
      </c>
      <c r="B18" s="10">
        <v>0</v>
      </c>
      <c r="C18" s="9">
        <v>51</v>
      </c>
      <c r="D18" s="9">
        <v>38</v>
      </c>
      <c r="E18" s="11">
        <v>0</v>
      </c>
      <c r="F18" s="11">
        <v>224</v>
      </c>
      <c r="G18" s="3"/>
      <c r="H18" s="3"/>
      <c r="I18" s="3"/>
      <c r="J18" s="3"/>
      <c r="K18" s="3"/>
      <c r="L18" s="3"/>
      <c r="M18" s="3"/>
    </row>
    <row r="19" spans="1:1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27" customHeight="1">
      <c r="A20" s="12" t="s">
        <v>16</v>
      </c>
      <c r="B20" s="12"/>
      <c r="C20" s="12"/>
      <c r="D20" s="12"/>
      <c r="E20" s="12"/>
      <c r="F20" s="12"/>
      <c r="G20" s="12"/>
      <c r="H20" s="13"/>
      <c r="I20" s="13"/>
      <c r="J20" s="13"/>
      <c r="K20" s="3"/>
      <c r="L20" s="3"/>
      <c r="M20" s="3"/>
    </row>
    <row r="21" spans="1:13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 s="3" t="s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3" t="s">
        <v>18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3" t="s">
        <v>19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 s="3" t="s">
        <v>20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 t="s">
        <v>21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 s="3" t="s">
        <v>22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s="3" t="s">
        <v>23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63.75" customHeight="1">
      <c r="A36" s="14" t="s">
        <v>24</v>
      </c>
      <c r="B36" s="15" t="s">
        <v>25</v>
      </c>
      <c r="C36" s="14" t="s">
        <v>26</v>
      </c>
      <c r="D36" s="14" t="s">
        <v>27</v>
      </c>
      <c r="E36" s="14" t="s">
        <v>28</v>
      </c>
      <c r="F36" s="14" t="s">
        <v>29</v>
      </c>
      <c r="G36" s="3"/>
      <c r="H36" s="3"/>
      <c r="I36" s="3"/>
      <c r="J36" s="3"/>
      <c r="K36" s="3"/>
      <c r="L36" s="3"/>
      <c r="M36" s="3"/>
    </row>
    <row r="37" spans="1:13" ht="12.75">
      <c r="A37" s="16" t="s">
        <v>30</v>
      </c>
      <c r="B37" s="17">
        <f>F18</f>
        <v>224</v>
      </c>
      <c r="C37" s="18">
        <f>F53</f>
        <v>3218.716517857143</v>
      </c>
      <c r="D37" s="18">
        <f>E53</f>
        <v>720992.5</v>
      </c>
      <c r="E37" s="19">
        <f>G53</f>
        <v>0.9384847969985818</v>
      </c>
      <c r="F37" s="18">
        <f aca="true" t="shared" si="0" ref="F37:F40">D37*E37</f>
        <v>676640.5</v>
      </c>
      <c r="G37" s="3"/>
      <c r="H37" s="3"/>
      <c r="I37" s="3"/>
      <c r="J37" s="3"/>
      <c r="K37" s="3"/>
      <c r="L37" s="3"/>
      <c r="M37" s="3"/>
    </row>
    <row r="38" spans="1:13" ht="12.75">
      <c r="A38" s="16" t="s">
        <v>31</v>
      </c>
      <c r="B38" s="17">
        <f aca="true" t="shared" si="1" ref="B38:B41">B37</f>
        <v>224</v>
      </c>
      <c r="C38" s="18">
        <f>F69</f>
        <v>13158.171875</v>
      </c>
      <c r="D38" s="18">
        <f>E69</f>
        <v>2947430.5</v>
      </c>
      <c r="E38" s="19">
        <f>G69</f>
        <v>0.7330498547802908</v>
      </c>
      <c r="F38" s="18">
        <f t="shared" si="0"/>
        <v>2160613.5</v>
      </c>
      <c r="G38" s="3"/>
      <c r="H38" s="3"/>
      <c r="I38" s="3"/>
      <c r="J38" s="3"/>
      <c r="K38" s="3"/>
      <c r="L38" s="3"/>
      <c r="M38" s="3"/>
    </row>
    <row r="39" spans="1:13" ht="12.75">
      <c r="A39" s="16" t="s">
        <v>32</v>
      </c>
      <c r="B39" s="17">
        <f t="shared" si="1"/>
        <v>224</v>
      </c>
      <c r="C39" s="18">
        <f>C78</f>
        <v>678.9330357142857</v>
      </c>
      <c r="D39" s="18">
        <f>B78</f>
        <v>152081</v>
      </c>
      <c r="E39" s="19">
        <f>D78</f>
        <v>0.7117851671148927</v>
      </c>
      <c r="F39" s="18">
        <f t="shared" si="0"/>
        <v>108249</v>
      </c>
      <c r="G39" s="3"/>
      <c r="H39" s="3"/>
      <c r="I39" s="3"/>
      <c r="J39" s="3"/>
      <c r="K39" s="3"/>
      <c r="L39" s="3"/>
      <c r="M39" s="3"/>
    </row>
    <row r="40" spans="1:13" ht="12.75">
      <c r="A40" s="16" t="s">
        <v>33</v>
      </c>
      <c r="B40" s="17">
        <f t="shared" si="1"/>
        <v>224</v>
      </c>
      <c r="C40" s="18">
        <f>F88</f>
        <v>0</v>
      </c>
      <c r="D40" s="18">
        <f>E88</f>
        <v>0</v>
      </c>
      <c r="E40" s="19">
        <v>0</v>
      </c>
      <c r="F40" s="18">
        <f t="shared" si="0"/>
        <v>0</v>
      </c>
      <c r="G40" s="3"/>
      <c r="H40" s="3"/>
      <c r="I40" s="3"/>
      <c r="J40" s="3"/>
      <c r="K40" s="3"/>
      <c r="L40" s="3"/>
      <c r="M40" s="3"/>
    </row>
    <row r="41" spans="1:13" ht="12.75">
      <c r="A41" s="16" t="s">
        <v>34</v>
      </c>
      <c r="B41" s="17">
        <f t="shared" si="1"/>
        <v>224</v>
      </c>
      <c r="C41" s="18">
        <v>0</v>
      </c>
      <c r="D41" s="18">
        <v>0</v>
      </c>
      <c r="E41" s="19">
        <v>1</v>
      </c>
      <c r="F41" s="18">
        <f>D137</f>
        <v>2590785</v>
      </c>
      <c r="G41" s="3"/>
      <c r="H41" s="3"/>
      <c r="I41" s="3"/>
      <c r="J41" s="3"/>
      <c r="K41" s="3"/>
      <c r="L41" s="3"/>
      <c r="M41" s="3"/>
    </row>
    <row r="42" spans="1:13" ht="12.75">
      <c r="A42" s="20" t="s">
        <v>35</v>
      </c>
      <c r="B42" s="21"/>
      <c r="C42" s="22">
        <f>D42/B40</f>
        <v>17055.821428571428</v>
      </c>
      <c r="D42" s="22">
        <f>SUM(D37:D40)</f>
        <v>3820504</v>
      </c>
      <c r="E42" s="23">
        <f>F42/D42</f>
        <v>1.4490988623490513</v>
      </c>
      <c r="F42" s="18">
        <f>F37+F38+F39+F40+F41</f>
        <v>5536288</v>
      </c>
      <c r="G42" s="24">
        <f>F42+E95</f>
        <v>7378536</v>
      </c>
      <c r="H42" s="3"/>
      <c r="I42" s="3"/>
      <c r="J42" s="3"/>
      <c r="K42" s="3"/>
      <c r="L42" s="3"/>
      <c r="M42" s="3"/>
    </row>
    <row r="43" spans="1:13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30.75" customHeight="1">
      <c r="A44" s="25" t="s">
        <v>155</v>
      </c>
      <c r="B44" s="25"/>
      <c r="C44" s="25"/>
      <c r="D44" s="25"/>
      <c r="E44" s="25"/>
      <c r="F44" s="25"/>
      <c r="G44" s="25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3" t="s">
        <v>37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63.75">
      <c r="A48" s="14" t="s">
        <v>38</v>
      </c>
      <c r="B48" s="14" t="s">
        <v>39</v>
      </c>
      <c r="C48" s="14" t="s">
        <v>40</v>
      </c>
      <c r="D48" s="14" t="s">
        <v>41</v>
      </c>
      <c r="E48" s="14" t="s">
        <v>42</v>
      </c>
      <c r="F48" s="14" t="s">
        <v>26</v>
      </c>
      <c r="G48" s="14" t="s">
        <v>28</v>
      </c>
      <c r="H48" s="3"/>
      <c r="I48" s="3"/>
      <c r="J48" s="3"/>
      <c r="K48" s="3"/>
      <c r="L48" s="3"/>
      <c r="M48" s="3"/>
    </row>
    <row r="49" spans="1:13" ht="25.5">
      <c r="A49" s="26" t="s">
        <v>43</v>
      </c>
      <c r="B49" s="27" t="s">
        <v>44</v>
      </c>
      <c r="C49" s="19">
        <v>0</v>
      </c>
      <c r="D49" s="19">
        <v>0</v>
      </c>
      <c r="E49" s="19">
        <v>0</v>
      </c>
      <c r="F49" s="19">
        <f aca="true" t="shared" si="2" ref="F49:F52">E49/$B$40</f>
        <v>0</v>
      </c>
      <c r="G49" s="19">
        <v>0</v>
      </c>
      <c r="H49" s="3"/>
      <c r="I49" s="3"/>
      <c r="J49" s="3"/>
      <c r="K49" s="3"/>
      <c r="L49" s="3"/>
      <c r="M49" s="3"/>
    </row>
    <row r="50" spans="1:13" ht="25.5">
      <c r="A50" s="26" t="s">
        <v>45</v>
      </c>
      <c r="B50" s="27" t="s">
        <v>46</v>
      </c>
      <c r="C50" s="19">
        <f>38022/2</f>
        <v>19011</v>
      </c>
      <c r="D50" s="19">
        <f aca="true" t="shared" si="3" ref="D50:D52">E50/C50</f>
        <v>8.515517332070907</v>
      </c>
      <c r="E50" s="19">
        <f>323777/2</f>
        <v>161888.5</v>
      </c>
      <c r="F50" s="19">
        <f t="shared" si="2"/>
        <v>722.7165178571429</v>
      </c>
      <c r="G50" s="19">
        <f>(323777/2/E50)</f>
        <v>1</v>
      </c>
      <c r="H50" s="3"/>
      <c r="I50" s="3"/>
      <c r="J50" s="3"/>
      <c r="K50" s="3"/>
      <c r="L50" s="3"/>
      <c r="M50" s="3"/>
    </row>
    <row r="51" spans="1:13" ht="25.5">
      <c r="A51" s="26" t="s">
        <v>47</v>
      </c>
      <c r="B51" s="27" t="s">
        <v>48</v>
      </c>
      <c r="C51" s="19">
        <f>7500*90%</f>
        <v>6750</v>
      </c>
      <c r="D51" s="19">
        <f t="shared" si="3"/>
        <v>74.06933333333333</v>
      </c>
      <c r="E51" s="19">
        <f>555520*90%</f>
        <v>499968</v>
      </c>
      <c r="F51" s="19">
        <f t="shared" si="2"/>
        <v>2232</v>
      </c>
      <c r="G51" s="19">
        <f>(555520*90%/E51)</f>
        <v>1</v>
      </c>
      <c r="H51" s="3"/>
      <c r="I51" s="3"/>
      <c r="J51" s="3"/>
      <c r="K51" s="3"/>
      <c r="L51" s="3"/>
      <c r="M51" s="3"/>
    </row>
    <row r="52" spans="1:13" ht="25.5">
      <c r="A52" s="26" t="s">
        <v>49</v>
      </c>
      <c r="B52" s="27" t="s">
        <v>46</v>
      </c>
      <c r="C52" s="19">
        <f>1320</f>
        <v>1320</v>
      </c>
      <c r="D52" s="19">
        <f t="shared" si="3"/>
        <v>44.8</v>
      </c>
      <c r="E52" s="19">
        <v>59136</v>
      </c>
      <c r="F52" s="19">
        <f t="shared" si="2"/>
        <v>264</v>
      </c>
      <c r="G52" s="19">
        <f>(14784/E52)</f>
        <v>0.25</v>
      </c>
      <c r="H52" s="3"/>
      <c r="I52" s="3"/>
      <c r="J52" s="3"/>
      <c r="K52" s="3"/>
      <c r="L52" s="3"/>
      <c r="M52" s="3"/>
    </row>
    <row r="53" spans="1:13" ht="20.25" customHeight="1">
      <c r="A53" s="28" t="s">
        <v>50</v>
      </c>
      <c r="B53" s="29"/>
      <c r="C53" s="23"/>
      <c r="D53" s="23"/>
      <c r="E53" s="23">
        <f>E49+E50+E51+E52</f>
        <v>720992.5</v>
      </c>
      <c r="F53" s="23">
        <f>F49+F50+F51+F52</f>
        <v>3218.716517857143</v>
      </c>
      <c r="G53" s="23">
        <f>(323777/2+555520*90%+14784)/E53</f>
        <v>0.9384847969985818</v>
      </c>
      <c r="H53" s="3"/>
      <c r="I53" s="3"/>
      <c r="J53" s="3"/>
      <c r="K53" s="3"/>
      <c r="L53" s="3"/>
      <c r="M53" s="3"/>
    </row>
    <row r="54" spans="1:13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30.75" customHeight="1">
      <c r="A55" s="25" t="s">
        <v>156</v>
      </c>
      <c r="B55" s="25"/>
      <c r="C55" s="25"/>
      <c r="D55" s="25"/>
      <c r="E55" s="25"/>
      <c r="F55" s="25"/>
      <c r="G55" s="25"/>
      <c r="H55" s="3"/>
      <c r="I55" s="3"/>
      <c r="J55" s="3"/>
      <c r="K55" s="3"/>
      <c r="L55" s="3"/>
      <c r="M55" s="3"/>
    </row>
    <row r="56" spans="1:1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75">
      <c r="A57" s="3" t="s">
        <v>52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63.75">
      <c r="A59" s="14" t="s">
        <v>38</v>
      </c>
      <c r="B59" s="14" t="s">
        <v>39</v>
      </c>
      <c r="C59" s="14" t="s">
        <v>53</v>
      </c>
      <c r="D59" s="14" t="s">
        <v>54</v>
      </c>
      <c r="E59" s="14" t="s">
        <v>42</v>
      </c>
      <c r="F59" s="14" t="s">
        <v>26</v>
      </c>
      <c r="G59" s="14" t="s">
        <v>28</v>
      </c>
      <c r="H59" s="3"/>
      <c r="I59" s="3"/>
      <c r="J59" s="3"/>
      <c r="K59" s="3"/>
      <c r="L59" s="3"/>
      <c r="M59" s="3"/>
    </row>
    <row r="60" spans="1:13" ht="45.75" customHeight="1">
      <c r="A60" s="26" t="s">
        <v>55</v>
      </c>
      <c r="B60" s="30"/>
      <c r="C60" s="19"/>
      <c r="D60" s="19"/>
      <c r="E60" s="19">
        <v>47258</v>
      </c>
      <c r="F60" s="19">
        <f aca="true" t="shared" si="4" ref="F60:F68">E60/$B$40</f>
        <v>210.97321428571428</v>
      </c>
      <c r="G60" s="19">
        <f>(33638/E60)</f>
        <v>0.7117948283888442</v>
      </c>
      <c r="H60" s="3"/>
      <c r="I60" s="3"/>
      <c r="J60" s="3"/>
      <c r="K60" s="3"/>
      <c r="L60" s="3"/>
      <c r="M60" s="3"/>
    </row>
    <row r="61" spans="1:13" ht="25.5">
      <c r="A61" s="26" t="s">
        <v>56</v>
      </c>
      <c r="B61" s="30" t="s">
        <v>57</v>
      </c>
      <c r="C61" s="19">
        <v>2</v>
      </c>
      <c r="D61" s="19">
        <f>E61/C61</f>
        <v>0</v>
      </c>
      <c r="E61" s="19">
        <v>0</v>
      </c>
      <c r="F61" s="19">
        <f t="shared" si="4"/>
        <v>0</v>
      </c>
      <c r="G61" s="19" t="e">
        <f aca="true" t="shared" si="5" ref="G61:G62">(0/E61)</f>
        <v>#DIV/0!</v>
      </c>
      <c r="H61" s="3"/>
      <c r="I61" s="3"/>
      <c r="J61" s="3"/>
      <c r="K61" s="3"/>
      <c r="L61" s="3"/>
      <c r="M61" s="3"/>
    </row>
    <row r="62" spans="1:13" ht="18" customHeight="1">
      <c r="A62" s="26" t="s">
        <v>58</v>
      </c>
      <c r="B62" s="30"/>
      <c r="C62" s="19"/>
      <c r="D62" s="19"/>
      <c r="E62" s="19">
        <v>0</v>
      </c>
      <c r="F62" s="19">
        <f t="shared" si="4"/>
        <v>0</v>
      </c>
      <c r="G62" s="19" t="e">
        <f t="shared" si="5"/>
        <v>#DIV/0!</v>
      </c>
      <c r="H62" s="3"/>
      <c r="I62" s="3"/>
      <c r="J62" s="3"/>
      <c r="K62" s="3"/>
      <c r="L62" s="3"/>
      <c r="M62" s="3"/>
    </row>
    <row r="63" spans="1:13" ht="18" customHeight="1">
      <c r="A63" s="26" t="s">
        <v>59</v>
      </c>
      <c r="B63" s="30"/>
      <c r="C63" s="19"/>
      <c r="D63" s="19"/>
      <c r="E63" s="19">
        <v>2428920</v>
      </c>
      <c r="F63" s="19">
        <f t="shared" si="4"/>
        <v>10843.392857142857</v>
      </c>
      <c r="G63" s="19">
        <f>(1728875/E63)</f>
        <v>0.7117875434349423</v>
      </c>
      <c r="H63" s="3"/>
      <c r="I63" s="3"/>
      <c r="J63" s="3"/>
      <c r="K63" s="3"/>
      <c r="L63" s="3"/>
      <c r="M63" s="3"/>
    </row>
    <row r="64" spans="1:13" ht="25.5">
      <c r="A64" s="26" t="s">
        <v>43</v>
      </c>
      <c r="B64" s="27" t="s">
        <v>44</v>
      </c>
      <c r="C64" s="19">
        <v>0</v>
      </c>
      <c r="D64" s="19">
        <v>0</v>
      </c>
      <c r="E64" s="19">
        <v>0</v>
      </c>
      <c r="F64" s="19">
        <f t="shared" si="4"/>
        <v>0</v>
      </c>
      <c r="G64" s="19">
        <v>0</v>
      </c>
      <c r="H64" s="3"/>
      <c r="I64" s="3"/>
      <c r="J64" s="3"/>
      <c r="K64" s="3"/>
      <c r="L64" s="3"/>
      <c r="M64" s="3"/>
    </row>
    <row r="65" spans="1:13" ht="25.5">
      <c r="A65" s="26" t="s">
        <v>45</v>
      </c>
      <c r="B65" s="27" t="s">
        <v>46</v>
      </c>
      <c r="C65" s="19">
        <f>38022/2</f>
        <v>19011</v>
      </c>
      <c r="D65" s="19">
        <f aca="true" t="shared" si="6" ref="D65:D66">E65/C65</f>
        <v>8.515517332070907</v>
      </c>
      <c r="E65" s="19">
        <f>323777/2</f>
        <v>161888.5</v>
      </c>
      <c r="F65" s="19">
        <f t="shared" si="4"/>
        <v>722.7165178571429</v>
      </c>
      <c r="G65" s="19">
        <f>(323777/2/E65)</f>
        <v>1</v>
      </c>
      <c r="H65" s="3"/>
      <c r="I65" s="3"/>
      <c r="J65" s="3"/>
      <c r="K65" s="3"/>
      <c r="L65" s="3"/>
      <c r="M65" s="3"/>
    </row>
    <row r="66" spans="1:13" ht="25.5">
      <c r="A66" s="26" t="s">
        <v>47</v>
      </c>
      <c r="B66" s="27" t="s">
        <v>48</v>
      </c>
      <c r="C66" s="19">
        <f>7500*10%</f>
        <v>750</v>
      </c>
      <c r="D66" s="19">
        <f t="shared" si="6"/>
        <v>74.06933333333333</v>
      </c>
      <c r="E66" s="19">
        <f>555520*10%</f>
        <v>55552</v>
      </c>
      <c r="F66" s="19">
        <f t="shared" si="4"/>
        <v>248</v>
      </c>
      <c r="G66" s="19">
        <f>(555520*10%/E66)</f>
        <v>1</v>
      </c>
      <c r="H66" s="3"/>
      <c r="I66" s="3"/>
      <c r="J66" s="3"/>
      <c r="K66" s="3"/>
      <c r="L66" s="3"/>
      <c r="M66" s="3"/>
    </row>
    <row r="67" spans="1:13" ht="25.5" customHeight="1">
      <c r="A67" s="26" t="s">
        <v>60</v>
      </c>
      <c r="B67" s="30"/>
      <c r="C67" s="19"/>
      <c r="D67" s="19"/>
      <c r="E67" s="19">
        <v>18612</v>
      </c>
      <c r="F67" s="19">
        <f t="shared" si="4"/>
        <v>83.08928571428571</v>
      </c>
      <c r="G67" s="19">
        <f>(13248/E67)</f>
        <v>0.7117988394584139</v>
      </c>
      <c r="H67" s="3"/>
      <c r="I67" s="3"/>
      <c r="J67" s="3"/>
      <c r="K67" s="3"/>
      <c r="L67" s="3"/>
      <c r="M67" s="3"/>
    </row>
    <row r="68" spans="1:13" ht="12.75">
      <c r="A68" s="26" t="s">
        <v>61</v>
      </c>
      <c r="B68" s="30"/>
      <c r="C68" s="19"/>
      <c r="D68" s="19"/>
      <c r="E68" s="19">
        <v>235200</v>
      </c>
      <c r="F68" s="19">
        <f t="shared" si="4"/>
        <v>1050</v>
      </c>
      <c r="G68" s="19">
        <f>(167412/E68)</f>
        <v>0.7117857142857142</v>
      </c>
      <c r="H68" s="3"/>
      <c r="I68" s="3"/>
      <c r="J68" s="3"/>
      <c r="K68" s="3"/>
      <c r="L68" s="3"/>
      <c r="M68" s="3"/>
    </row>
    <row r="69" spans="1:13" ht="24.75" customHeight="1">
      <c r="A69" s="28" t="s">
        <v>50</v>
      </c>
      <c r="B69" s="31"/>
      <c r="C69" s="23"/>
      <c r="D69" s="23"/>
      <c r="E69" s="23">
        <f>SUM(E60:E68)</f>
        <v>2947430.5</v>
      </c>
      <c r="F69" s="23">
        <f>SUM(F60:F68)</f>
        <v>13158.171875</v>
      </c>
      <c r="G69" s="23">
        <f>(33638+1728875+323777/2+555520*10%+167412+13248)/E69</f>
        <v>0.7330498547802908</v>
      </c>
      <c r="H69" s="3"/>
      <c r="I69" s="3"/>
      <c r="J69" s="3"/>
      <c r="K69" s="3"/>
      <c r="L69" s="3"/>
      <c r="M69" s="3"/>
    </row>
    <row r="70" spans="1:13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28.5" customHeight="1">
      <c r="A71" s="25" t="s">
        <v>138</v>
      </c>
      <c r="B71" s="25"/>
      <c r="C71" s="25"/>
      <c r="D71" s="25"/>
      <c r="E71" s="25"/>
      <c r="F71" s="25"/>
      <c r="G71" s="25"/>
      <c r="H71" s="3"/>
      <c r="I71" s="3"/>
      <c r="J71" s="3"/>
      <c r="K71" s="3"/>
      <c r="L71" s="3"/>
      <c r="M71" s="3"/>
    </row>
    <row r="72" spans="1:13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>
      <c r="A73" s="3" t="s">
        <v>63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63.75">
      <c r="A75" s="14" t="s">
        <v>38</v>
      </c>
      <c r="B75" s="14" t="s">
        <v>42</v>
      </c>
      <c r="C75" s="14" t="s">
        <v>26</v>
      </c>
      <c r="D75" s="14" t="s">
        <v>28</v>
      </c>
      <c r="E75" s="32"/>
      <c r="F75" s="32"/>
      <c r="G75" s="32"/>
      <c r="H75" s="3"/>
      <c r="I75" s="3"/>
      <c r="J75" s="3"/>
      <c r="K75" s="3"/>
      <c r="L75" s="3"/>
      <c r="M75" s="3"/>
    </row>
    <row r="76" spans="1:13" ht="51">
      <c r="A76" s="26" t="s">
        <v>64</v>
      </c>
      <c r="B76" s="33">
        <v>8820</v>
      </c>
      <c r="C76" s="19">
        <f aca="true" t="shared" si="7" ref="C76:C77">B76/$B$40</f>
        <v>39.375</v>
      </c>
      <c r="D76" s="19">
        <f>(6278/B76)</f>
        <v>0.7117913832199546</v>
      </c>
      <c r="E76" s="34"/>
      <c r="F76" s="35"/>
      <c r="G76" s="35"/>
      <c r="H76" s="3"/>
      <c r="I76" s="3"/>
      <c r="J76" s="3"/>
      <c r="K76" s="3"/>
      <c r="L76" s="3"/>
      <c r="M76" s="3"/>
    </row>
    <row r="77" spans="1:13" ht="19.5" customHeight="1">
      <c r="A77" s="26" t="s">
        <v>65</v>
      </c>
      <c r="B77" s="33">
        <f>125806+17455</f>
        <v>143261</v>
      </c>
      <c r="C77" s="19">
        <f t="shared" si="7"/>
        <v>639.5580357142857</v>
      </c>
      <c r="D77" s="19">
        <f>(89547+12424)/B77</f>
        <v>0.7117847844144604</v>
      </c>
      <c r="E77" s="34"/>
      <c r="F77" s="35"/>
      <c r="G77" s="35"/>
      <c r="H77" s="3"/>
      <c r="I77" s="3"/>
      <c r="J77" s="3"/>
      <c r="K77" s="3"/>
      <c r="L77" s="3"/>
      <c r="M77" s="3"/>
    </row>
    <row r="78" spans="1:13" ht="27" customHeight="1">
      <c r="A78" s="28" t="s">
        <v>50</v>
      </c>
      <c r="B78" s="36">
        <f>SUM(B76:B77)</f>
        <v>152081</v>
      </c>
      <c r="C78" s="36">
        <f>SUM(C76:C77)</f>
        <v>678.9330357142857</v>
      </c>
      <c r="D78" s="36">
        <f>(89547+12424+6278)/B78</f>
        <v>0.7117851671148927</v>
      </c>
      <c r="E78" s="37"/>
      <c r="F78" s="37"/>
      <c r="G78" s="37"/>
      <c r="H78" s="3"/>
      <c r="I78" s="3"/>
      <c r="J78" s="3"/>
      <c r="K78" s="3"/>
      <c r="L78" s="3"/>
      <c r="M78" s="3"/>
    </row>
    <row r="79" spans="1:13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29.25" customHeight="1">
      <c r="A80" s="25" t="s">
        <v>66</v>
      </c>
      <c r="B80" s="25"/>
      <c r="C80" s="25"/>
      <c r="D80" s="25"/>
      <c r="E80" s="25"/>
      <c r="F80" s="25"/>
      <c r="G80" s="25"/>
      <c r="H80" s="3"/>
      <c r="I80" s="3"/>
      <c r="J80" s="3"/>
      <c r="K80" s="3"/>
      <c r="L80" s="3"/>
      <c r="M80" s="3"/>
    </row>
    <row r="81" spans="1:13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 hidden="1">
      <c r="A82" s="3" t="s">
        <v>67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63.75" hidden="1">
      <c r="A84" s="38" t="s">
        <v>68</v>
      </c>
      <c r="B84" s="10" t="s">
        <v>69</v>
      </c>
      <c r="C84" s="14" t="s">
        <v>54</v>
      </c>
      <c r="D84" s="10" t="s">
        <v>70</v>
      </c>
      <c r="E84" s="39" t="s">
        <v>71</v>
      </c>
      <c r="F84" s="14" t="s">
        <v>26</v>
      </c>
      <c r="G84" s="14" t="s">
        <v>28</v>
      </c>
      <c r="H84" s="3"/>
      <c r="I84" s="3"/>
      <c r="J84" s="3"/>
      <c r="K84" s="3"/>
      <c r="L84" s="3"/>
      <c r="M84" s="3"/>
    </row>
    <row r="85" spans="1:13" ht="12.75" hidden="1">
      <c r="A85" s="40" t="s">
        <v>72</v>
      </c>
      <c r="B85" s="41">
        <v>2</v>
      </c>
      <c r="C85" s="42">
        <f aca="true" t="shared" si="8" ref="C85:C86">E85/D85/B85</f>
        <v>0</v>
      </c>
      <c r="D85" s="43">
        <v>12</v>
      </c>
      <c r="E85" s="44">
        <v>0</v>
      </c>
      <c r="F85" s="19">
        <f aca="true" t="shared" si="9" ref="F85:F88">E85/$B$40</f>
        <v>0</v>
      </c>
      <c r="G85" s="19" t="e">
        <f>(0/E85)*2</f>
        <v>#DIV/0!</v>
      </c>
      <c r="H85" s="3"/>
      <c r="I85" s="3"/>
      <c r="J85" s="3"/>
      <c r="K85" s="3"/>
      <c r="L85" s="3"/>
      <c r="M85" s="3"/>
    </row>
    <row r="86" spans="1:13" ht="12.75" hidden="1">
      <c r="A86" s="40" t="s">
        <v>73</v>
      </c>
      <c r="B86" s="39">
        <v>1</v>
      </c>
      <c r="C86" s="42">
        <f t="shared" si="8"/>
        <v>0</v>
      </c>
      <c r="D86" s="43">
        <v>12</v>
      </c>
      <c r="E86" s="44">
        <v>0</v>
      </c>
      <c r="F86" s="19">
        <f t="shared" si="9"/>
        <v>0</v>
      </c>
      <c r="G86" s="19" t="e">
        <f aca="true" t="shared" si="10" ref="G86:G87">(0/E86)</f>
        <v>#DIV/0!</v>
      </c>
      <c r="H86" s="3"/>
      <c r="I86" s="3"/>
      <c r="J86" s="3"/>
      <c r="K86" s="3"/>
      <c r="L86" s="3"/>
      <c r="M86" s="3"/>
    </row>
    <row r="87" spans="1:13" ht="12.75" hidden="1">
      <c r="A87" s="40" t="s">
        <v>74</v>
      </c>
      <c r="B87" s="41"/>
      <c r="C87" s="41"/>
      <c r="D87" s="43"/>
      <c r="E87" s="44">
        <v>0</v>
      </c>
      <c r="F87" s="19">
        <f t="shared" si="9"/>
        <v>0</v>
      </c>
      <c r="G87" s="19" t="e">
        <f t="shared" si="10"/>
        <v>#DIV/0!</v>
      </c>
      <c r="H87" s="3"/>
      <c r="I87" s="3"/>
      <c r="J87" s="3"/>
      <c r="K87" s="3"/>
      <c r="L87" s="3"/>
      <c r="M87" s="3"/>
    </row>
    <row r="88" spans="1:13" ht="12.75" hidden="1">
      <c r="A88" s="45" t="s">
        <v>75</v>
      </c>
      <c r="B88" s="46"/>
      <c r="C88" s="46"/>
      <c r="D88" s="46"/>
      <c r="E88" s="47">
        <f>E85+E86+E87</f>
        <v>0</v>
      </c>
      <c r="F88" s="23">
        <f t="shared" si="9"/>
        <v>0</v>
      </c>
      <c r="G88" s="23" t="e">
        <f>0/E88</f>
        <v>#DIV/0!</v>
      </c>
      <c r="H88" s="3"/>
      <c r="I88" s="3"/>
      <c r="J88" s="3"/>
      <c r="K88" s="3"/>
      <c r="L88" s="3"/>
      <c r="M88" s="3"/>
    </row>
    <row r="89" spans="1:13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22.5" customHeight="1" hidden="1">
      <c r="A90" s="25" t="s">
        <v>131</v>
      </c>
      <c r="B90" s="25"/>
      <c r="C90" s="25"/>
      <c r="D90" s="25"/>
      <c r="E90" s="25"/>
      <c r="F90" s="25"/>
      <c r="G90" s="25"/>
      <c r="H90" s="3"/>
      <c r="I90" s="3"/>
      <c r="J90" s="3"/>
      <c r="K90" s="3"/>
      <c r="L90" s="3"/>
      <c r="M90" s="3"/>
    </row>
    <row r="91" spans="1:1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45" customHeight="1">
      <c r="A92" s="12" t="s">
        <v>77</v>
      </c>
      <c r="B92" s="12"/>
      <c r="C92" s="12"/>
      <c r="D92" s="12"/>
      <c r="E92" s="12"/>
      <c r="F92" s="12"/>
      <c r="G92" s="12"/>
      <c r="H92" s="13"/>
      <c r="I92" s="13"/>
      <c r="J92" s="13"/>
      <c r="K92" s="3"/>
      <c r="L92" s="3"/>
      <c r="M92" s="3"/>
    </row>
    <row r="93" spans="1:1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63.75">
      <c r="A94" s="14" t="s">
        <v>38</v>
      </c>
      <c r="B94" s="39" t="s">
        <v>71</v>
      </c>
      <c r="C94" s="14" t="s">
        <v>26</v>
      </c>
      <c r="D94" s="14" t="s">
        <v>28</v>
      </c>
      <c r="E94" s="48" t="s">
        <v>78</v>
      </c>
      <c r="F94" s="16" t="s">
        <v>79</v>
      </c>
      <c r="G94" s="3"/>
      <c r="H94" s="3"/>
      <c r="I94" s="3"/>
      <c r="J94" s="3"/>
      <c r="K94" s="3"/>
      <c r="L94" s="3"/>
      <c r="M94" s="3"/>
    </row>
    <row r="95" spans="1:13" ht="12.75">
      <c r="A95" s="49" t="s">
        <v>80</v>
      </c>
      <c r="B95" s="36">
        <v>2588199</v>
      </c>
      <c r="C95" s="23">
        <f>B95/$B$40</f>
        <v>11554.45982142857</v>
      </c>
      <c r="D95" s="23">
        <f>1842248/B95</f>
        <v>0.7117876175672736</v>
      </c>
      <c r="E95" s="18">
        <f>B95*D95</f>
        <v>1842248</v>
      </c>
      <c r="F95" s="18">
        <f>E95-B95</f>
        <v>-745951</v>
      </c>
      <c r="G95" s="3"/>
      <c r="H95" s="3"/>
      <c r="I95" s="3"/>
      <c r="J95" s="3"/>
      <c r="K95" s="3"/>
      <c r="L95" s="3"/>
      <c r="M95" s="3"/>
    </row>
    <row r="96" spans="1:1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34.5" customHeight="1">
      <c r="A97" s="25" t="s">
        <v>81</v>
      </c>
      <c r="B97" s="25"/>
      <c r="C97" s="25"/>
      <c r="D97" s="25"/>
      <c r="E97" s="25"/>
      <c r="F97" s="25"/>
      <c r="G97" s="25"/>
      <c r="H97" s="3"/>
      <c r="I97" s="3"/>
      <c r="J97" s="3"/>
      <c r="K97" s="3"/>
      <c r="L97" s="3"/>
      <c r="M97" s="3"/>
    </row>
    <row r="98" spans="1:1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48.75" customHeight="1">
      <c r="A99" s="50" t="s">
        <v>157</v>
      </c>
      <c r="B99" s="50"/>
      <c r="C99" s="50"/>
      <c r="D99" s="50"/>
      <c r="E99" s="50"/>
      <c r="F99" s="50"/>
      <c r="G99" s="50"/>
      <c r="H99" s="3"/>
      <c r="I99" s="3"/>
      <c r="J99" s="3"/>
      <c r="K99" s="3"/>
      <c r="L99" s="3"/>
      <c r="M99" s="3"/>
    </row>
    <row r="100" spans="1:13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4.25">
      <c r="A101" s="3" t="s">
        <v>83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>
      <c r="A103" s="3" t="s">
        <v>84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>
      <c r="A105" s="3" t="s">
        <v>85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7.25" customHeight="1">
      <c r="A107" s="4" t="s">
        <v>86</v>
      </c>
      <c r="B107" s="4"/>
      <c r="C107" s="4"/>
      <c r="D107" s="4"/>
      <c r="E107" s="4"/>
      <c r="F107" s="4"/>
      <c r="G107" s="4"/>
      <c r="H107" s="3"/>
      <c r="I107" s="3"/>
      <c r="J107" s="3"/>
      <c r="K107" s="3"/>
      <c r="L107" s="3"/>
      <c r="M107" s="3"/>
    </row>
    <row r="108" spans="1:13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>
      <c r="A109" s="3" t="s">
        <v>87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3.5" customHeight="1">
      <c r="A111" s="4" t="s">
        <v>88</v>
      </c>
      <c r="B111" s="4"/>
      <c r="C111" s="4"/>
      <c r="D111" s="4"/>
      <c r="E111" s="4"/>
      <c r="F111" s="4"/>
      <c r="G111" s="4"/>
      <c r="H111" s="3"/>
      <c r="I111" s="3"/>
      <c r="J111" s="3"/>
      <c r="K111" s="3"/>
      <c r="L111" s="3"/>
      <c r="M111" s="3"/>
    </row>
    <row r="112" spans="1:1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>
      <c r="A113" s="3" t="s">
        <v>5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14.75">
      <c r="A115" s="14" t="s">
        <v>89</v>
      </c>
      <c r="B115" s="14" t="s">
        <v>90</v>
      </c>
      <c r="C115" s="39" t="s">
        <v>91</v>
      </c>
      <c r="D115" s="14" t="s">
        <v>92</v>
      </c>
      <c r="E115" s="14" t="s">
        <v>93</v>
      </c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36">
        <f>C42</f>
        <v>17055.821428571428</v>
      </c>
      <c r="B116" s="36">
        <f>E42</f>
        <v>1.4490988623490513</v>
      </c>
      <c r="C116" s="23">
        <f>C95</f>
        <v>11554.45982142857</v>
      </c>
      <c r="D116" s="23">
        <f>D95</f>
        <v>0.7117876175672736</v>
      </c>
      <c r="E116" s="36">
        <f>(A116*B116+C116*D116)*F18</f>
        <v>7378536</v>
      </c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97.5" customHeight="1">
      <c r="A118" s="12" t="s">
        <v>158</v>
      </c>
      <c r="B118" s="12"/>
      <c r="C118" s="12"/>
      <c r="D118" s="12"/>
      <c r="E118" s="12"/>
      <c r="F118" s="12"/>
      <c r="G118" s="12"/>
      <c r="H118" s="3"/>
      <c r="I118" s="3"/>
      <c r="J118" s="3"/>
      <c r="K118" s="3"/>
      <c r="L118" s="3"/>
      <c r="M118" s="3"/>
    </row>
    <row r="119" spans="1:13" ht="12.75">
      <c r="A119" s="3"/>
      <c r="B119" s="3"/>
      <c r="C119" s="3"/>
      <c r="D119" s="3" t="s">
        <v>95</v>
      </c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>
      <c r="A121" s="3" t="s">
        <v>96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>
      <c r="A123" s="3" t="s">
        <v>97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>
      <c r="A125" s="3" t="s">
        <v>98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>
      <c r="A127" s="3" t="s">
        <v>99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40.25">
      <c r="A129" s="51" t="s">
        <v>100</v>
      </c>
      <c r="B129" s="52" t="s">
        <v>101</v>
      </c>
      <c r="C129" s="51" t="s">
        <v>102</v>
      </c>
      <c r="D129" s="51" t="s">
        <v>103</v>
      </c>
      <c r="E129" s="53"/>
      <c r="F129" s="53"/>
      <c r="G129" s="53"/>
      <c r="H129" s="3"/>
      <c r="I129" s="3"/>
      <c r="J129" s="3"/>
      <c r="K129" s="3"/>
      <c r="L129" s="3"/>
      <c r="M129" s="3"/>
    </row>
    <row r="130" spans="1:13" ht="12.75">
      <c r="A130" s="65">
        <f>19232968+35603+288280+33796+16897</f>
        <v>19607544</v>
      </c>
      <c r="B130" s="65">
        <f>1944000+587088</f>
        <v>2531088</v>
      </c>
      <c r="C130" s="66">
        <f>1152000+347904</f>
        <v>1499904</v>
      </c>
      <c r="D130" s="67">
        <f>A130+B130+C130</f>
        <v>23638536</v>
      </c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>
      <c r="A131" s="58"/>
      <c r="B131" s="58"/>
      <c r="C131" s="58"/>
      <c r="D131" s="58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>
      <c r="A132" s="58"/>
      <c r="B132" s="58"/>
      <c r="C132" s="58"/>
      <c r="D132" s="58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>
      <c r="A133" s="68" t="s">
        <v>107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16" t="s">
        <v>108</v>
      </c>
      <c r="B135" s="16">
        <v>0</v>
      </c>
      <c r="C135" s="16"/>
      <c r="D135" s="18">
        <v>1989850</v>
      </c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>
      <c r="A136" s="16" t="s">
        <v>109</v>
      </c>
      <c r="B136" s="16">
        <v>0</v>
      </c>
      <c r="C136" s="16"/>
      <c r="D136" s="18">
        <v>600935</v>
      </c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21" t="s">
        <v>50</v>
      </c>
      <c r="B137" s="21">
        <f>B135+B136</f>
        <v>0</v>
      </c>
      <c r="C137" s="21"/>
      <c r="D137" s="22">
        <f>D135+D136</f>
        <v>2590785</v>
      </c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6:13" ht="12.75">
      <c r="F366" s="3"/>
      <c r="G366" s="3"/>
      <c r="H366" s="3"/>
      <c r="I366" s="3"/>
      <c r="J366" s="3"/>
      <c r="K366" s="3"/>
      <c r="L366" s="3"/>
      <c r="M366" s="3"/>
    </row>
  </sheetData>
  <sheetProtection selectLockedCells="1" selectUnlockedCells="1"/>
  <mergeCells count="19">
    <mergeCell ref="A2:G2"/>
    <mergeCell ref="A4:G4"/>
    <mergeCell ref="A5:A6"/>
    <mergeCell ref="B5:C5"/>
    <mergeCell ref="D5:D6"/>
    <mergeCell ref="B6:C6"/>
    <mergeCell ref="A11:G11"/>
    <mergeCell ref="A20:G20"/>
    <mergeCell ref="A44:G44"/>
    <mergeCell ref="A55:G55"/>
    <mergeCell ref="A71:G71"/>
    <mergeCell ref="A80:G80"/>
    <mergeCell ref="A90:G90"/>
    <mergeCell ref="A92:G92"/>
    <mergeCell ref="A97:G97"/>
    <mergeCell ref="A99:G99"/>
    <mergeCell ref="A107:G107"/>
    <mergeCell ref="A111:G111"/>
    <mergeCell ref="A118:G118"/>
  </mergeCells>
  <printOptions/>
  <pageMargins left="0.7083333333333334" right="0.7083333333333334" top="0.7479166666666667" bottom="0.7479166666666667" header="0.5118055555555555" footer="0.5118055555555555"/>
  <pageSetup fitToHeight="3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M366"/>
  <sheetViews>
    <sheetView workbookViewId="0" topLeftCell="A121">
      <selection activeCell="A130" sqref="A130"/>
    </sheetView>
  </sheetViews>
  <sheetFormatPr defaultColWidth="8.00390625" defaultRowHeight="12.75"/>
  <cols>
    <col min="1" max="1" width="18.00390625" style="0" customWidth="1"/>
    <col min="2" max="2" width="13.625" style="0" customWidth="1"/>
    <col min="3" max="3" width="13.00390625" style="0" customWidth="1"/>
    <col min="4" max="4" width="12.375" style="0" customWidth="1"/>
    <col min="5" max="5" width="15.625" style="0" customWidth="1"/>
    <col min="6" max="6" width="12.75390625" style="0" customWidth="1"/>
    <col min="7" max="7" width="13.625" style="0" customWidth="1"/>
    <col min="8" max="16384" width="9.00390625" style="0" customWidth="1"/>
  </cols>
  <sheetData>
    <row r="2" spans="1:13" ht="59.25" customHeight="1">
      <c r="A2" s="1" t="s">
        <v>159</v>
      </c>
      <c r="B2" s="1"/>
      <c r="C2" s="1"/>
      <c r="D2" s="1"/>
      <c r="E2" s="1"/>
      <c r="F2" s="1"/>
      <c r="G2" s="1"/>
      <c r="H2" s="2"/>
      <c r="I2" s="2"/>
      <c r="J2" s="2"/>
      <c r="K2" s="3"/>
      <c r="L2" s="3"/>
      <c r="M2" s="3"/>
    </row>
    <row r="3" spans="1:1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40.5" customHeight="1">
      <c r="A4" s="4" t="s">
        <v>1</v>
      </c>
      <c r="B4" s="4"/>
      <c r="C4" s="4"/>
      <c r="D4" s="4"/>
      <c r="E4" s="4"/>
      <c r="F4" s="4"/>
      <c r="G4" s="4"/>
      <c r="H4" s="3"/>
      <c r="I4" s="3"/>
      <c r="J4" s="3"/>
      <c r="K4" s="3"/>
      <c r="L4" s="3"/>
      <c r="M4" s="3"/>
    </row>
    <row r="5" spans="1:13" ht="12.75" customHeight="1">
      <c r="A5" s="5" t="s">
        <v>2</v>
      </c>
      <c r="B5" s="6" t="s">
        <v>3</v>
      </c>
      <c r="C5" s="6"/>
      <c r="D5" s="7" t="s">
        <v>4</v>
      </c>
      <c r="E5" s="3"/>
      <c r="F5" s="3"/>
      <c r="G5" s="3"/>
      <c r="H5" s="3"/>
      <c r="I5" s="3"/>
      <c r="J5" s="3"/>
      <c r="K5" s="3"/>
      <c r="L5" s="3"/>
      <c r="M5" s="3"/>
    </row>
    <row r="6" spans="1:13" ht="12.75" customHeight="1">
      <c r="A6" s="5"/>
      <c r="B6" s="8">
        <v>12</v>
      </c>
      <c r="C6" s="8"/>
      <c r="D6" s="7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 s="3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 s="3" t="s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42" customHeight="1">
      <c r="A11" s="4" t="s">
        <v>7</v>
      </c>
      <c r="B11" s="4"/>
      <c r="C11" s="4"/>
      <c r="D11" s="4"/>
      <c r="E11" s="4"/>
      <c r="F11" s="4"/>
      <c r="G11" s="4"/>
      <c r="H11" s="3"/>
      <c r="I11" s="3"/>
      <c r="J11" s="3"/>
      <c r="K11" s="3"/>
      <c r="L11" s="3"/>
      <c r="M11" s="3"/>
    </row>
    <row r="12" spans="1:1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 s="3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3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99" customHeight="1">
      <c r="A17" s="9" t="s">
        <v>10</v>
      </c>
      <c r="B17" s="9" t="s">
        <v>11</v>
      </c>
      <c r="C17" s="10" t="s">
        <v>12</v>
      </c>
      <c r="D17" s="9" t="s">
        <v>13</v>
      </c>
      <c r="E17" s="9" t="s">
        <v>111</v>
      </c>
      <c r="F17" s="9" t="s">
        <v>15</v>
      </c>
      <c r="G17" s="3"/>
      <c r="H17" s="3"/>
      <c r="I17" s="3"/>
      <c r="J17" s="3"/>
      <c r="K17" s="3"/>
      <c r="L17" s="3"/>
      <c r="M17" s="3"/>
    </row>
    <row r="18" spans="1:13" ht="29.25" customHeight="1">
      <c r="A18" s="9">
        <v>104</v>
      </c>
      <c r="B18" s="10">
        <v>0</v>
      </c>
      <c r="C18" s="9">
        <v>25</v>
      </c>
      <c r="D18" s="9">
        <v>12</v>
      </c>
      <c r="E18" s="11">
        <v>0</v>
      </c>
      <c r="F18" s="11">
        <v>91</v>
      </c>
      <c r="G18" s="3"/>
      <c r="H18" s="3"/>
      <c r="I18" s="3"/>
      <c r="J18" s="3"/>
      <c r="K18" s="3"/>
      <c r="L18" s="3"/>
      <c r="M18" s="3"/>
    </row>
    <row r="19" spans="1:1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27" customHeight="1">
      <c r="A20" s="12" t="s">
        <v>16</v>
      </c>
      <c r="B20" s="12"/>
      <c r="C20" s="12"/>
      <c r="D20" s="12"/>
      <c r="E20" s="12"/>
      <c r="F20" s="12"/>
      <c r="G20" s="12"/>
      <c r="H20" s="13"/>
      <c r="I20" s="13"/>
      <c r="J20" s="13"/>
      <c r="K20" s="3"/>
      <c r="L20" s="3"/>
      <c r="M20" s="3"/>
    </row>
    <row r="21" spans="1:13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 s="3" t="s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3" t="s">
        <v>18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3" t="s">
        <v>19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 s="3" t="s">
        <v>20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 t="s">
        <v>21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 s="3" t="s">
        <v>22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s="3" t="s">
        <v>23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63.75" customHeight="1">
      <c r="A36" s="14" t="s">
        <v>24</v>
      </c>
      <c r="B36" s="15" t="s">
        <v>25</v>
      </c>
      <c r="C36" s="14" t="s">
        <v>26</v>
      </c>
      <c r="D36" s="14" t="s">
        <v>27</v>
      </c>
      <c r="E36" s="14" t="s">
        <v>28</v>
      </c>
      <c r="F36" s="14" t="s">
        <v>29</v>
      </c>
      <c r="G36" s="3"/>
      <c r="H36" s="3"/>
      <c r="I36" s="3"/>
      <c r="J36" s="3"/>
      <c r="K36" s="3"/>
      <c r="L36" s="3"/>
      <c r="M36" s="3"/>
    </row>
    <row r="37" spans="1:13" ht="12.75">
      <c r="A37" s="16" t="s">
        <v>30</v>
      </c>
      <c r="B37" s="17">
        <f>F18</f>
        <v>91</v>
      </c>
      <c r="C37" s="18">
        <f>F53</f>
        <v>6351.9571428571435</v>
      </c>
      <c r="D37" s="18">
        <f>E53</f>
        <v>578028.1000000001</v>
      </c>
      <c r="E37" s="19">
        <f>G53</f>
        <v>0.9154227969193885</v>
      </c>
      <c r="F37" s="18">
        <f aca="true" t="shared" si="0" ref="F37:F40">D37*E37</f>
        <v>529140.1000000001</v>
      </c>
      <c r="G37" s="3"/>
      <c r="H37" s="3"/>
      <c r="I37" s="3"/>
      <c r="J37" s="3"/>
      <c r="K37" s="3"/>
      <c r="L37" s="3"/>
      <c r="M37" s="3"/>
    </row>
    <row r="38" spans="1:13" ht="12.75">
      <c r="A38" s="16" t="s">
        <v>31</v>
      </c>
      <c r="B38" s="17">
        <f aca="true" t="shared" si="1" ref="B38:B41">B37</f>
        <v>91</v>
      </c>
      <c r="C38" s="18">
        <f>F69</f>
        <v>13264.735164835165</v>
      </c>
      <c r="D38" s="18">
        <f>E69</f>
        <v>1207090.9</v>
      </c>
      <c r="E38" s="19">
        <f>G69</f>
        <v>0.7472327891793402</v>
      </c>
      <c r="F38" s="18">
        <f t="shared" si="0"/>
        <v>901977.9</v>
      </c>
      <c r="G38" s="3"/>
      <c r="H38" s="3"/>
      <c r="I38" s="3"/>
      <c r="J38" s="3"/>
      <c r="K38" s="3"/>
      <c r="L38" s="3"/>
      <c r="M38" s="3"/>
    </row>
    <row r="39" spans="1:13" ht="12.75">
      <c r="A39" s="16" t="s">
        <v>32</v>
      </c>
      <c r="B39" s="17">
        <f t="shared" si="1"/>
        <v>91</v>
      </c>
      <c r="C39" s="18">
        <f>C78</f>
        <v>807.1758241758242</v>
      </c>
      <c r="D39" s="18">
        <f>B78</f>
        <v>73453</v>
      </c>
      <c r="E39" s="19">
        <f>D78</f>
        <v>0.7117748764516085</v>
      </c>
      <c r="F39" s="18">
        <f t="shared" si="0"/>
        <v>52282</v>
      </c>
      <c r="G39" s="3"/>
      <c r="H39" s="3"/>
      <c r="I39" s="3"/>
      <c r="J39" s="3"/>
      <c r="K39" s="3"/>
      <c r="L39" s="3"/>
      <c r="M39" s="3"/>
    </row>
    <row r="40" spans="1:13" ht="12.75">
      <c r="A40" s="16" t="s">
        <v>33</v>
      </c>
      <c r="B40" s="17">
        <f t="shared" si="1"/>
        <v>91</v>
      </c>
      <c r="C40" s="18">
        <f>F88</f>
        <v>0</v>
      </c>
      <c r="D40" s="18">
        <f>E88</f>
        <v>0</v>
      </c>
      <c r="E40" s="19">
        <v>0</v>
      </c>
      <c r="F40" s="18">
        <f t="shared" si="0"/>
        <v>0</v>
      </c>
      <c r="G40" s="3"/>
      <c r="H40" s="3"/>
      <c r="I40" s="3"/>
      <c r="J40" s="3"/>
      <c r="K40" s="3"/>
      <c r="L40" s="3"/>
      <c r="M40" s="3"/>
    </row>
    <row r="41" spans="1:13" ht="12.75">
      <c r="A41" s="16" t="s">
        <v>34</v>
      </c>
      <c r="B41" s="17">
        <f t="shared" si="1"/>
        <v>91</v>
      </c>
      <c r="C41" s="18">
        <v>0</v>
      </c>
      <c r="D41" s="18">
        <v>0</v>
      </c>
      <c r="E41" s="19">
        <v>1</v>
      </c>
      <c r="F41" s="18">
        <f>D137</f>
        <v>879138</v>
      </c>
      <c r="G41" s="3"/>
      <c r="H41" s="3"/>
      <c r="I41" s="3"/>
      <c r="J41" s="3"/>
      <c r="K41" s="3"/>
      <c r="L41" s="3"/>
      <c r="M41" s="3"/>
    </row>
    <row r="42" spans="1:13" ht="12.75">
      <c r="A42" s="20" t="s">
        <v>35</v>
      </c>
      <c r="B42" s="21"/>
      <c r="C42" s="22">
        <f>D42/B40</f>
        <v>20423.86813186813</v>
      </c>
      <c r="D42" s="22">
        <f>SUM(D37:D40)</f>
        <v>1858572</v>
      </c>
      <c r="E42" s="23">
        <f>F42/D42</f>
        <v>1.2711576414580656</v>
      </c>
      <c r="F42" s="18">
        <f>F37+F38+F39+F40+F41</f>
        <v>2362538</v>
      </c>
      <c r="G42" s="24">
        <f>F42+E95</f>
        <v>3131432</v>
      </c>
      <c r="H42" s="3"/>
      <c r="I42" s="3"/>
      <c r="J42" s="3"/>
      <c r="K42" s="3"/>
      <c r="L42" s="3"/>
      <c r="M42" s="3"/>
    </row>
    <row r="43" spans="1:13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30.75" customHeight="1">
      <c r="A44" s="25" t="s">
        <v>160</v>
      </c>
      <c r="B44" s="25"/>
      <c r="C44" s="25"/>
      <c r="D44" s="25"/>
      <c r="E44" s="25"/>
      <c r="F44" s="25"/>
      <c r="G44" s="25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3" t="s">
        <v>37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63.75">
      <c r="A48" s="14" t="s">
        <v>38</v>
      </c>
      <c r="B48" s="14" t="s">
        <v>39</v>
      </c>
      <c r="C48" s="14" t="s">
        <v>40</v>
      </c>
      <c r="D48" s="14" t="s">
        <v>41</v>
      </c>
      <c r="E48" s="14" t="s">
        <v>42</v>
      </c>
      <c r="F48" s="14" t="s">
        <v>26</v>
      </c>
      <c r="G48" s="14" t="s">
        <v>28</v>
      </c>
      <c r="H48" s="3"/>
      <c r="I48" s="3"/>
      <c r="J48" s="3"/>
      <c r="K48" s="3"/>
      <c r="L48" s="3"/>
      <c r="M48" s="3"/>
    </row>
    <row r="49" spans="1:13" ht="25.5">
      <c r="A49" s="26" t="s">
        <v>43</v>
      </c>
      <c r="B49" s="27" t="s">
        <v>44</v>
      </c>
      <c r="C49" s="19">
        <v>0</v>
      </c>
      <c r="D49" s="19">
        <v>0</v>
      </c>
      <c r="E49" s="19">
        <v>0</v>
      </c>
      <c r="F49" s="19">
        <f aca="true" t="shared" si="2" ref="F49:F52">E49/$B$40</f>
        <v>0</v>
      </c>
      <c r="G49" s="19">
        <v>0</v>
      </c>
      <c r="H49" s="3"/>
      <c r="I49" s="3"/>
      <c r="J49" s="3"/>
      <c r="K49" s="3"/>
      <c r="L49" s="3"/>
      <c r="M49" s="3"/>
    </row>
    <row r="50" spans="1:13" ht="25.5">
      <c r="A50" s="26" t="s">
        <v>45</v>
      </c>
      <c r="B50" s="27" t="s">
        <v>46</v>
      </c>
      <c r="C50" s="19">
        <f>26000/2</f>
        <v>13000</v>
      </c>
      <c r="D50" s="19">
        <f aca="true" t="shared" si="3" ref="D50:D52">E50/C50</f>
        <v>7.488192307692308</v>
      </c>
      <c r="E50" s="19">
        <f>194693/2</f>
        <v>97346.5</v>
      </c>
      <c r="F50" s="19">
        <f t="shared" si="2"/>
        <v>1069.7417582417581</v>
      </c>
      <c r="G50" s="19">
        <f>(194693/2/E50)</f>
        <v>1</v>
      </c>
      <c r="H50" s="3"/>
      <c r="I50" s="3"/>
      <c r="J50" s="3"/>
      <c r="K50" s="3"/>
      <c r="L50" s="3"/>
      <c r="M50" s="3"/>
    </row>
    <row r="51" spans="1:13" ht="25.5">
      <c r="A51" s="26" t="s">
        <v>47</v>
      </c>
      <c r="B51" s="27" t="s">
        <v>48</v>
      </c>
      <c r="C51" s="19">
        <f>97700*90%</f>
        <v>87930</v>
      </c>
      <c r="D51" s="19">
        <f t="shared" si="3"/>
        <v>4.72532241555783</v>
      </c>
      <c r="E51" s="19">
        <f>461664*90%</f>
        <v>415497.60000000003</v>
      </c>
      <c r="F51" s="19">
        <f t="shared" si="2"/>
        <v>4565.907692307693</v>
      </c>
      <c r="G51" s="19">
        <f>(461664*90%/E51)</f>
        <v>1</v>
      </c>
      <c r="H51" s="3"/>
      <c r="I51" s="3"/>
      <c r="J51" s="3"/>
      <c r="K51" s="3"/>
      <c r="L51" s="3"/>
      <c r="M51" s="3"/>
    </row>
    <row r="52" spans="1:13" ht="25.5">
      <c r="A52" s="26" t="s">
        <v>49</v>
      </c>
      <c r="B52" s="27" t="s">
        <v>46</v>
      </c>
      <c r="C52" s="19">
        <f>1620+1620</f>
        <v>3240</v>
      </c>
      <c r="D52" s="19">
        <f t="shared" si="3"/>
        <v>20.118518518518517</v>
      </c>
      <c r="E52" s="19">
        <v>65184</v>
      </c>
      <c r="F52" s="19">
        <f t="shared" si="2"/>
        <v>716.3076923076923</v>
      </c>
      <c r="G52" s="19">
        <f>(16296/E52)</f>
        <v>0.25</v>
      </c>
      <c r="H52" s="3"/>
      <c r="I52" s="3"/>
      <c r="J52" s="3"/>
      <c r="K52" s="3"/>
      <c r="L52" s="3"/>
      <c r="M52" s="3"/>
    </row>
    <row r="53" spans="1:13" ht="20.25" customHeight="1">
      <c r="A53" s="28" t="s">
        <v>50</v>
      </c>
      <c r="B53" s="29"/>
      <c r="C53" s="23"/>
      <c r="D53" s="23"/>
      <c r="E53" s="23">
        <f>E49+E50+E51+E52</f>
        <v>578028.1000000001</v>
      </c>
      <c r="F53" s="23">
        <f>F49+F50+F51+F52</f>
        <v>6351.9571428571435</v>
      </c>
      <c r="G53" s="23">
        <f>(194693/2+461664*90%+16296)/E53</f>
        <v>0.9154227969193885</v>
      </c>
      <c r="H53" s="3"/>
      <c r="I53" s="3"/>
      <c r="J53" s="3"/>
      <c r="K53" s="3"/>
      <c r="L53" s="3"/>
      <c r="M53" s="3"/>
    </row>
    <row r="54" spans="1:13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24" customHeight="1">
      <c r="A55" s="25" t="s">
        <v>161</v>
      </c>
      <c r="B55" s="25"/>
      <c r="C55" s="25"/>
      <c r="D55" s="25"/>
      <c r="E55" s="25"/>
      <c r="F55" s="25"/>
      <c r="G55" s="25"/>
      <c r="H55" s="3"/>
      <c r="I55" s="3"/>
      <c r="J55" s="3"/>
      <c r="K55" s="3"/>
      <c r="L55" s="3"/>
      <c r="M55" s="3"/>
    </row>
    <row r="56" spans="1:1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75">
      <c r="A57" s="3" t="s">
        <v>52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63.75">
      <c r="A59" s="14" t="s">
        <v>38</v>
      </c>
      <c r="B59" s="14" t="s">
        <v>39</v>
      </c>
      <c r="C59" s="14" t="s">
        <v>53</v>
      </c>
      <c r="D59" s="14" t="s">
        <v>54</v>
      </c>
      <c r="E59" s="14" t="s">
        <v>42</v>
      </c>
      <c r="F59" s="14" t="s">
        <v>26</v>
      </c>
      <c r="G59" s="14" t="s">
        <v>28</v>
      </c>
      <c r="H59" s="3"/>
      <c r="I59" s="3"/>
      <c r="J59" s="3"/>
      <c r="K59" s="3"/>
      <c r="L59" s="3"/>
      <c r="M59" s="3"/>
    </row>
    <row r="60" spans="1:13" ht="45.75" customHeight="1">
      <c r="A60" s="26" t="s">
        <v>55</v>
      </c>
      <c r="B60" s="30"/>
      <c r="C60" s="19"/>
      <c r="D60" s="19"/>
      <c r="E60" s="19">
        <v>61086</v>
      </c>
      <c r="F60" s="19">
        <f aca="true" t="shared" si="4" ref="F60:F68">E60/$B$40</f>
        <v>671.2747252747253</v>
      </c>
      <c r="G60" s="19">
        <f>(43480/E60)</f>
        <v>0.7117833873555316</v>
      </c>
      <c r="H60" s="3"/>
      <c r="I60" s="3"/>
      <c r="J60" s="3"/>
      <c r="K60" s="3"/>
      <c r="L60" s="3"/>
      <c r="M60" s="3"/>
    </row>
    <row r="61" spans="1:13" ht="25.5">
      <c r="A61" s="26" t="s">
        <v>56</v>
      </c>
      <c r="B61" s="30" t="s">
        <v>57</v>
      </c>
      <c r="C61" s="19">
        <v>1</v>
      </c>
      <c r="D61" s="19">
        <f>E61/C61</f>
        <v>134468</v>
      </c>
      <c r="E61" s="19">
        <v>134468</v>
      </c>
      <c r="F61" s="19">
        <f t="shared" si="4"/>
        <v>1477.6703296703297</v>
      </c>
      <c r="G61" s="19">
        <f>(97136/E61)</f>
        <v>0.7223726090965881</v>
      </c>
      <c r="H61" s="3"/>
      <c r="I61" s="3"/>
      <c r="J61" s="3"/>
      <c r="K61" s="3"/>
      <c r="L61" s="3"/>
      <c r="M61" s="3"/>
    </row>
    <row r="62" spans="1:13" ht="18" customHeight="1">
      <c r="A62" s="26" t="s">
        <v>58</v>
      </c>
      <c r="B62" s="30"/>
      <c r="C62" s="19"/>
      <c r="D62" s="19"/>
      <c r="E62" s="19">
        <v>0</v>
      </c>
      <c r="F62" s="19">
        <f t="shared" si="4"/>
        <v>0</v>
      </c>
      <c r="G62" s="19" t="e">
        <f>(0/E62)</f>
        <v>#DIV/0!</v>
      </c>
      <c r="H62" s="3"/>
      <c r="I62" s="3"/>
      <c r="J62" s="3"/>
      <c r="K62" s="3"/>
      <c r="L62" s="3"/>
      <c r="M62" s="3"/>
    </row>
    <row r="63" spans="1:13" ht="18" customHeight="1">
      <c r="A63" s="26" t="s">
        <v>59</v>
      </c>
      <c r="B63" s="30"/>
      <c r="C63" s="19"/>
      <c r="D63" s="19"/>
      <c r="E63" s="19">
        <v>809640</v>
      </c>
      <c r="F63" s="19">
        <f t="shared" si="4"/>
        <v>8897.142857142857</v>
      </c>
      <c r="G63" s="19">
        <f>(576292/E63)</f>
        <v>0.7117879551405563</v>
      </c>
      <c r="H63" s="3"/>
      <c r="I63" s="3"/>
      <c r="J63" s="3"/>
      <c r="K63" s="3"/>
      <c r="L63" s="3"/>
      <c r="M63" s="3"/>
    </row>
    <row r="64" spans="1:13" ht="25.5">
      <c r="A64" s="26" t="s">
        <v>43</v>
      </c>
      <c r="B64" s="27" t="s">
        <v>44</v>
      </c>
      <c r="C64" s="19">
        <v>0</v>
      </c>
      <c r="D64" s="19">
        <v>0</v>
      </c>
      <c r="E64" s="19">
        <v>0</v>
      </c>
      <c r="F64" s="19">
        <f t="shared" si="4"/>
        <v>0</v>
      </c>
      <c r="G64" s="19">
        <v>0</v>
      </c>
      <c r="H64" s="3"/>
      <c r="I64" s="3"/>
      <c r="J64" s="3"/>
      <c r="K64" s="3"/>
      <c r="L64" s="3"/>
      <c r="M64" s="3"/>
    </row>
    <row r="65" spans="1:13" ht="25.5">
      <c r="A65" s="26" t="s">
        <v>45</v>
      </c>
      <c r="B65" s="27" t="s">
        <v>46</v>
      </c>
      <c r="C65" s="19">
        <f>26000/2</f>
        <v>13000</v>
      </c>
      <c r="D65" s="19">
        <f aca="true" t="shared" si="5" ref="D65:D66">E65/C65</f>
        <v>7.488192307692308</v>
      </c>
      <c r="E65" s="19">
        <f>194693/2</f>
        <v>97346.5</v>
      </c>
      <c r="F65" s="19">
        <f t="shared" si="4"/>
        <v>1069.7417582417581</v>
      </c>
      <c r="G65" s="19">
        <f>(194693/2/E65)</f>
        <v>1</v>
      </c>
      <c r="H65" s="3"/>
      <c r="I65" s="3"/>
      <c r="J65" s="3"/>
      <c r="K65" s="3"/>
      <c r="L65" s="3"/>
      <c r="M65" s="3"/>
    </row>
    <row r="66" spans="1:13" ht="25.5">
      <c r="A66" s="26" t="s">
        <v>47</v>
      </c>
      <c r="B66" s="27" t="s">
        <v>48</v>
      </c>
      <c r="C66" s="19">
        <f>97700*10%</f>
        <v>9770</v>
      </c>
      <c r="D66" s="19">
        <f t="shared" si="5"/>
        <v>4.72532241555783</v>
      </c>
      <c r="E66" s="19">
        <f>461664*10%</f>
        <v>46166.4</v>
      </c>
      <c r="F66" s="19">
        <f t="shared" si="4"/>
        <v>507.32307692307694</v>
      </c>
      <c r="G66" s="19">
        <f>(461664*10%/E66)</f>
        <v>1</v>
      </c>
      <c r="H66" s="3"/>
      <c r="I66" s="3"/>
      <c r="J66" s="3"/>
      <c r="K66" s="3"/>
      <c r="L66" s="3"/>
      <c r="M66" s="3"/>
    </row>
    <row r="67" spans="1:13" ht="25.5" customHeight="1">
      <c r="A67" s="26" t="s">
        <v>60</v>
      </c>
      <c r="B67" s="30"/>
      <c r="C67" s="19"/>
      <c r="D67" s="19"/>
      <c r="E67" s="19">
        <v>12428</v>
      </c>
      <c r="F67" s="19">
        <f t="shared" si="4"/>
        <v>136.57142857142858</v>
      </c>
      <c r="G67" s="19">
        <f>(8846/E67)</f>
        <v>0.7117798519472159</v>
      </c>
      <c r="H67" s="3"/>
      <c r="I67" s="3"/>
      <c r="J67" s="3"/>
      <c r="K67" s="3"/>
      <c r="L67" s="3"/>
      <c r="M67" s="3"/>
    </row>
    <row r="68" spans="1:13" ht="12.75">
      <c r="A68" s="26" t="s">
        <v>61</v>
      </c>
      <c r="B68" s="30"/>
      <c r="C68" s="19"/>
      <c r="D68" s="19"/>
      <c r="E68" s="19">
        <v>45956</v>
      </c>
      <c r="F68" s="19">
        <f t="shared" si="4"/>
        <v>505.010989010989</v>
      </c>
      <c r="G68" s="19">
        <f>(32711/E68)</f>
        <v>0.7117895378187832</v>
      </c>
      <c r="H68" s="3"/>
      <c r="I68" s="3"/>
      <c r="J68" s="3"/>
      <c r="K68" s="3"/>
      <c r="L68" s="3"/>
      <c r="M68" s="3"/>
    </row>
    <row r="69" spans="1:13" ht="24.75" customHeight="1">
      <c r="A69" s="28" t="s">
        <v>50</v>
      </c>
      <c r="B69" s="31"/>
      <c r="C69" s="23"/>
      <c r="D69" s="23"/>
      <c r="E69" s="23">
        <f>SUM(E60:E68)</f>
        <v>1207090.9</v>
      </c>
      <c r="F69" s="23">
        <f>SUM(F60:F68)</f>
        <v>13264.735164835165</v>
      </c>
      <c r="G69" s="23">
        <f>(43480+97136+576292+194693/2+461664*10%+32711+8846)/E69</f>
        <v>0.7472327891793402</v>
      </c>
      <c r="H69" s="3"/>
      <c r="I69" s="3"/>
      <c r="J69" s="3"/>
      <c r="K69" s="3"/>
      <c r="L69" s="3"/>
      <c r="M69" s="3"/>
    </row>
    <row r="70" spans="1:13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29.25" customHeight="1">
      <c r="A71" s="25" t="s">
        <v>162</v>
      </c>
      <c r="B71" s="25"/>
      <c r="C71" s="25"/>
      <c r="D71" s="25"/>
      <c r="E71" s="25"/>
      <c r="F71" s="25"/>
      <c r="G71" s="25"/>
      <c r="H71" s="3"/>
      <c r="I71" s="3"/>
      <c r="J71" s="3"/>
      <c r="K71" s="3"/>
      <c r="L71" s="3"/>
      <c r="M71" s="3"/>
    </row>
    <row r="72" spans="1:13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>
      <c r="A73" s="3" t="s">
        <v>63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63.75">
      <c r="A75" s="14" t="s">
        <v>38</v>
      </c>
      <c r="B75" s="14" t="s">
        <v>42</v>
      </c>
      <c r="C75" s="14" t="s">
        <v>26</v>
      </c>
      <c r="D75" s="14" t="s">
        <v>28</v>
      </c>
      <c r="E75" s="32"/>
      <c r="F75" s="32"/>
      <c r="G75" s="32"/>
      <c r="H75" s="3"/>
      <c r="I75" s="3"/>
      <c r="J75" s="3"/>
      <c r="K75" s="3"/>
      <c r="L75" s="3"/>
      <c r="M75" s="3"/>
    </row>
    <row r="76" spans="1:13" ht="51">
      <c r="A76" s="26" t="s">
        <v>64</v>
      </c>
      <c r="B76" s="33">
        <v>1192</v>
      </c>
      <c r="C76" s="19">
        <f aca="true" t="shared" si="6" ref="C76:C77">B76/$B$40</f>
        <v>13.098901098901099</v>
      </c>
      <c r="D76" s="19">
        <f>(848/B76)</f>
        <v>0.7114093959731543</v>
      </c>
      <c r="E76" s="34"/>
      <c r="F76" s="35"/>
      <c r="G76" s="35"/>
      <c r="H76" s="3"/>
      <c r="I76" s="3"/>
      <c r="J76" s="3"/>
      <c r="K76" s="3"/>
      <c r="L76" s="3"/>
      <c r="M76" s="3"/>
    </row>
    <row r="77" spans="1:13" ht="19.5" customHeight="1">
      <c r="A77" s="26" t="s">
        <v>65</v>
      </c>
      <c r="B77" s="33">
        <f>54806+17455</f>
        <v>72261</v>
      </c>
      <c r="C77" s="19">
        <f t="shared" si="6"/>
        <v>794.0769230769231</v>
      </c>
      <c r="D77" s="19">
        <f>(39010+12424)/B77</f>
        <v>0.7117809053292924</v>
      </c>
      <c r="E77" s="34"/>
      <c r="F77" s="35"/>
      <c r="G77" s="35"/>
      <c r="H77" s="3"/>
      <c r="I77" s="3"/>
      <c r="J77" s="3"/>
      <c r="K77" s="3"/>
      <c r="L77" s="3"/>
      <c r="M77" s="3"/>
    </row>
    <row r="78" spans="1:13" ht="27" customHeight="1">
      <c r="A78" s="28" t="s">
        <v>50</v>
      </c>
      <c r="B78" s="36">
        <f>SUM(B76:B77)</f>
        <v>73453</v>
      </c>
      <c r="C78" s="36">
        <f>SUM(C76:C77)</f>
        <v>807.1758241758242</v>
      </c>
      <c r="D78" s="36">
        <f>(39010+12424+848)/B78</f>
        <v>0.7117748764516085</v>
      </c>
      <c r="E78" s="37"/>
      <c r="F78" s="37"/>
      <c r="G78" s="37"/>
      <c r="H78" s="3"/>
      <c r="I78" s="3"/>
      <c r="J78" s="3"/>
      <c r="K78" s="3"/>
      <c r="L78" s="3"/>
      <c r="M78" s="3"/>
    </row>
    <row r="79" spans="1:13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29.25" customHeight="1">
      <c r="A80" s="25" t="s">
        <v>163</v>
      </c>
      <c r="B80" s="25"/>
      <c r="C80" s="25"/>
      <c r="D80" s="25"/>
      <c r="E80" s="25"/>
      <c r="F80" s="25"/>
      <c r="G80" s="25"/>
      <c r="H80" s="3"/>
      <c r="I80" s="3"/>
      <c r="J80" s="3"/>
      <c r="K80" s="3"/>
      <c r="L80" s="3"/>
      <c r="M80" s="3"/>
    </row>
    <row r="81" spans="1:13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 hidden="1">
      <c r="A82" s="3" t="s">
        <v>67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63.75" hidden="1">
      <c r="A84" s="38" t="s">
        <v>68</v>
      </c>
      <c r="B84" s="10" t="s">
        <v>69</v>
      </c>
      <c r="C84" s="14" t="s">
        <v>54</v>
      </c>
      <c r="D84" s="10" t="s">
        <v>70</v>
      </c>
      <c r="E84" s="39" t="s">
        <v>71</v>
      </c>
      <c r="F84" s="14" t="s">
        <v>26</v>
      </c>
      <c r="G84" s="14" t="s">
        <v>28</v>
      </c>
      <c r="H84" s="3"/>
      <c r="I84" s="3"/>
      <c r="J84" s="3"/>
      <c r="K84" s="3"/>
      <c r="L84" s="3"/>
      <c r="M84" s="3"/>
    </row>
    <row r="85" spans="1:13" ht="12.75" hidden="1">
      <c r="A85" s="40" t="s">
        <v>72</v>
      </c>
      <c r="B85" s="41">
        <v>2</v>
      </c>
      <c r="C85" s="42">
        <f aca="true" t="shared" si="7" ref="C85:C86">E85/D85/B85</f>
        <v>0</v>
      </c>
      <c r="D85" s="43">
        <v>12</v>
      </c>
      <c r="E85" s="44">
        <v>0</v>
      </c>
      <c r="F85" s="19">
        <f aca="true" t="shared" si="8" ref="F85:F88">E85/$B$40</f>
        <v>0</v>
      </c>
      <c r="G85" s="19" t="e">
        <f>(0/E85)*2</f>
        <v>#DIV/0!</v>
      </c>
      <c r="H85" s="3"/>
      <c r="I85" s="3"/>
      <c r="J85" s="3"/>
      <c r="K85" s="3"/>
      <c r="L85" s="3"/>
      <c r="M85" s="3"/>
    </row>
    <row r="86" spans="1:13" ht="12.75" hidden="1">
      <c r="A86" s="40" t="s">
        <v>73</v>
      </c>
      <c r="B86" s="39">
        <v>1</v>
      </c>
      <c r="C86" s="42">
        <f t="shared" si="7"/>
        <v>0</v>
      </c>
      <c r="D86" s="43">
        <v>12</v>
      </c>
      <c r="E86" s="44">
        <v>0</v>
      </c>
      <c r="F86" s="19">
        <f t="shared" si="8"/>
        <v>0</v>
      </c>
      <c r="G86" s="19" t="e">
        <f aca="true" t="shared" si="9" ref="G86:G87">(0/E86)</f>
        <v>#DIV/0!</v>
      </c>
      <c r="H86" s="3"/>
      <c r="I86" s="3"/>
      <c r="J86" s="3"/>
      <c r="K86" s="3"/>
      <c r="L86" s="3"/>
      <c r="M86" s="3"/>
    </row>
    <row r="87" spans="1:13" ht="12.75" hidden="1">
      <c r="A87" s="40" t="s">
        <v>74</v>
      </c>
      <c r="B87" s="41"/>
      <c r="C87" s="41"/>
      <c r="D87" s="43"/>
      <c r="E87" s="44">
        <v>0</v>
      </c>
      <c r="F87" s="19">
        <f t="shared" si="8"/>
        <v>0</v>
      </c>
      <c r="G87" s="19" t="e">
        <f t="shared" si="9"/>
        <v>#DIV/0!</v>
      </c>
      <c r="H87" s="3"/>
      <c r="I87" s="3"/>
      <c r="J87" s="3"/>
      <c r="K87" s="3"/>
      <c r="L87" s="3"/>
      <c r="M87" s="3"/>
    </row>
    <row r="88" spans="1:13" ht="12.75" hidden="1">
      <c r="A88" s="45" t="s">
        <v>75</v>
      </c>
      <c r="B88" s="46"/>
      <c r="C88" s="46"/>
      <c r="D88" s="46"/>
      <c r="E88" s="47">
        <f>E85+E86+E87</f>
        <v>0</v>
      </c>
      <c r="F88" s="23">
        <f t="shared" si="8"/>
        <v>0</v>
      </c>
      <c r="G88" s="23" t="e">
        <f>0/E88</f>
        <v>#DIV/0!</v>
      </c>
      <c r="H88" s="3"/>
      <c r="I88" s="3"/>
      <c r="J88" s="3"/>
      <c r="K88" s="3"/>
      <c r="L88" s="3"/>
      <c r="M88" s="3"/>
    </row>
    <row r="89" spans="1:13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26.25" customHeight="1" hidden="1">
      <c r="A90" s="25" t="s">
        <v>164</v>
      </c>
      <c r="B90" s="25"/>
      <c r="C90" s="25"/>
      <c r="D90" s="25"/>
      <c r="E90" s="25"/>
      <c r="F90" s="25"/>
      <c r="G90" s="25"/>
      <c r="H90" s="3"/>
      <c r="I90" s="3"/>
      <c r="J90" s="3"/>
      <c r="K90" s="3"/>
      <c r="L90" s="3"/>
      <c r="M90" s="3"/>
    </row>
    <row r="91" spans="1:1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45" customHeight="1">
      <c r="A92" s="12" t="s">
        <v>77</v>
      </c>
      <c r="B92" s="12"/>
      <c r="C92" s="12"/>
      <c r="D92" s="12"/>
      <c r="E92" s="12"/>
      <c r="F92" s="12"/>
      <c r="G92" s="12"/>
      <c r="H92" s="13"/>
      <c r="I92" s="13"/>
      <c r="J92" s="13"/>
      <c r="K92" s="3"/>
      <c r="L92" s="3"/>
      <c r="M92" s="3"/>
    </row>
    <row r="93" spans="1:1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63.75">
      <c r="A94" s="14" t="s">
        <v>38</v>
      </c>
      <c r="B94" s="39" t="s">
        <v>71</v>
      </c>
      <c r="C94" s="14" t="s">
        <v>26</v>
      </c>
      <c r="D94" s="14" t="s">
        <v>28</v>
      </c>
      <c r="E94" s="48" t="s">
        <v>78</v>
      </c>
      <c r="F94" s="16" t="s">
        <v>79</v>
      </c>
      <c r="G94" s="3"/>
      <c r="H94" s="3"/>
      <c r="I94" s="3"/>
      <c r="J94" s="3"/>
      <c r="K94" s="3"/>
      <c r="L94" s="3"/>
      <c r="M94" s="3"/>
    </row>
    <row r="95" spans="1:13" ht="12.75">
      <c r="A95" s="49" t="s">
        <v>80</v>
      </c>
      <c r="B95" s="36">
        <v>1080229</v>
      </c>
      <c r="C95" s="23">
        <f>B95/$B$40</f>
        <v>11870.648351648351</v>
      </c>
      <c r="D95" s="23">
        <f>768894/B95</f>
        <v>0.7117879634781143</v>
      </c>
      <c r="E95" s="18">
        <f>B95*D95</f>
        <v>768894</v>
      </c>
      <c r="F95" s="18">
        <f>E95-B95</f>
        <v>-311335</v>
      </c>
      <c r="G95" s="3"/>
      <c r="H95" s="3"/>
      <c r="I95" s="3"/>
      <c r="J95" s="3"/>
      <c r="K95" s="3"/>
      <c r="L95" s="3"/>
      <c r="M95" s="3"/>
    </row>
    <row r="96" spans="1:1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34.5" customHeight="1">
      <c r="A97" s="25" t="s">
        <v>81</v>
      </c>
      <c r="B97" s="25"/>
      <c r="C97" s="25"/>
      <c r="D97" s="25"/>
      <c r="E97" s="25"/>
      <c r="F97" s="25"/>
      <c r="G97" s="25"/>
      <c r="H97" s="3"/>
      <c r="I97" s="3"/>
      <c r="J97" s="3"/>
      <c r="K97" s="3"/>
      <c r="L97" s="3"/>
      <c r="M97" s="3"/>
    </row>
    <row r="98" spans="1:1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48.75" customHeight="1">
      <c r="A99" s="50" t="s">
        <v>165</v>
      </c>
      <c r="B99" s="50"/>
      <c r="C99" s="50"/>
      <c r="D99" s="50"/>
      <c r="E99" s="50"/>
      <c r="F99" s="50"/>
      <c r="G99" s="50"/>
      <c r="H99" s="3"/>
      <c r="I99" s="3"/>
      <c r="J99" s="3"/>
      <c r="K99" s="3"/>
      <c r="L99" s="3"/>
      <c r="M99" s="3"/>
    </row>
    <row r="100" spans="1:13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4.25">
      <c r="A101" s="3" t="s">
        <v>83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>
      <c r="A103" s="3" t="s">
        <v>84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>
      <c r="A105" s="3" t="s">
        <v>85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7.25" customHeight="1">
      <c r="A107" s="4" t="s">
        <v>86</v>
      </c>
      <c r="B107" s="4"/>
      <c r="C107" s="4"/>
      <c r="D107" s="4"/>
      <c r="E107" s="4"/>
      <c r="F107" s="4"/>
      <c r="G107" s="4"/>
      <c r="H107" s="3"/>
      <c r="I107" s="3"/>
      <c r="J107" s="3"/>
      <c r="K107" s="3"/>
      <c r="L107" s="3"/>
      <c r="M107" s="3"/>
    </row>
    <row r="108" spans="1:13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>
      <c r="A109" s="3" t="s">
        <v>87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3.5" customHeight="1">
      <c r="A111" s="4" t="s">
        <v>88</v>
      </c>
      <c r="B111" s="4"/>
      <c r="C111" s="4"/>
      <c r="D111" s="4"/>
      <c r="E111" s="4"/>
      <c r="F111" s="4"/>
      <c r="G111" s="4"/>
      <c r="H111" s="3"/>
      <c r="I111" s="3"/>
      <c r="J111" s="3"/>
      <c r="K111" s="3"/>
      <c r="L111" s="3"/>
      <c r="M111" s="3"/>
    </row>
    <row r="112" spans="1:1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>
      <c r="A113" s="3" t="s">
        <v>5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14.75">
      <c r="A115" s="14" t="s">
        <v>89</v>
      </c>
      <c r="B115" s="14" t="s">
        <v>90</v>
      </c>
      <c r="C115" s="39" t="s">
        <v>91</v>
      </c>
      <c r="D115" s="14" t="s">
        <v>92</v>
      </c>
      <c r="E115" s="14" t="s">
        <v>93</v>
      </c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36">
        <f>C42</f>
        <v>20423.86813186813</v>
      </c>
      <c r="B116" s="36">
        <f>E42</f>
        <v>1.2711576414580656</v>
      </c>
      <c r="C116" s="23">
        <f>C95</f>
        <v>11870.648351648351</v>
      </c>
      <c r="D116" s="23">
        <f>D95</f>
        <v>0.7117879634781143</v>
      </c>
      <c r="E116" s="36">
        <f>(A116*B116+C116*D116)*F18</f>
        <v>3131431.9999999995</v>
      </c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04.25" customHeight="1">
      <c r="A118" s="12" t="s">
        <v>166</v>
      </c>
      <c r="B118" s="12"/>
      <c r="C118" s="12"/>
      <c r="D118" s="12"/>
      <c r="E118" s="12"/>
      <c r="F118" s="12"/>
      <c r="G118" s="12"/>
      <c r="H118" s="3"/>
      <c r="I118" s="3"/>
      <c r="J118" s="3"/>
      <c r="K118" s="3"/>
      <c r="L118" s="3"/>
      <c r="M118" s="3"/>
    </row>
    <row r="119" spans="1:13" ht="12.75">
      <c r="A119" s="3"/>
      <c r="B119" s="3"/>
      <c r="C119" s="3"/>
      <c r="D119" s="3" t="s">
        <v>95</v>
      </c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>
      <c r="A121" s="3" t="s">
        <v>96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>
      <c r="A123" s="3" t="s">
        <v>97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>
      <c r="A125" s="3" t="s">
        <v>98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>
      <c r="A127" s="3" t="s">
        <v>99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40.25">
      <c r="A129" s="51" t="s">
        <v>100</v>
      </c>
      <c r="B129" s="52" t="s">
        <v>101</v>
      </c>
      <c r="C129" s="51" t="s">
        <v>102</v>
      </c>
      <c r="D129" s="51" t="s">
        <v>103</v>
      </c>
      <c r="E129" s="53"/>
      <c r="F129" s="53"/>
      <c r="G129" s="53"/>
      <c r="H129" s="3"/>
      <c r="I129" s="3"/>
      <c r="J129" s="3"/>
      <c r="K129" s="3"/>
      <c r="L129" s="3"/>
      <c r="M129" s="3"/>
    </row>
    <row r="130" spans="1:13" ht="12.75">
      <c r="A130" s="65">
        <f>6426278+1200+26780+101484+13729+19862</f>
        <v>6589333</v>
      </c>
      <c r="B130" s="65">
        <f>756000+228312</f>
        <v>984312</v>
      </c>
      <c r="C130" s="66">
        <f>468000+141336</f>
        <v>609336</v>
      </c>
      <c r="D130" s="67">
        <f>A130+B130+C130</f>
        <v>8182981</v>
      </c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>
      <c r="A131" s="58"/>
      <c r="B131" s="58"/>
      <c r="C131" s="58"/>
      <c r="D131" s="58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>
      <c r="A132" s="58"/>
      <c r="B132" s="58"/>
      <c r="C132" s="58"/>
      <c r="D132" s="58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>
      <c r="A133" s="68" t="s">
        <v>107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16" t="s">
        <v>108</v>
      </c>
      <c r="B135" s="16">
        <v>0</v>
      </c>
      <c r="C135" s="16"/>
      <c r="D135" s="18">
        <v>675221</v>
      </c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>
      <c r="A136" s="16" t="s">
        <v>109</v>
      </c>
      <c r="B136" s="16">
        <v>0</v>
      </c>
      <c r="C136" s="16"/>
      <c r="D136" s="18">
        <v>203917</v>
      </c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21" t="s">
        <v>50</v>
      </c>
      <c r="B137" s="21">
        <f>B135+B136</f>
        <v>0</v>
      </c>
      <c r="C137" s="21"/>
      <c r="D137" s="22">
        <f>D135+D136</f>
        <v>879138</v>
      </c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6:13" ht="12.75">
      <c r="F366" s="3"/>
      <c r="G366" s="3"/>
      <c r="H366" s="3"/>
      <c r="I366" s="3"/>
      <c r="J366" s="3"/>
      <c r="K366" s="3"/>
      <c r="L366" s="3"/>
      <c r="M366" s="3"/>
    </row>
  </sheetData>
  <sheetProtection selectLockedCells="1" selectUnlockedCells="1"/>
  <mergeCells count="19">
    <mergeCell ref="A2:G2"/>
    <mergeCell ref="A4:G4"/>
    <mergeCell ref="A5:A6"/>
    <mergeCell ref="B5:C5"/>
    <mergeCell ref="D5:D6"/>
    <mergeCell ref="B6:C6"/>
    <mergeCell ref="A11:G11"/>
    <mergeCell ref="A20:G20"/>
    <mergeCell ref="A44:G44"/>
    <mergeCell ref="A55:G55"/>
    <mergeCell ref="A71:G71"/>
    <mergeCell ref="A80:G80"/>
    <mergeCell ref="A90:G90"/>
    <mergeCell ref="A92:G92"/>
    <mergeCell ref="A97:G97"/>
    <mergeCell ref="A99:G99"/>
    <mergeCell ref="A107:G107"/>
    <mergeCell ref="A111:G111"/>
    <mergeCell ref="A118:G118"/>
  </mergeCells>
  <printOptions/>
  <pageMargins left="0.7083333333333334" right="0.7083333333333334" top="0.7479166666666667" bottom="0.7479166666666667" header="0.5118055555555555" footer="0.5118055555555555"/>
  <pageSetup fitToHeight="3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/>
  <cp:lastPrinted>2020-12-11T07:08:42Z</cp:lastPrinted>
  <dcterms:created xsi:type="dcterms:W3CDTF">2015-12-01T11:24:22Z</dcterms:created>
  <dcterms:modified xsi:type="dcterms:W3CDTF">2021-09-30T07:49:43Z</dcterms:modified>
  <cp:category/>
  <cp:version/>
  <cp:contentType/>
  <cp:contentStatus/>
  <cp:revision>1</cp:revision>
</cp:coreProperties>
</file>