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 tabRatio="945"/>
  </bookViews>
  <sheets>
    <sheet name="7-11" sheetId="40" r:id="rId1"/>
    <sheet name="11 и ст." sheetId="41" r:id="rId2"/>
  </sheets>
  <definedNames>
    <definedName name="_xlnm.Print_Area" localSheetId="0">'7-11'!$A$1:$H$213</definedName>
    <definedName name="_xlnm.Print_Area" localSheetId="1">'11 и ст.'!$A$1:$H$209</definedName>
  </definedNames>
  <calcPr calcId="144525"/>
</workbook>
</file>

<file path=xl/sharedStrings.xml><?xml version="1.0" encoding="utf-8"?>
<sst xmlns="http://schemas.openxmlformats.org/spreadsheetml/2006/main" count="667" uniqueCount="210">
  <si>
    <t>Примерное 2-х недельное меню завтраков и обедов</t>
  </si>
  <si>
    <t>для организации горячего питания учащихся 1-11х классов с ОВЗ</t>
  </si>
  <si>
    <t>осенне-зимний период 2022-2023гг.</t>
  </si>
  <si>
    <t>наименование блюд</t>
  </si>
  <si>
    <t>масса порции</t>
  </si>
  <si>
    <t>пищевые вещества</t>
  </si>
  <si>
    <t>энергитическая ценность</t>
  </si>
  <si>
    <t>№ Рецептуры</t>
  </si>
  <si>
    <t>б</t>
  </si>
  <si>
    <t>ж</t>
  </si>
  <si>
    <t>у</t>
  </si>
  <si>
    <t>1-я неделя</t>
  </si>
  <si>
    <t>ПОНЕДЕЛЬНИК</t>
  </si>
  <si>
    <t>ЗАВТРАК</t>
  </si>
  <si>
    <t>Суп молочный с макаронными изделиями</t>
  </si>
  <si>
    <t>№160 СРШП 2004г.</t>
  </si>
  <si>
    <t xml:space="preserve">Чай с сахаром </t>
  </si>
  <si>
    <t>№ 685 СРШП 2004г.</t>
  </si>
  <si>
    <t>Сыр твердый порциями</t>
  </si>
  <si>
    <t>№ 97 СРШП 2004г.</t>
  </si>
  <si>
    <t>Масло сливочное</t>
  </si>
  <si>
    <t>№ 96 СРШП 2004г.</t>
  </si>
  <si>
    <t>Хлеб пшеничный</t>
  </si>
  <si>
    <t>технологическая карта табл.</t>
  </si>
  <si>
    <t>Фрукты свежие (сезонные)</t>
  </si>
  <si>
    <t>Итого за прием пищи</t>
  </si>
  <si>
    <t>ОБЕД</t>
  </si>
  <si>
    <t>Щи из  свежей капусты с картофелем</t>
  </si>
  <si>
    <t>200</t>
  </si>
  <si>
    <t>№ 124  СРШП 2004г.</t>
  </si>
  <si>
    <t>Котлеты (биточки) рыбные</t>
  </si>
  <si>
    <t>№388 СРШП 2004г.</t>
  </si>
  <si>
    <t>Рис отварной</t>
  </si>
  <si>
    <t>№ 511 СРШП 2004г.</t>
  </si>
  <si>
    <t>Икра кабачковая</t>
  </si>
  <si>
    <t>№ 11 СРШП 2004г.</t>
  </si>
  <si>
    <t>Хлеб пшеничный; хлеб ржаной</t>
  </si>
  <si>
    <t>30/30</t>
  </si>
  <si>
    <t>Компот из свежих фруктов</t>
  </si>
  <si>
    <t>№631 СРШП 2004г.</t>
  </si>
  <si>
    <t>ИТОГО В ДЕНЬ</t>
  </si>
  <si>
    <t>ВТОРНИК</t>
  </si>
  <si>
    <t>Омлет натуральный запеченый с сыром</t>
  </si>
  <si>
    <t>№ 342 СРШП 2004г.</t>
  </si>
  <si>
    <t>Горошек зеленый консервированный</t>
  </si>
  <si>
    <t>№22 СРШП под ред. В.Р. Кучмы 2016г.</t>
  </si>
  <si>
    <t>Какао с молоком</t>
  </si>
  <si>
    <t>№ 693 СРШП 2004г.</t>
  </si>
  <si>
    <t>Суп гороховый с курицей</t>
  </si>
  <si>
    <t>№ 139 СРШП 2004г.</t>
  </si>
  <si>
    <t>Куры тушёные в соусе</t>
  </si>
  <si>
    <t>№ 488 СРШП 2004</t>
  </si>
  <si>
    <t>Каша пшеничная</t>
  </si>
  <si>
    <t>№ 297 СРШП 2004</t>
  </si>
  <si>
    <t>Овощи сезонные в ассортименте</t>
  </si>
  <si>
    <t>№101 СРШП 2004г.</t>
  </si>
  <si>
    <t>Компот из смеси  сухофруктов</t>
  </si>
  <si>
    <t>№ 639 СРШП 2004</t>
  </si>
  <si>
    <t>СРЕДА</t>
  </si>
  <si>
    <t>Шницель рубленый мясной</t>
  </si>
  <si>
    <t>№450 СРШП 2004г.</t>
  </si>
  <si>
    <t>Соус красный основной</t>
  </si>
  <si>
    <t>№ 587 СРШП 2004г.</t>
  </si>
  <si>
    <t>Пюре картофельное</t>
  </si>
  <si>
    <t>№ 520 СРШП 2004г.</t>
  </si>
  <si>
    <t>№ 101 СРШП 2004г.</t>
  </si>
  <si>
    <t>Кондитерское изделие, обогощённое витамино-минеральным премиксом</t>
  </si>
  <si>
    <t>1шт</t>
  </si>
  <si>
    <t>Чай с сахаром, лимоном</t>
  </si>
  <si>
    <t>№386 СРШП 2004г.</t>
  </si>
  <si>
    <t>Суп крестьянский с курицей</t>
  </si>
  <si>
    <t>№ 134 СРШП 2004г.</t>
  </si>
  <si>
    <t>Котлеты по хлыновски</t>
  </si>
  <si>
    <t>№ 498 СРШП 2004г.</t>
  </si>
  <si>
    <t>Макаронные отварные с маслом</t>
  </si>
  <si>
    <t>№ 332 СРШП 2004г.</t>
  </si>
  <si>
    <t>25/25</t>
  </si>
  <si>
    <t>Кисель фруктовый</t>
  </si>
  <si>
    <t>№642 СРШП 2004</t>
  </si>
  <si>
    <t>ЧЕТВЕРГ</t>
  </si>
  <si>
    <t>Запеканка морковная с творогом</t>
  </si>
  <si>
    <t>№238 СРШП под ред. В.Р. Кучмы 2016г.</t>
  </si>
  <si>
    <t>Соус сметанный</t>
  </si>
  <si>
    <t>№ 600 СРШП 2004</t>
  </si>
  <si>
    <t>Кофейный напиток с молоком</t>
  </si>
  <si>
    <t>№ 692 СРШП 2004г.</t>
  </si>
  <si>
    <t>Фрукты сезонные</t>
  </si>
  <si>
    <t>Суп картофельный с рисом</t>
  </si>
  <si>
    <t>№ 138 СРШП 2004г.</t>
  </si>
  <si>
    <t>Жаркое по-домашнему</t>
  </si>
  <si>
    <t>№ 436 СРШП 2004г.</t>
  </si>
  <si>
    <t>Салат из квашеной капусты</t>
  </si>
  <si>
    <t>№ 45 СРШП 2004г.</t>
  </si>
  <si>
    <t>Компот из смеси сухофруктов</t>
  </si>
  <si>
    <t>№ 639 СРШП 2004г.</t>
  </si>
  <si>
    <t>ПЯТНИЦА</t>
  </si>
  <si>
    <t xml:space="preserve">Гуляш </t>
  </si>
  <si>
    <t>№ 437 СРШП 2004г.</t>
  </si>
  <si>
    <t>Каша гречневая рассыпчатая</t>
  </si>
  <si>
    <t>№ 297 СРШП 2004г.</t>
  </si>
  <si>
    <t>№ 386 СРШП 2004г.</t>
  </si>
  <si>
    <t xml:space="preserve">Булочка </t>
  </si>
  <si>
    <t>№ 779 СРШП 2004г.</t>
  </si>
  <si>
    <t>Борщ с капустой и картофелем</t>
  </si>
  <si>
    <t>№ 110 СРШП 2004г.</t>
  </si>
  <si>
    <t>Рыба тушеная в томате с овощами</t>
  </si>
  <si>
    <t>№ 374 СРШП 2004г.</t>
  </si>
  <si>
    <t>№ 511 СРШП 2004</t>
  </si>
  <si>
    <t>2-я неделя</t>
  </si>
  <si>
    <t>№38 СРШП под ред. В.Р. Кучмы 2016г.</t>
  </si>
  <si>
    <t>Тефтели рыбные</t>
  </si>
  <si>
    <t>№ 394 СРШП 2004г.</t>
  </si>
  <si>
    <t>Капуста тушёная</t>
  </si>
  <si>
    <t>Суп картофельный с макаронами изделиями на к/б</t>
  </si>
  <si>
    <t>№ 140 СРШП 2004г.</t>
  </si>
  <si>
    <t>Плов из птицы</t>
  </si>
  <si>
    <t>№ 492 СРШП 2004г.</t>
  </si>
  <si>
    <t>№639 СРШП 2004г.</t>
  </si>
  <si>
    <t>№600 СРШП 2004г.</t>
  </si>
  <si>
    <t>Рассольник ленинградский</t>
  </si>
  <si>
    <t>№ 132 СРШП 2004</t>
  </si>
  <si>
    <t>Гуляш из отварного мяса</t>
  </si>
  <si>
    <t>№ 437 СРШП 2004</t>
  </si>
  <si>
    <t>№ 631 СРШП 2004</t>
  </si>
  <si>
    <t>Гуляш из печени</t>
  </si>
  <si>
    <t>№162 СРШП под ред. В.Р. Кучмы 2016г.</t>
  </si>
  <si>
    <t>Макароны отварные</t>
  </si>
  <si>
    <t>№692 СРШП 2004г.</t>
  </si>
  <si>
    <t>5</t>
  </si>
  <si>
    <t xml:space="preserve">Суп гороховый картофельный </t>
  </si>
  <si>
    <t>№ 139 СРШП 2004</t>
  </si>
  <si>
    <t>Биточки рыбные</t>
  </si>
  <si>
    <t>№ 388 СРШП 2004</t>
  </si>
  <si>
    <t>Картофель отварной</t>
  </si>
  <si>
    <t>№ 203 СРШП 2004г.</t>
  </si>
  <si>
    <t>850</t>
  </si>
  <si>
    <t xml:space="preserve">Тефтели </t>
  </si>
  <si>
    <t>№462 СРШП 2004г.</t>
  </si>
  <si>
    <t>Борщ с капустой и картофелем на м/б</t>
  </si>
  <si>
    <t>Рагу из филе кур</t>
  </si>
  <si>
    <t>№ 489 СРШП 2004г.</t>
  </si>
  <si>
    <t>№640 СРШП 2004</t>
  </si>
  <si>
    <t>Каша "Дружба" с маслом, сахаром</t>
  </si>
  <si>
    <t>№192 СРШП под ред. В.Р. Кучмы 2016г.</t>
  </si>
  <si>
    <t>Чай с сахаром</t>
  </si>
  <si>
    <t>№685 СРШП 2004г.</t>
  </si>
  <si>
    <t>№96 СРШП 2004г.</t>
  </si>
  <si>
    <t>№97 СРШП 2004г.</t>
  </si>
  <si>
    <t>Фрукты свежие сезонные</t>
  </si>
  <si>
    <t>Суп крестьянский с крупой на к/б</t>
  </si>
  <si>
    <t>Тефтели из птицы с рисом, с соусом</t>
  </si>
  <si>
    <t>№ 465 СРШП 2004г.</t>
  </si>
  <si>
    <t>Каша пшенная</t>
  </si>
  <si>
    <t>№11 СРШП под ред. В.Р. Кучмы 2016г.</t>
  </si>
  <si>
    <t>№639 СРШП 2004</t>
  </si>
  <si>
    <t>Итого за 10ДНЕЙ</t>
  </si>
  <si>
    <t>1.Сборник технологических нормативов под редакцией В.Т.Лапшиной,2004г.Хлебпродинформ.</t>
  </si>
  <si>
    <t>2.Сборник технологических документов под редакцией Л.Е.Галунова, СРШП 2004г..Т.Лабзина, 2008г.Санкт-Петербург</t>
  </si>
  <si>
    <t>3.Сборник рецептур СРШП 2004г.учных кондитерских булочных изделий для ПОП 1986г. СРШП 2004г.осква</t>
  </si>
  <si>
    <t>4.Диетическое питание справочник под ред.В.А.Доценко, Е.В.Литвинова, Ю.Н.зубцова,2002 г.Москва</t>
  </si>
  <si>
    <t>5.Химический состав пищевых продуктов под редакцией И.М.Скурихина, В.А.Шатерникова,1984г.Москва</t>
  </si>
  <si>
    <t>6.Таблицы химического состава и калорийности российских продуктов питания под ред.И.М.скурихина, В.А.Тутельян, 2008г.Москва</t>
  </si>
  <si>
    <t>7</t>
  </si>
  <si>
    <t>Утверждаю:</t>
  </si>
  <si>
    <t>Организатор питания ИП Комарова А.А.</t>
  </si>
  <si>
    <t>_________________________________</t>
  </si>
  <si>
    <t>"____"_____________  2021г.</t>
  </si>
  <si>
    <t xml:space="preserve">Примерное 2-х недельное меню завтраков и обедов </t>
  </si>
  <si>
    <t>для организации горячего питания учащихся</t>
  </si>
  <si>
    <t>осенне-зимний период 2021-2022г.</t>
  </si>
  <si>
    <t>с 12 лет и старше</t>
  </si>
  <si>
    <t>Сборник</t>
  </si>
  <si>
    <t>Щи из капусты свежей с картофелем</t>
  </si>
  <si>
    <t>№ 124 СРШП 2004г.</t>
  </si>
  <si>
    <t>50/50</t>
  </si>
  <si>
    <t>Суп картофельный с горохом, с курицей</t>
  </si>
  <si>
    <t>250/25</t>
  </si>
  <si>
    <t>Куры тушенные в соусе</t>
  </si>
  <si>
    <t>№488 СРШП 2004г.</t>
  </si>
  <si>
    <t>Соленья в ассортименте</t>
  </si>
  <si>
    <t>Кондитерские изделия</t>
  </si>
  <si>
    <t>40/1шт</t>
  </si>
  <si>
    <t>2</t>
  </si>
  <si>
    <t>Макаронные изделия, отварные с маслом</t>
  </si>
  <si>
    <t>Овощи свежие или соленые порционные</t>
  </si>
  <si>
    <t>Кисель из яблок</t>
  </si>
  <si>
    <t>Фрукты свежие</t>
  </si>
  <si>
    <t>3</t>
  </si>
  <si>
    <t>Гуляш из говядины</t>
  </si>
  <si>
    <t xml:space="preserve">Огурцы консервированные </t>
  </si>
  <si>
    <t>Булочка молочная</t>
  </si>
  <si>
    <t>Рис</t>
  </si>
  <si>
    <t>Помидоры соленые</t>
  </si>
  <si>
    <t>Капуста тушеная</t>
  </si>
  <si>
    <t>Кексы, обогащенные витаминно-минеральным премиксом</t>
  </si>
  <si>
    <t>Суп картофельный с макаронами на курином бульоне</t>
  </si>
  <si>
    <t>4</t>
  </si>
  <si>
    <t>Яблоки свежие</t>
  </si>
  <si>
    <t>Гуляш с соусом</t>
  </si>
  <si>
    <t xml:space="preserve">Огурцы соленые </t>
  </si>
  <si>
    <t>Запеканка картофельная с печенью</t>
  </si>
  <si>
    <t>Соус белый</t>
  </si>
  <si>
    <t>№582 СРШП 2004г.</t>
  </si>
  <si>
    <t>Суп картофельный с бобовыми</t>
  </si>
  <si>
    <t>Тефтели (2 вариант)</t>
  </si>
  <si>
    <t>6</t>
  </si>
  <si>
    <t>Рагу из курицы</t>
  </si>
  <si>
    <t>Кисель из плодов или ягод свежих</t>
  </si>
  <si>
    <t>Суп крестьянский с крупой</t>
  </si>
  <si>
    <t>Тефтели из печени с рисом, с соусом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</si>
</sst>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.00_-;\-* #\.##0.00_-;_-* &quot;-&quot;??_-;_-@_-"/>
    <numFmt numFmtId="179" formatCode="_-* #\.##0_-;\-* #\.##0_-;_-* &quot;-&quot;_-;_-@_-"/>
    <numFmt numFmtId="180" formatCode="0.0"/>
  </numFmts>
  <fonts count="34">
    <font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u/>
      <sz val="11"/>
      <name val="Calibri"/>
      <charset val="204"/>
      <scheme val="minor"/>
    </font>
    <font>
      <u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9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sz val="14"/>
      <name val="Calibri"/>
      <charset val="204"/>
      <scheme val="minor"/>
    </font>
    <font>
      <sz val="9"/>
      <name val="Calibri"/>
      <charset val="204"/>
      <scheme val="minor"/>
    </font>
    <font>
      <sz val="14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4" fillId="9" borderId="0" applyNumberFormat="0" applyBorder="0" applyAlignment="0" applyProtection="0">
      <alignment vertical="center"/>
    </xf>
    <xf numFmtId="177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2" fillId="16" borderId="5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7" borderId="5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9" applyNumberFormat="0" applyFill="0" applyAlignment="0" applyProtection="0">
      <alignment vertical="center"/>
    </xf>
    <xf numFmtId="0" fontId="28" fillId="0" borderId="59" applyNumberFormat="0" applyFill="0" applyAlignment="0" applyProtection="0">
      <alignment vertical="center"/>
    </xf>
    <xf numFmtId="0" fontId="30" fillId="0" borderId="6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9" borderId="55" applyNumberFormat="0" applyAlignment="0" applyProtection="0">
      <alignment vertical="center"/>
    </xf>
    <xf numFmtId="0" fontId="29" fillId="18" borderId="60" applyNumberFormat="0" applyAlignment="0" applyProtection="0">
      <alignment vertical="center"/>
    </xf>
    <xf numFmtId="0" fontId="20" fillId="16" borderId="55" applyNumberFormat="0" applyAlignment="0" applyProtection="0">
      <alignment vertical="center"/>
    </xf>
    <xf numFmtId="0" fontId="31" fillId="0" borderId="6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34">
    <xf numFmtId="0" fontId="0" fillId="0" borderId="0" xfId="0"/>
    <xf numFmtId="0" fontId="0" fillId="0" borderId="0" xfId="0" applyFont="1" applyFill="1"/>
    <xf numFmtId="49" fontId="1" fillId="0" borderId="0" xfId="0" applyNumberFormat="1" applyFont="1" applyFill="1"/>
    <xf numFmtId="49" fontId="0" fillId="0" borderId="0" xfId="0" applyNumberFormat="1" applyFill="1"/>
    <xf numFmtId="49" fontId="0" fillId="0" borderId="0" xfId="0" applyNumberFormat="1" applyFill="1" applyAlignment="1">
      <alignment horizontal="right" wrapText="1"/>
    </xf>
    <xf numFmtId="2" fontId="2" fillId="0" borderId="0" xfId="0" applyNumberFormat="1" applyFont="1" applyFill="1"/>
    <xf numFmtId="2" fontId="0" fillId="0" borderId="0" xfId="0" applyNumberFormat="1" applyFill="1"/>
    <xf numFmtId="0" fontId="0" fillId="0" borderId="0" xfId="0" applyNumberFormat="1" applyFill="1"/>
    <xf numFmtId="49" fontId="0" fillId="0" borderId="0" xfId="0" applyNumberFormat="1" applyFill="1" applyAlignment="1">
      <alignment horizontal="right"/>
    </xf>
    <xf numFmtId="49" fontId="3" fillId="0" borderId="0" xfId="0" applyNumberFormat="1" applyFont="1" applyFill="1"/>
    <xf numFmtId="49" fontId="0" fillId="0" borderId="0" xfId="0" applyNumberFormat="1" applyFont="1" applyFill="1" applyAlignment="1"/>
    <xf numFmtId="49" fontId="0" fillId="0" borderId="0" xfId="0" applyNumberFormat="1" applyFill="1" applyAlignment="1"/>
    <xf numFmtId="2" fontId="4" fillId="0" borderId="0" xfId="0" applyNumberFormat="1" applyFont="1" applyFill="1"/>
    <xf numFmtId="0" fontId="3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/>
    <xf numFmtId="0" fontId="0" fillId="0" borderId="0" xfId="0" applyNumberFormat="1" applyFill="1" applyAlignment="1">
      <alignment horizontal="left"/>
    </xf>
    <xf numFmtId="49" fontId="0" fillId="0" borderId="0" xfId="0" applyNumberFormat="1" applyFont="1" applyFill="1"/>
    <xf numFmtId="2" fontId="5" fillId="0" borderId="0" xfId="0" applyNumberFormat="1" applyFont="1" applyFill="1" applyAlignment="1"/>
    <xf numFmtId="49" fontId="6" fillId="0" borderId="0" xfId="0" applyNumberFormat="1" applyFont="1" applyFill="1" applyAlignment="1">
      <alignment horizontal="left"/>
    </xf>
    <xf numFmtId="2" fontId="6" fillId="0" borderId="0" xfId="0" applyNumberFormat="1" applyFont="1" applyFill="1" applyAlignment="1"/>
    <xf numFmtId="49" fontId="7" fillId="0" borderId="0" xfId="0" applyNumberFormat="1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right"/>
    </xf>
    <xf numFmtId="49" fontId="9" fillId="0" borderId="12" xfId="0" applyNumberFormat="1" applyFont="1" applyFill="1" applyBorder="1"/>
    <xf numFmtId="49" fontId="0" fillId="0" borderId="13" xfId="0" applyNumberFormat="1" applyFill="1" applyBorder="1"/>
    <xf numFmtId="49" fontId="0" fillId="0" borderId="13" xfId="0" applyNumberFormat="1" applyFill="1" applyBorder="1" applyAlignment="1">
      <alignment horizontal="right"/>
    </xf>
    <xf numFmtId="2" fontId="2" fillId="0" borderId="13" xfId="0" applyNumberFormat="1" applyFont="1" applyFill="1" applyBorder="1"/>
    <xf numFmtId="0" fontId="0" fillId="0" borderId="14" xfId="0" applyNumberFormat="1" applyFill="1" applyBorder="1"/>
    <xf numFmtId="49" fontId="0" fillId="0" borderId="15" xfId="0" applyNumberFormat="1" applyFill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49" fontId="1" fillId="0" borderId="16" xfId="0" applyNumberFormat="1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left"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2" fontId="2" fillId="0" borderId="17" xfId="0" applyNumberFormat="1" applyFont="1" applyFill="1" applyBorder="1" applyAlignment="1">
      <alignment horizontal="center" vertical="center"/>
    </xf>
    <xf numFmtId="2" fontId="0" fillId="0" borderId="18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center" vertical="center"/>
    </xf>
    <xf numFmtId="2" fontId="2" fillId="0" borderId="24" xfId="0" applyNumberFormat="1" applyFont="1" applyFill="1" applyBorder="1" applyAlignment="1">
      <alignment horizontal="center" vertical="center"/>
    </xf>
    <xf numFmtId="2" fontId="2" fillId="0" borderId="25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left" vertical="center"/>
    </xf>
    <xf numFmtId="49" fontId="1" fillId="0" borderId="23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 wrapText="1"/>
    </xf>
    <xf numFmtId="0" fontId="3" fillId="0" borderId="26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left" vertical="center"/>
    </xf>
    <xf numFmtId="49" fontId="3" fillId="0" borderId="27" xfId="0" applyNumberFormat="1" applyFont="1" applyFill="1" applyBorder="1" applyAlignment="1">
      <alignment horizontal="right" vertical="center"/>
    </xf>
    <xf numFmtId="49" fontId="3" fillId="0" borderId="13" xfId="0" applyNumberFormat="1" applyFont="1" applyFill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center" vertical="center"/>
    </xf>
    <xf numFmtId="2" fontId="4" fillId="0" borderId="28" xfId="0" applyNumberFormat="1" applyFont="1" applyFill="1" applyBorder="1" applyAlignment="1">
      <alignment horizontal="center" vertical="center"/>
    </xf>
    <xf numFmtId="2" fontId="4" fillId="0" borderId="29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49" fontId="0" fillId="0" borderId="14" xfId="0" applyNumberFormat="1" applyFill="1" applyBorder="1" applyAlignment="1">
      <alignment horizontal="right"/>
    </xf>
    <xf numFmtId="49" fontId="10" fillId="0" borderId="15" xfId="0" applyNumberFormat="1" applyFont="1" applyFill="1" applyBorder="1" applyAlignment="1">
      <alignment horizontal="right" vertical="center" wrapText="1"/>
    </xf>
    <xf numFmtId="49" fontId="1" fillId="0" borderId="30" xfId="0" applyNumberFormat="1" applyFont="1" applyFill="1" applyBorder="1" applyAlignment="1">
      <alignment horizontal="right" vertical="center" wrapText="1"/>
    </xf>
    <xf numFmtId="2" fontId="11" fillId="0" borderId="30" xfId="0" applyNumberFormat="1" applyFont="1" applyFill="1" applyBorder="1" applyAlignment="1">
      <alignment horizontal="right" vertical="center"/>
    </xf>
    <xf numFmtId="2" fontId="4" fillId="0" borderId="30" xfId="0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>
      <alignment horizontal="right" vertical="center"/>
    </xf>
    <xf numFmtId="49" fontId="3" fillId="0" borderId="31" xfId="0" applyNumberFormat="1" applyFont="1" applyFill="1" applyBorder="1" applyAlignment="1">
      <alignment horizontal="left" vertical="center" wrapText="1"/>
    </xf>
    <xf numFmtId="0" fontId="3" fillId="0" borderId="32" xfId="0" applyNumberFormat="1" applyFont="1" applyFill="1" applyBorder="1" applyAlignment="1">
      <alignment horizontal="center" vertical="center"/>
    </xf>
    <xf numFmtId="2" fontId="2" fillId="0" borderId="33" xfId="0" applyNumberFormat="1" applyFont="1" applyFill="1" applyBorder="1" applyAlignment="1">
      <alignment horizontal="center" vertical="center"/>
    </xf>
    <xf numFmtId="2" fontId="2" fillId="0" borderId="34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left" vertical="center"/>
    </xf>
    <xf numFmtId="49" fontId="1" fillId="0" borderId="35" xfId="0" applyNumberFormat="1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2" fontId="2" fillId="0" borderId="38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right" vertical="center"/>
    </xf>
    <xf numFmtId="0" fontId="3" fillId="0" borderId="40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 vertical="center"/>
    </xf>
    <xf numFmtId="2" fontId="4" fillId="0" borderId="42" xfId="0" applyNumberFormat="1" applyFont="1" applyFill="1" applyBorder="1" applyAlignment="1">
      <alignment horizontal="center" vertical="center"/>
    </xf>
    <xf numFmtId="2" fontId="4" fillId="0" borderId="43" xfId="0" applyNumberFormat="1" applyFont="1" applyFill="1" applyBorder="1" applyAlignment="1">
      <alignment horizontal="center" vertical="center"/>
    </xf>
    <xf numFmtId="2" fontId="4" fillId="0" borderId="40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right" vertical="center" wrapText="1"/>
    </xf>
    <xf numFmtId="49" fontId="3" fillId="0" borderId="45" xfId="0" applyNumberFormat="1" applyFont="1" applyFill="1" applyBorder="1" applyAlignment="1">
      <alignment horizontal="right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2" fontId="4" fillId="0" borderId="45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right" vertical="center" wrapText="1"/>
    </xf>
    <xf numFmtId="2" fontId="4" fillId="0" borderId="47" xfId="0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horizontal="right" vertical="center"/>
    </xf>
    <xf numFmtId="49" fontId="7" fillId="0" borderId="13" xfId="0" applyNumberFormat="1" applyFont="1" applyFill="1" applyBorder="1" applyAlignment="1">
      <alignment horizontal="center" vertical="center" wrapText="1"/>
    </xf>
    <xf numFmtId="49" fontId="3" fillId="0" borderId="48" xfId="0" applyNumberFormat="1" applyFont="1" applyFill="1" applyBorder="1" applyAlignment="1">
      <alignment horizontal="right" vertical="center" wrapText="1"/>
    </xf>
    <xf numFmtId="2" fontId="4" fillId="0" borderId="48" xfId="0" applyNumberFormat="1" applyFont="1" applyFill="1" applyBorder="1" applyAlignment="1">
      <alignment horizontal="right" vertical="center" wrapText="1"/>
    </xf>
    <xf numFmtId="49" fontId="0" fillId="0" borderId="25" xfId="0" applyNumberFormat="1" applyFill="1" applyBorder="1" applyAlignment="1">
      <alignment horizontal="right"/>
    </xf>
    <xf numFmtId="2" fontId="0" fillId="0" borderId="49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left" vertical="center"/>
    </xf>
    <xf numFmtId="49" fontId="1" fillId="0" borderId="21" xfId="0" applyNumberFormat="1" applyFont="1" applyFill="1" applyBorder="1" applyAlignment="1">
      <alignment horizontal="left"/>
    </xf>
    <xf numFmtId="49" fontId="1" fillId="0" borderId="25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/>
    </xf>
    <xf numFmtId="49" fontId="3" fillId="0" borderId="49" xfId="0" applyNumberFormat="1" applyFont="1" applyFill="1" applyBorder="1" applyAlignment="1">
      <alignment horizontal="right" vertical="center"/>
    </xf>
    <xf numFmtId="49" fontId="3" fillId="0" borderId="50" xfId="0" applyNumberFormat="1" applyFont="1" applyFill="1" applyBorder="1" applyAlignment="1">
      <alignment horizontal="right" vertical="center"/>
    </xf>
    <xf numFmtId="49" fontId="10" fillId="0" borderId="15" xfId="0" applyNumberFormat="1" applyFont="1" applyFill="1" applyBorder="1" applyAlignment="1">
      <alignment horizontal="right" vertical="center"/>
    </xf>
    <xf numFmtId="49" fontId="0" fillId="0" borderId="48" xfId="0" applyNumberFormat="1" applyFill="1" applyBorder="1" applyAlignment="1">
      <alignment horizontal="right" vertical="center"/>
    </xf>
    <xf numFmtId="49" fontId="0" fillId="0" borderId="30" xfId="0" applyNumberForma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right" vertical="center" wrapText="1"/>
    </xf>
    <xf numFmtId="49" fontId="3" fillId="0" borderId="39" xfId="0" applyNumberFormat="1" applyFont="1" applyFill="1" applyBorder="1" applyAlignment="1">
      <alignment horizontal="right" vertical="center" wrapText="1"/>
    </xf>
    <xf numFmtId="1" fontId="3" fillId="0" borderId="40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49" fontId="0" fillId="0" borderId="12" xfId="0" applyNumberFormat="1" applyFill="1" applyBorder="1"/>
    <xf numFmtId="49" fontId="10" fillId="0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right" vertical="center" wrapText="1"/>
    </xf>
    <xf numFmtId="49" fontId="3" fillId="0" borderId="22" xfId="0" applyNumberFormat="1" applyFont="1" applyFill="1" applyBorder="1" applyAlignment="1">
      <alignment horizontal="left" vertical="top" wrapText="1"/>
    </xf>
    <xf numFmtId="2" fontId="0" fillId="0" borderId="24" xfId="0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 vertical="center"/>
    </xf>
    <xf numFmtId="2" fontId="0" fillId="0" borderId="2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right" vertical="center"/>
    </xf>
    <xf numFmtId="1" fontId="3" fillId="0" borderId="18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2" fontId="4" fillId="0" borderId="18" xfId="0" applyNumberFormat="1" applyFont="1" applyFill="1" applyBorder="1" applyAlignment="1">
      <alignment horizontal="center" vertical="center"/>
    </xf>
    <xf numFmtId="49" fontId="10" fillId="0" borderId="5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2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52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/>
    </xf>
    <xf numFmtId="1" fontId="3" fillId="0" borderId="40" xfId="0" applyNumberFormat="1" applyFont="1" applyFill="1" applyBorder="1" applyAlignment="1">
      <alignment horizontal="center" vertical="center"/>
    </xf>
    <xf numFmtId="2" fontId="4" fillId="0" borderId="41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/>
    </xf>
    <xf numFmtId="2" fontId="4" fillId="0" borderId="43" xfId="0" applyNumberFormat="1" applyFont="1" applyFill="1" applyBorder="1" applyAlignment="1">
      <alignment horizontal="center"/>
    </xf>
    <xf numFmtId="2" fontId="4" fillId="0" borderId="40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7" xfId="0" applyNumberFormat="1" applyFont="1" applyFill="1" applyBorder="1"/>
    <xf numFmtId="49" fontId="10" fillId="0" borderId="53" xfId="0" applyNumberFormat="1" applyFont="1" applyFill="1" applyBorder="1" applyAlignment="1">
      <alignment horizontal="left" vertical="center" wrapText="1"/>
    </xf>
    <xf numFmtId="49" fontId="3" fillId="0" borderId="48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vertical="center"/>
    </xf>
    <xf numFmtId="49" fontId="3" fillId="0" borderId="31" xfId="0" applyNumberFormat="1" applyFont="1" applyFill="1" applyBorder="1" applyAlignment="1">
      <alignment vertical="center" wrapText="1"/>
    </xf>
    <xf numFmtId="49" fontId="3" fillId="0" borderId="22" xfId="0" applyNumberFormat="1" applyFont="1" applyFill="1" applyBorder="1" applyAlignment="1">
      <alignment vertical="center" wrapText="1"/>
    </xf>
    <xf numFmtId="49" fontId="3" fillId="0" borderId="36" xfId="0" applyNumberFormat="1" applyFont="1" applyFill="1" applyBorder="1" applyAlignment="1">
      <alignment vertical="center" wrapText="1"/>
    </xf>
    <xf numFmtId="49" fontId="1" fillId="0" borderId="26" xfId="0" applyNumberFormat="1" applyFont="1" applyFill="1" applyBorder="1" applyAlignment="1">
      <alignment vertical="center"/>
    </xf>
    <xf numFmtId="0" fontId="0" fillId="0" borderId="14" xfId="0" applyFill="1" applyBorder="1"/>
    <xf numFmtId="49" fontId="1" fillId="0" borderId="35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2" fillId="0" borderId="21" xfId="0" applyNumberFormat="1" applyFont="1" applyFill="1" applyBorder="1" applyAlignment="1">
      <alignment horizontal="left"/>
    </xf>
    <xf numFmtId="49" fontId="12" fillId="0" borderId="18" xfId="0" applyNumberFormat="1" applyFont="1" applyFill="1" applyBorder="1" applyAlignment="1">
      <alignment horizontal="left"/>
    </xf>
    <xf numFmtId="49" fontId="1" fillId="0" borderId="23" xfId="0" applyNumberFormat="1" applyFont="1" applyFill="1" applyBorder="1" applyAlignment="1">
      <alignment horizontal="left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 wrapText="1"/>
    </xf>
    <xf numFmtId="49" fontId="1" fillId="0" borderId="35" xfId="0" applyNumberFormat="1" applyFont="1" applyFill="1" applyBorder="1" applyAlignment="1">
      <alignment horizontal="left"/>
    </xf>
    <xf numFmtId="49" fontId="3" fillId="0" borderId="36" xfId="0" applyNumberFormat="1" applyFont="1" applyFill="1" applyBorder="1" applyAlignment="1">
      <alignment vertical="top" wrapText="1"/>
    </xf>
    <xf numFmtId="0" fontId="3" fillId="0" borderId="11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left"/>
    </xf>
    <xf numFmtId="49" fontId="1" fillId="0" borderId="52" xfId="0" applyNumberFormat="1" applyFont="1" applyFill="1" applyBorder="1" applyAlignment="1">
      <alignment horizontal="left"/>
    </xf>
    <xf numFmtId="49" fontId="1" fillId="0" borderId="18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2" fontId="4" fillId="0" borderId="28" xfId="0" applyNumberFormat="1" applyFont="1" applyFill="1" applyBorder="1" applyAlignment="1">
      <alignment horizontal="center"/>
    </xf>
    <xf numFmtId="2" fontId="4" fillId="0" borderId="29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left"/>
    </xf>
    <xf numFmtId="49" fontId="0" fillId="0" borderId="13" xfId="0" applyNumberForma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52" xfId="0" applyNumberFormat="1" applyFont="1" applyFill="1" applyBorder="1" applyAlignment="1">
      <alignment horizontal="left" vertical="center"/>
    </xf>
    <xf numFmtId="49" fontId="3" fillId="0" borderId="36" xfId="0" applyNumberFormat="1" applyFont="1" applyFill="1" applyBorder="1" applyAlignment="1">
      <alignment horizontal="left" vertical="top" wrapText="1"/>
    </xf>
    <xf numFmtId="0" fontId="3" fillId="0" borderId="18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right"/>
    </xf>
    <xf numFmtId="49" fontId="1" fillId="0" borderId="21" xfId="0" applyNumberFormat="1" applyFont="1" applyFill="1" applyBorder="1" applyAlignment="1"/>
    <xf numFmtId="49" fontId="1" fillId="0" borderId="23" xfId="0" applyNumberFormat="1" applyFont="1" applyFill="1" applyBorder="1" applyAlignment="1"/>
    <xf numFmtId="49" fontId="13" fillId="0" borderId="12" xfId="0" applyNumberFormat="1" applyFont="1" applyFill="1" applyBorder="1"/>
    <xf numFmtId="49" fontId="3" fillId="0" borderId="3" xfId="0" applyNumberFormat="1" applyFont="1" applyFill="1" applyBorder="1" applyAlignment="1">
      <alignment horizontal="center"/>
    </xf>
    <xf numFmtId="49" fontId="3" fillId="0" borderId="4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right" vertical="center" wrapText="1"/>
    </xf>
    <xf numFmtId="49" fontId="3" fillId="0" borderId="33" xfId="0" applyNumberFormat="1" applyFont="1" applyFill="1" applyBorder="1" applyAlignment="1">
      <alignment horizontal="right" vertical="center" wrapText="1"/>
    </xf>
    <xf numFmtId="2" fontId="4" fillId="0" borderId="34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/>
    <xf numFmtId="2" fontId="0" fillId="0" borderId="0" xfId="0" applyNumberFormat="1" applyFont="1" applyFill="1" applyBorder="1"/>
    <xf numFmtId="49" fontId="1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/>
    <xf numFmtId="49" fontId="0" fillId="0" borderId="0" xfId="0" applyNumberFormat="1" applyFill="1" applyAlignment="1">
      <alignment wrapText="1"/>
    </xf>
    <xf numFmtId="0" fontId="3" fillId="0" borderId="0" xfId="0" applyNumberFormat="1" applyFont="1" applyFill="1"/>
    <xf numFmtId="0" fontId="0" fillId="0" borderId="0" xfId="0" applyNumberFormat="1" applyFill="1" applyAlignment="1"/>
    <xf numFmtId="49" fontId="6" fillId="0" borderId="0" xfId="0" applyNumberFormat="1" applyFont="1" applyFill="1" applyAlignment="1"/>
    <xf numFmtId="49" fontId="0" fillId="0" borderId="2" xfId="0" applyNumberFormat="1" applyFont="1" applyFill="1" applyBorder="1" applyAlignment="1">
      <alignment vertical="center" wrapText="1"/>
    </xf>
    <xf numFmtId="2" fontId="0" fillId="0" borderId="4" xfId="0" applyNumberFormat="1" applyFont="1" applyFill="1" applyBorder="1" applyAlignment="1">
      <alignment horizontal="center" vertical="center" wrapText="1"/>
    </xf>
    <xf numFmtId="2" fontId="0" fillId="0" borderId="12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vertical="center" wrapText="1"/>
    </xf>
    <xf numFmtId="2" fontId="0" fillId="0" borderId="8" xfId="0" applyNumberFormat="1" applyFon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2" fontId="0" fillId="0" borderId="10" xfId="0" applyNumberFormat="1" applyFont="1" applyFill="1" applyBorder="1" applyAlignment="1">
      <alignment horizontal="center"/>
    </xf>
    <xf numFmtId="2" fontId="0" fillId="0" borderId="44" xfId="0" applyNumberFormat="1" applyFon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wrapText="1"/>
    </xf>
    <xf numFmtId="0" fontId="0" fillId="0" borderId="13" xfId="0" applyNumberFormat="1" applyFill="1" applyBorder="1"/>
    <xf numFmtId="2" fontId="0" fillId="0" borderId="19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2" fontId="0" fillId="0" borderId="17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 wrapText="1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49" fontId="10" fillId="0" borderId="51" xfId="0" applyNumberFormat="1" applyFont="1" applyFill="1" applyBorder="1" applyAlignment="1">
      <alignment horizontal="right" vertical="center" wrapText="1"/>
    </xf>
    <xf numFmtId="49" fontId="7" fillId="0" borderId="30" xfId="0" applyNumberFormat="1" applyFont="1" applyFill="1" applyBorder="1" applyAlignment="1">
      <alignment horizontal="right" vertical="center"/>
    </xf>
    <xf numFmtId="0" fontId="3" fillId="0" borderId="30" xfId="0" applyNumberFormat="1" applyFont="1" applyFill="1" applyBorder="1" applyAlignment="1">
      <alignment horizontal="right" vertical="center"/>
    </xf>
    <xf numFmtId="2" fontId="0" fillId="0" borderId="33" xfId="0" applyNumberFormat="1" applyFont="1" applyFill="1" applyBorder="1" applyAlignment="1">
      <alignment horizontal="center" vertical="center"/>
    </xf>
    <xf numFmtId="2" fontId="0" fillId="0" borderId="34" xfId="0" applyNumberFormat="1" applyFont="1" applyFill="1" applyBorder="1" applyAlignment="1">
      <alignment horizontal="center" vertical="center"/>
    </xf>
    <xf numFmtId="2" fontId="0" fillId="0" borderId="31" xfId="0" applyNumberFormat="1" applyFont="1" applyFill="1" applyBorder="1" applyAlignment="1">
      <alignment horizontal="center" vertical="center"/>
    </xf>
    <xf numFmtId="2" fontId="0" fillId="0" borderId="53" xfId="0" applyNumberFormat="1" applyFont="1" applyFill="1" applyBorder="1" applyAlignment="1">
      <alignment horizontal="center" vertical="center"/>
    </xf>
    <xf numFmtId="2" fontId="0" fillId="0" borderId="37" xfId="0" applyNumberFormat="1" applyFont="1" applyFill="1" applyBorder="1" applyAlignment="1">
      <alignment horizontal="center" vertical="center"/>
    </xf>
    <xf numFmtId="2" fontId="0" fillId="0" borderId="38" xfId="0" applyNumberFormat="1" applyFont="1" applyFill="1" applyBorder="1" applyAlignment="1">
      <alignment horizontal="center" vertical="center"/>
    </xf>
    <xf numFmtId="2" fontId="0" fillId="0" borderId="36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/>
    </xf>
    <xf numFmtId="49" fontId="3" fillId="0" borderId="39" xfId="0" applyNumberFormat="1" applyFont="1" applyFill="1" applyBorder="1" applyAlignment="1">
      <alignment vertical="center" wrapText="1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/>
    </xf>
    <xf numFmtId="2" fontId="3" fillId="0" borderId="43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vertical="center" wrapText="1"/>
    </xf>
    <xf numFmtId="2" fontId="3" fillId="0" borderId="46" xfId="0" applyNumberFormat="1" applyFont="1" applyFill="1" applyBorder="1" applyAlignment="1">
      <alignment horizontal="center" vertical="center" wrapText="1"/>
    </xf>
    <xf numFmtId="2" fontId="3" fillId="0" borderId="45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2" fontId="3" fillId="0" borderId="47" xfId="0" applyNumberFormat="1" applyFont="1" applyFill="1" applyBorder="1" applyAlignment="1">
      <alignment horizontal="right" vertical="center"/>
    </xf>
    <xf numFmtId="2" fontId="3" fillId="0" borderId="6" xfId="0" applyNumberFormat="1" applyFont="1" applyFill="1" applyBorder="1" applyAlignment="1">
      <alignment horizontal="right" vertical="center"/>
    </xf>
    <xf numFmtId="0" fontId="3" fillId="0" borderId="48" xfId="0" applyNumberFormat="1" applyFont="1" applyFill="1" applyBorder="1" applyAlignment="1">
      <alignment horizontal="right" vertical="center" wrapText="1"/>
    </xf>
    <xf numFmtId="0" fontId="1" fillId="0" borderId="23" xfId="0" applyFont="1" applyFill="1" applyBorder="1" applyAlignment="1">
      <alignment horizontal="left" vertical="center"/>
    </xf>
    <xf numFmtId="49" fontId="3" fillId="0" borderId="49" xfId="0" applyNumberFormat="1" applyFont="1" applyFill="1" applyBorder="1" applyAlignment="1">
      <alignment vertical="center"/>
    </xf>
    <xf numFmtId="49" fontId="3" fillId="0" borderId="50" xfId="0" applyNumberFormat="1" applyFont="1" applyFill="1" applyBorder="1" applyAlignment="1">
      <alignment vertical="center" wrapText="1"/>
    </xf>
    <xf numFmtId="49" fontId="0" fillId="0" borderId="48" xfId="0" applyNumberFormat="1" applyFill="1" applyBorder="1" applyAlignment="1">
      <alignment horizontal="right" vertical="center" wrapText="1"/>
    </xf>
    <xf numFmtId="180" fontId="3" fillId="0" borderId="41" xfId="0" applyNumberFormat="1" applyFont="1" applyFill="1" applyBorder="1" applyAlignment="1">
      <alignment horizontal="center" vertical="center" wrapText="1"/>
    </xf>
    <xf numFmtId="180" fontId="3" fillId="0" borderId="39" xfId="0" applyNumberFormat="1" applyFont="1" applyFill="1" applyBorder="1" applyAlignment="1">
      <alignment horizontal="center" vertical="center" wrapText="1"/>
    </xf>
    <xf numFmtId="180" fontId="3" fillId="0" borderId="27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2" fontId="3" fillId="0" borderId="49" xfId="0" applyNumberFormat="1" applyFont="1" applyFill="1" applyBorder="1" applyAlignment="1">
      <alignment horizontal="center" vertical="center"/>
    </xf>
    <xf numFmtId="49" fontId="0" fillId="0" borderId="30" xfId="0" applyNumberFormat="1" applyFill="1" applyBorder="1" applyAlignment="1">
      <alignment horizontal="right" vertical="center" wrapText="1"/>
    </xf>
    <xf numFmtId="2" fontId="3" fillId="0" borderId="41" xfId="0" applyNumberFormat="1" applyFont="1" applyFill="1" applyBorder="1" applyAlignment="1">
      <alignment horizontal="center"/>
    </xf>
    <xf numFmtId="2" fontId="3" fillId="0" borderId="42" xfId="0" applyNumberFormat="1" applyFont="1" applyFill="1" applyBorder="1" applyAlignment="1">
      <alignment horizontal="center"/>
    </xf>
    <xf numFmtId="2" fontId="3" fillId="0" borderId="43" xfId="0" applyNumberFormat="1" applyFont="1" applyFill="1" applyBorder="1" applyAlignment="1">
      <alignment horizontal="center"/>
    </xf>
    <xf numFmtId="2" fontId="3" fillId="0" borderId="27" xfId="0" applyNumberFormat="1" applyFont="1" applyFill="1" applyBorder="1" applyAlignment="1">
      <alignment horizontal="center"/>
    </xf>
    <xf numFmtId="180" fontId="3" fillId="0" borderId="42" xfId="0" applyNumberFormat="1" applyFont="1" applyFill="1" applyBorder="1" applyAlignment="1">
      <alignment horizontal="center" vertical="center" wrapText="1"/>
    </xf>
    <xf numFmtId="180" fontId="3" fillId="0" borderId="43" xfId="0" applyNumberFormat="1" applyFont="1" applyFill="1" applyBorder="1" applyAlignment="1">
      <alignment horizontal="center" vertical="center" wrapText="1"/>
    </xf>
    <xf numFmtId="2" fontId="3" fillId="0" borderId="47" xfId="0" applyNumberFormat="1" applyFont="1" applyFill="1" applyBorder="1"/>
    <xf numFmtId="2" fontId="3" fillId="0" borderId="6" xfId="0" applyNumberFormat="1" applyFont="1" applyFill="1" applyBorder="1"/>
    <xf numFmtId="0" fontId="3" fillId="0" borderId="48" xfId="0" applyNumberFormat="1" applyFont="1" applyFill="1" applyBorder="1" applyAlignment="1">
      <alignment horizontal="center" vertical="center" wrapText="1"/>
    </xf>
    <xf numFmtId="0" fontId="0" fillId="0" borderId="33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41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center" vertical="center"/>
    </xf>
    <xf numFmtId="0" fontId="0" fillId="0" borderId="37" xfId="0" applyNumberFormat="1" applyFont="1" applyFill="1" applyBorder="1" applyAlignment="1">
      <alignment horizontal="center" vertical="center"/>
    </xf>
    <xf numFmtId="0" fontId="0" fillId="0" borderId="38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/>
    </xf>
    <xf numFmtId="1" fontId="3" fillId="0" borderId="49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/>
    </xf>
    <xf numFmtId="0" fontId="3" fillId="0" borderId="29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center"/>
    </xf>
    <xf numFmtId="180" fontId="3" fillId="0" borderId="41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80" fontId="3" fillId="0" borderId="43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0" fontId="7" fillId="0" borderId="30" xfId="0" applyNumberFormat="1" applyFont="1" applyFill="1" applyBorder="1" applyAlignment="1">
      <alignment horizontal="right" vertical="center"/>
    </xf>
    <xf numFmtId="0" fontId="3" fillId="0" borderId="47" xfId="0" applyNumberFormat="1" applyFont="1" applyFill="1" applyBorder="1"/>
    <xf numFmtId="0" fontId="3" fillId="0" borderId="6" xfId="0" applyNumberFormat="1" applyFont="1" applyFill="1" applyBorder="1"/>
    <xf numFmtId="49" fontId="3" fillId="0" borderId="41" xfId="0" applyNumberFormat="1" applyFont="1" applyFill="1" applyBorder="1" applyAlignment="1">
      <alignment horizontal="right" vertical="center" wrapText="1"/>
    </xf>
    <xf numFmtId="0" fontId="3" fillId="0" borderId="42" xfId="0" applyNumberFormat="1" applyFont="1" applyFill="1" applyBorder="1" applyAlignment="1">
      <alignment horizontal="center"/>
    </xf>
    <xf numFmtId="0" fontId="3" fillId="0" borderId="54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49" fontId="0" fillId="0" borderId="0" xfId="0" applyNumberFormat="1" applyFont="1" applyFill="1" applyAlignment="1">
      <alignment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227"/>
  <sheetViews>
    <sheetView tabSelected="1" view="pageBreakPreview" zoomScale="90" zoomScaleNormal="100" topLeftCell="A56" workbookViewId="0">
      <pane xSplit="23540" topLeftCell="J1" activePane="topLeft"/>
      <selection activeCell="F68" sqref="F68"/>
      <selection pane="topRight"/>
    </sheetView>
  </sheetViews>
  <sheetFormatPr defaultColWidth="9.17592592592593" defaultRowHeight="19.5" customHeight="1"/>
  <cols>
    <col min="1" max="1" width="16.8148148148148" style="2" customWidth="1"/>
    <col min="2" max="2" width="42.4537037037037" style="228" customWidth="1"/>
    <col min="3" max="3" width="10.2685185185185" style="4" customWidth="1"/>
    <col min="4" max="4" width="8" style="3" customWidth="1"/>
    <col min="5" max="6" width="8" style="7" customWidth="1"/>
    <col min="7" max="7" width="9.81481481481481" style="7" customWidth="1"/>
    <col min="8" max="8" width="30.8148148148148" style="7" customWidth="1"/>
    <col min="9" max="15" width="8" style="7" customWidth="1"/>
    <col min="16" max="16" width="5.72222222222222" style="7" customWidth="1"/>
    <col min="17" max="17" width="5.5462962962963" style="8" customWidth="1"/>
    <col min="18" max="16384" width="9.17592592592593" style="3"/>
  </cols>
  <sheetData>
    <row r="1" customHeight="1" spans="1:1">
      <c r="A1" s="9"/>
    </row>
    <row r="2" customHeight="1" spans="1:16">
      <c r="A2" s="10"/>
      <c r="F2" s="229"/>
      <c r="G2" s="13"/>
      <c r="H2" s="16"/>
      <c r="K2" s="148"/>
      <c r="L2" s="148"/>
      <c r="M2" s="148"/>
      <c r="N2" s="148"/>
      <c r="O2" s="148"/>
      <c r="P2" s="148"/>
    </row>
    <row r="3" customHeight="1" spans="1:16">
      <c r="A3" s="14"/>
      <c r="D3" s="11"/>
      <c r="E3" s="230"/>
      <c r="F3" s="230"/>
      <c r="G3" s="16"/>
      <c r="H3" s="16"/>
      <c r="J3" s="149"/>
      <c r="K3" s="149"/>
      <c r="L3" s="149"/>
      <c r="M3" s="149"/>
      <c r="N3" s="149"/>
      <c r="O3" s="149"/>
      <c r="P3" s="149"/>
    </row>
    <row r="4" customHeight="1" spans="1:16">
      <c r="A4" s="17"/>
      <c r="D4" s="231"/>
      <c r="E4" s="231"/>
      <c r="F4" s="231"/>
      <c r="G4" s="19"/>
      <c r="H4" s="19"/>
      <c r="J4" s="149"/>
      <c r="K4" s="149"/>
      <c r="L4" s="149"/>
      <c r="M4" s="149"/>
      <c r="N4" s="149"/>
      <c r="O4" s="149"/>
      <c r="P4" s="149"/>
    </row>
    <row r="5" customHeight="1" spans="1:16">
      <c r="A5" s="17"/>
      <c r="D5" s="11"/>
      <c r="E5" s="230"/>
      <c r="F5" s="230"/>
      <c r="G5" s="16"/>
      <c r="H5" s="16"/>
      <c r="J5" s="149"/>
      <c r="K5" s="149"/>
      <c r="L5" s="149"/>
      <c r="M5" s="149"/>
      <c r="N5" s="149"/>
      <c r="O5" s="149"/>
      <c r="P5" s="149"/>
    </row>
    <row r="6" customHeight="1" spans="1:1">
      <c r="A6" s="17"/>
    </row>
    <row r="7" customHeight="1" spans="1:1">
      <c r="A7" s="17"/>
    </row>
    <row r="8" customHeight="1" spans="1:1">
      <c r="A8" s="17"/>
    </row>
    <row r="9" customHeight="1" spans="1:16">
      <c r="A9" s="21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customHeight="1" spans="1:16">
      <c r="A10" s="21" t="s">
        <v>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customHeight="1" spans="1:16">
      <c r="A11" s="21" t="s">
        <v>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customHeight="1" spans="1:16">
      <c r="A12" s="22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151"/>
      <c r="O12" s="151"/>
      <c r="P12" s="151"/>
    </row>
    <row r="13" customHeight="1" spans="2:17">
      <c r="B13" s="4"/>
      <c r="C13" s="3"/>
      <c r="D13" s="7"/>
      <c r="P13" s="8"/>
      <c r="Q13" s="3"/>
    </row>
    <row r="14" s="1" customFormat="1" ht="24.75" customHeight="1" spans="1:58">
      <c r="A14" s="23"/>
      <c r="B14" s="232" t="s">
        <v>3</v>
      </c>
      <c r="C14" s="25" t="s">
        <v>4</v>
      </c>
      <c r="D14" s="233" t="s">
        <v>5</v>
      </c>
      <c r="E14" s="233"/>
      <c r="F14" s="233"/>
      <c r="G14" s="234" t="s">
        <v>6</v>
      </c>
      <c r="H14" s="28" t="s">
        <v>7</v>
      </c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</row>
    <row r="15" s="1" customFormat="1" customHeight="1" spans="1:58">
      <c r="A15" s="29"/>
      <c r="B15" s="235"/>
      <c r="C15" s="31"/>
      <c r="D15" s="236" t="s">
        <v>8</v>
      </c>
      <c r="E15" s="237" t="s">
        <v>9</v>
      </c>
      <c r="F15" s="238" t="s">
        <v>10</v>
      </c>
      <c r="G15" s="239"/>
      <c r="H15" s="36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</row>
    <row r="16" ht="17.25" customHeight="1" spans="1:17">
      <c r="A16" s="37" t="s">
        <v>11</v>
      </c>
      <c r="B16" s="240"/>
      <c r="C16" s="39"/>
      <c r="D16" s="38"/>
      <c r="E16" s="38"/>
      <c r="F16" s="241"/>
      <c r="G16" s="241"/>
      <c r="H16" s="41"/>
      <c r="J16" s="3"/>
      <c r="K16" s="3"/>
      <c r="L16" s="3"/>
      <c r="M16" s="3"/>
      <c r="N16" s="3"/>
      <c r="O16" s="3"/>
      <c r="P16" s="3"/>
      <c r="Q16" s="3"/>
    </row>
    <row r="17" ht="17.25" customHeight="1" spans="1:17">
      <c r="A17" s="42"/>
      <c r="B17" s="43" t="s">
        <v>12</v>
      </c>
      <c r="C17" s="43"/>
      <c r="D17" s="43"/>
      <c r="E17" s="43"/>
      <c r="F17" s="43"/>
      <c r="G17" s="43"/>
      <c r="H17" s="41"/>
      <c r="J17" s="3"/>
      <c r="K17" s="3"/>
      <c r="L17" s="3"/>
      <c r="M17" s="3"/>
      <c r="N17" s="3"/>
      <c r="O17" s="3"/>
      <c r="P17" s="3"/>
      <c r="Q17" s="3"/>
    </row>
    <row r="18" ht="17.25" customHeight="1" spans="1:17">
      <c r="A18" s="44" t="s">
        <v>13</v>
      </c>
      <c r="B18" s="45"/>
      <c r="C18" s="45"/>
      <c r="D18" s="45"/>
      <c r="E18" s="45"/>
      <c r="F18" s="45"/>
      <c r="G18" s="45"/>
      <c r="H18" s="41"/>
      <c r="J18" s="3"/>
      <c r="K18" s="3"/>
      <c r="L18" s="3"/>
      <c r="M18" s="3"/>
      <c r="N18" s="3"/>
      <c r="O18" s="3"/>
      <c r="P18" s="3"/>
      <c r="Q18" s="3"/>
    </row>
    <row r="19" s="1" customFormat="1" ht="27.75" customHeight="1" spans="1:58">
      <c r="A19" s="46"/>
      <c r="B19" s="47" t="s">
        <v>14</v>
      </c>
      <c r="C19" s="48">
        <v>200</v>
      </c>
      <c r="D19" s="242">
        <v>7</v>
      </c>
      <c r="E19" s="243">
        <v>7.9</v>
      </c>
      <c r="F19" s="244">
        <v>24.7</v>
      </c>
      <c r="G19" s="113">
        <f>(D19*4)+(E19*9)+(F19*4)</f>
        <v>197.9</v>
      </c>
      <c r="H19" s="53" t="s">
        <v>15</v>
      </c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</row>
    <row r="20" s="1" customFormat="1" customHeight="1" spans="1:58">
      <c r="A20" s="54"/>
      <c r="B20" s="55" t="s">
        <v>16</v>
      </c>
      <c r="C20" s="56">
        <v>200</v>
      </c>
      <c r="D20" s="138">
        <v>0.02</v>
      </c>
      <c r="E20" s="139">
        <v>0</v>
      </c>
      <c r="F20" s="140">
        <v>15</v>
      </c>
      <c r="G20" s="113">
        <f t="shared" ref="G20:G24" si="0">(D20*4)+(E20*9)+(F20*4)</f>
        <v>60.08</v>
      </c>
      <c r="H20" s="60" t="s">
        <v>17</v>
      </c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</row>
    <row r="21" s="1" customFormat="1" customHeight="1" spans="1:58">
      <c r="A21" s="54"/>
      <c r="B21" s="55" t="s">
        <v>18</v>
      </c>
      <c r="C21" s="56">
        <v>10</v>
      </c>
      <c r="D21" s="138">
        <v>2.5</v>
      </c>
      <c r="E21" s="139">
        <v>2.5</v>
      </c>
      <c r="F21" s="140">
        <v>3.23</v>
      </c>
      <c r="G21" s="113">
        <f t="shared" si="0"/>
        <v>45.42</v>
      </c>
      <c r="H21" s="60" t="s">
        <v>19</v>
      </c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</row>
    <row r="22" s="1" customFormat="1" customHeight="1" spans="1:58">
      <c r="A22" s="54"/>
      <c r="B22" s="55" t="s">
        <v>20</v>
      </c>
      <c r="C22" s="56">
        <v>10</v>
      </c>
      <c r="D22" s="138">
        <v>0.01</v>
      </c>
      <c r="E22" s="139">
        <v>7.25</v>
      </c>
      <c r="F22" s="140">
        <v>0.13</v>
      </c>
      <c r="G22" s="113">
        <f t="shared" si="0"/>
        <v>65.81</v>
      </c>
      <c r="H22" s="60" t="s">
        <v>21</v>
      </c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</row>
    <row r="23" s="1" customFormat="1" customHeight="1" spans="1:58">
      <c r="A23" s="61"/>
      <c r="B23" s="55" t="s">
        <v>22</v>
      </c>
      <c r="C23" s="56">
        <v>40</v>
      </c>
      <c r="D23" s="138">
        <v>3.04</v>
      </c>
      <c r="E23" s="139">
        <v>0.4</v>
      </c>
      <c r="F23" s="140">
        <v>24.6</v>
      </c>
      <c r="G23" s="113">
        <f t="shared" si="0"/>
        <v>114.16</v>
      </c>
      <c r="H23" s="62" t="s">
        <v>23</v>
      </c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</row>
    <row r="24" s="1" customFormat="1" customHeight="1" spans="1:58">
      <c r="A24" s="61"/>
      <c r="B24" s="63" t="s">
        <v>24</v>
      </c>
      <c r="C24" s="64">
        <v>100</v>
      </c>
      <c r="D24" s="245">
        <v>0.4</v>
      </c>
      <c r="E24" s="246">
        <v>0.4</v>
      </c>
      <c r="F24" s="247">
        <v>9.8</v>
      </c>
      <c r="G24" s="113">
        <f t="shared" si="0"/>
        <v>44.4</v>
      </c>
      <c r="H24" s="68" t="s">
        <v>23</v>
      </c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</row>
    <row r="25" s="1" customFormat="1" customHeight="1" spans="1:58">
      <c r="A25" s="248" t="s">
        <v>25</v>
      </c>
      <c r="B25" s="249"/>
      <c r="C25" s="71">
        <f>SUM(C19:C24)</f>
        <v>560</v>
      </c>
      <c r="D25" s="250">
        <f t="shared" ref="D25:G25" si="1">SUM(D19:D24)</f>
        <v>12.97</v>
      </c>
      <c r="E25" s="251">
        <f t="shared" si="1"/>
        <v>18.45</v>
      </c>
      <c r="F25" s="252">
        <f t="shared" si="1"/>
        <v>77.46</v>
      </c>
      <c r="G25" s="253">
        <f t="shared" si="1"/>
        <v>527.77</v>
      </c>
      <c r="H25" s="76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</row>
    <row r="26" ht="17.25" customHeight="1" spans="1:17">
      <c r="A26" s="254" t="s">
        <v>26</v>
      </c>
      <c r="B26" s="78"/>
      <c r="C26" s="78"/>
      <c r="D26" s="255"/>
      <c r="E26" s="255"/>
      <c r="F26" s="256"/>
      <c r="G26" s="256"/>
      <c r="H26" s="81"/>
      <c r="I26" s="153"/>
      <c r="J26" s="152"/>
      <c r="K26" s="3"/>
      <c r="L26" s="3"/>
      <c r="M26" s="3"/>
      <c r="N26" s="3"/>
      <c r="O26" s="3"/>
      <c r="P26" s="3"/>
      <c r="Q26" s="3"/>
    </row>
    <row r="27" s="1" customFormat="1" ht="32.25" customHeight="1" spans="1:58">
      <c r="A27" s="61"/>
      <c r="B27" s="82" t="s">
        <v>27</v>
      </c>
      <c r="C27" s="125" t="s">
        <v>28</v>
      </c>
      <c r="D27" s="257">
        <v>1.75</v>
      </c>
      <c r="E27" s="258">
        <v>4.87</v>
      </c>
      <c r="F27" s="259">
        <v>8.47</v>
      </c>
      <c r="G27" s="260">
        <f>(D27*4)+(E27*9)+(F27*4)</f>
        <v>84.71</v>
      </c>
      <c r="H27" s="87" t="s">
        <v>29</v>
      </c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</row>
    <row r="28" s="1" customFormat="1" customHeight="1" spans="1:58">
      <c r="A28" s="61"/>
      <c r="B28" s="55" t="s">
        <v>30</v>
      </c>
      <c r="C28" s="56">
        <v>50</v>
      </c>
      <c r="D28" s="138">
        <v>6.5</v>
      </c>
      <c r="E28" s="139">
        <v>4.4</v>
      </c>
      <c r="F28" s="140">
        <v>7.6</v>
      </c>
      <c r="G28" s="260">
        <v>96</v>
      </c>
      <c r="H28" s="62" t="s">
        <v>31</v>
      </c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</row>
    <row r="29" s="1" customFormat="1" customHeight="1" spans="1:58">
      <c r="A29" s="61"/>
      <c r="B29" s="55" t="s">
        <v>32</v>
      </c>
      <c r="C29" s="56">
        <v>150</v>
      </c>
      <c r="D29" s="138">
        <v>3.64</v>
      </c>
      <c r="E29" s="139">
        <v>5.37</v>
      </c>
      <c r="F29" s="140">
        <v>36.7</v>
      </c>
      <c r="G29" s="260">
        <f>(D29*4)+(E29*9)+(F29*4)</f>
        <v>209.69</v>
      </c>
      <c r="H29" s="62" t="s">
        <v>33</v>
      </c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</row>
    <row r="30" s="1" customFormat="1" customHeight="1" spans="1:58">
      <c r="A30" s="61"/>
      <c r="B30" s="55" t="s">
        <v>34</v>
      </c>
      <c r="C30" s="56">
        <v>30</v>
      </c>
      <c r="D30" s="138">
        <v>1.86</v>
      </c>
      <c r="E30" s="139">
        <v>0.12</v>
      </c>
      <c r="F30" s="140">
        <v>3.9</v>
      </c>
      <c r="G30" s="260">
        <f>(D30*4)+(E30*9)+(F30*4)</f>
        <v>24.12</v>
      </c>
      <c r="H30" s="62" t="s">
        <v>35</v>
      </c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</row>
    <row r="31" s="1" customFormat="1" customHeight="1" spans="1:58">
      <c r="A31" s="61"/>
      <c r="B31" s="55" t="s">
        <v>36</v>
      </c>
      <c r="C31" s="56" t="s">
        <v>37</v>
      </c>
      <c r="D31" s="138">
        <v>7.34</v>
      </c>
      <c r="E31" s="139">
        <v>2.1</v>
      </c>
      <c r="F31" s="140">
        <v>45.9</v>
      </c>
      <c r="G31" s="260">
        <f>(D31*4)+(E31*9)+(F31*4)</f>
        <v>231.86</v>
      </c>
      <c r="H31" s="62" t="s">
        <v>23</v>
      </c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</row>
    <row r="32" s="1" customFormat="1" customHeight="1" spans="1:58">
      <c r="A32" s="88"/>
      <c r="B32" s="89" t="s">
        <v>38</v>
      </c>
      <c r="C32" s="90">
        <v>200</v>
      </c>
      <c r="D32" s="261">
        <v>0.6</v>
      </c>
      <c r="E32" s="262">
        <v>0.09</v>
      </c>
      <c r="F32" s="263">
        <v>17.3</v>
      </c>
      <c r="G32" s="260">
        <f>(D32*4)+(E32*9)+(F32*4)</f>
        <v>72.41</v>
      </c>
      <c r="H32" s="68" t="s">
        <v>39</v>
      </c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</row>
    <row r="33" s="1" customFormat="1" customHeight="1" spans="1:58">
      <c r="A33" s="264" t="s">
        <v>25</v>
      </c>
      <c r="B33" s="265"/>
      <c r="C33" s="95">
        <f>SUM(C28:C32)+275+100</f>
        <v>805</v>
      </c>
      <c r="D33" s="266">
        <f>SUM(D27:D32)</f>
        <v>21.69</v>
      </c>
      <c r="E33" s="267">
        <f t="shared" ref="E33:G33" si="2">SUM(E27:E32)</f>
        <v>16.95</v>
      </c>
      <c r="F33" s="268">
        <f t="shared" si="2"/>
        <v>119.87</v>
      </c>
      <c r="G33" s="269">
        <f t="shared" si="2"/>
        <v>718.79</v>
      </c>
      <c r="H33" s="76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</row>
    <row r="34" s="1" customFormat="1" customHeight="1" spans="1:58">
      <c r="A34" s="270" t="s">
        <v>40</v>
      </c>
      <c r="B34" s="265"/>
      <c r="C34" s="102">
        <f>C25+C33</f>
        <v>1365</v>
      </c>
      <c r="D34" s="271">
        <f>SUM(D33)+E25</f>
        <v>40.14</v>
      </c>
      <c r="E34" s="271">
        <f t="shared" ref="E34:F34" si="3">SUM(E33)+F25</f>
        <v>94.41</v>
      </c>
      <c r="F34" s="272">
        <f t="shared" si="3"/>
        <v>647.64</v>
      </c>
      <c r="G34" s="273">
        <f>G25+G33</f>
        <v>1246.56</v>
      </c>
      <c r="H34" s="76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</row>
    <row r="35" s="1" customFormat="1" customHeight="1" spans="1:58">
      <c r="A35" s="100"/>
      <c r="B35" s="101"/>
      <c r="C35" s="106"/>
      <c r="D35" s="274"/>
      <c r="E35" s="274"/>
      <c r="F35" s="274"/>
      <c r="G35" s="275"/>
      <c r="H35" s="76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</row>
    <row r="36" ht="17.25" customHeight="1" spans="1:17">
      <c r="A36" s="108"/>
      <c r="B36" s="109" t="s">
        <v>41</v>
      </c>
      <c r="C36" s="109"/>
      <c r="D36" s="109"/>
      <c r="E36" s="109"/>
      <c r="F36" s="109"/>
      <c r="G36" s="109"/>
      <c r="H36" s="76"/>
      <c r="I36" s="154"/>
      <c r="J36" s="152"/>
      <c r="K36" s="3"/>
      <c r="L36" s="3"/>
      <c r="M36" s="3"/>
      <c r="N36" s="3"/>
      <c r="O36" s="3"/>
      <c r="P36" s="3"/>
      <c r="Q36" s="3"/>
    </row>
    <row r="37" ht="17.25" customHeight="1" spans="1:17">
      <c r="A37" s="77" t="s">
        <v>13</v>
      </c>
      <c r="B37" s="110"/>
      <c r="C37" s="110"/>
      <c r="D37" s="110"/>
      <c r="E37" s="110"/>
      <c r="F37" s="276"/>
      <c r="G37" s="276"/>
      <c r="H37" s="76"/>
      <c r="I37" s="154"/>
      <c r="J37" s="152"/>
      <c r="K37" s="3"/>
      <c r="L37" s="3"/>
      <c r="M37" s="3"/>
      <c r="N37" s="3"/>
      <c r="O37" s="3"/>
      <c r="P37" s="3"/>
      <c r="Q37" s="3"/>
    </row>
    <row r="38" s="1" customFormat="1" ht="33" customHeight="1" spans="1:58">
      <c r="A38" s="61"/>
      <c r="B38" s="82" t="s">
        <v>42</v>
      </c>
      <c r="C38" s="83">
        <v>160</v>
      </c>
      <c r="D38" s="257">
        <v>12.9</v>
      </c>
      <c r="E38" s="258">
        <v>12.3</v>
      </c>
      <c r="F38" s="259">
        <v>3.7</v>
      </c>
      <c r="G38" s="260">
        <f>(D38*4)+(E38*9)+(F38*4)</f>
        <v>177.1</v>
      </c>
      <c r="H38" s="87" t="s">
        <v>43</v>
      </c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</row>
    <row r="39" s="1" customFormat="1" customHeight="1" spans="1:58">
      <c r="A39" s="115"/>
      <c r="B39" s="55" t="s">
        <v>44</v>
      </c>
      <c r="C39" s="56">
        <v>60</v>
      </c>
      <c r="D39" s="138">
        <v>1.86</v>
      </c>
      <c r="E39" s="139">
        <v>0.12</v>
      </c>
      <c r="F39" s="140">
        <v>3.9</v>
      </c>
      <c r="G39" s="260">
        <f t="shared" ref="G39:G42" si="4">(D39*4)+(E39*9)+(F39*4)</f>
        <v>24.12</v>
      </c>
      <c r="H39" s="187" t="s">
        <v>45</v>
      </c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</row>
    <row r="40" s="1" customFormat="1" customHeight="1" spans="1:58">
      <c r="A40" s="117"/>
      <c r="B40" s="118" t="s">
        <v>46</v>
      </c>
      <c r="C40" s="56">
        <v>200</v>
      </c>
      <c r="D40" s="138">
        <v>4.9</v>
      </c>
      <c r="E40" s="139">
        <v>5</v>
      </c>
      <c r="F40" s="140">
        <v>32.5</v>
      </c>
      <c r="G40" s="260">
        <f t="shared" si="4"/>
        <v>194.6</v>
      </c>
      <c r="H40" s="277" t="s">
        <v>47</v>
      </c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</row>
    <row r="41" s="1" customFormat="1" customHeight="1" spans="1:58">
      <c r="A41" s="61"/>
      <c r="B41" s="55" t="s">
        <v>22</v>
      </c>
      <c r="C41" s="56">
        <v>40</v>
      </c>
      <c r="D41" s="138">
        <v>3.04</v>
      </c>
      <c r="E41" s="139">
        <v>0.4</v>
      </c>
      <c r="F41" s="140">
        <v>24.6</v>
      </c>
      <c r="G41" s="260">
        <f t="shared" si="4"/>
        <v>114.16</v>
      </c>
      <c r="H41" s="62" t="s">
        <v>23</v>
      </c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</row>
    <row r="42" s="1" customFormat="1" customHeight="1" spans="1:58">
      <c r="A42" s="61"/>
      <c r="B42" s="89" t="s">
        <v>24</v>
      </c>
      <c r="C42" s="90">
        <v>100</v>
      </c>
      <c r="D42" s="245">
        <v>0.4</v>
      </c>
      <c r="E42" s="246">
        <v>0.4</v>
      </c>
      <c r="F42" s="247">
        <v>9.8</v>
      </c>
      <c r="G42" s="260">
        <f t="shared" si="4"/>
        <v>44.4</v>
      </c>
      <c r="H42" s="68" t="s">
        <v>23</v>
      </c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</row>
    <row r="43" s="1" customFormat="1" customHeight="1" spans="1:58">
      <c r="A43" s="278" t="s">
        <v>25</v>
      </c>
      <c r="B43" s="279"/>
      <c r="C43" s="71">
        <v>560</v>
      </c>
      <c r="D43" s="250">
        <f t="shared" ref="D43:G43" si="5">SUM(D38:D42)</f>
        <v>23.1</v>
      </c>
      <c r="E43" s="251">
        <f t="shared" si="5"/>
        <v>18.22</v>
      </c>
      <c r="F43" s="252">
        <f t="shared" si="5"/>
        <v>74.5</v>
      </c>
      <c r="G43" s="253">
        <f t="shared" si="5"/>
        <v>554.38</v>
      </c>
      <c r="H43" s="76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</row>
    <row r="44" ht="17.25" customHeight="1" spans="1:17">
      <c r="A44" s="122" t="s">
        <v>26</v>
      </c>
      <c r="B44" s="280"/>
      <c r="C44" s="124"/>
      <c r="D44" s="255"/>
      <c r="E44" s="255"/>
      <c r="F44" s="256"/>
      <c r="G44" s="256"/>
      <c r="H44" s="76"/>
      <c r="I44" s="153"/>
      <c r="J44" s="152"/>
      <c r="K44" s="3"/>
      <c r="L44" s="3"/>
      <c r="M44" s="3"/>
      <c r="N44" s="3"/>
      <c r="O44" s="3"/>
      <c r="P44" s="3"/>
      <c r="Q44" s="3"/>
    </row>
    <row r="45" s="1" customFormat="1" customHeight="1" spans="1:58">
      <c r="A45" s="61"/>
      <c r="B45" s="82" t="s">
        <v>48</v>
      </c>
      <c r="C45" s="83">
        <v>200</v>
      </c>
      <c r="D45" s="257">
        <v>6.2</v>
      </c>
      <c r="E45" s="258">
        <v>5.6</v>
      </c>
      <c r="F45" s="259">
        <v>22.3</v>
      </c>
      <c r="G45" s="260">
        <f>(D45*4)+(E45*9)+(F45*4)</f>
        <v>164.4</v>
      </c>
      <c r="H45" s="87" t="s">
        <v>49</v>
      </c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</row>
    <row r="46" s="1" customFormat="1" customHeight="1" spans="1:58">
      <c r="A46" s="61"/>
      <c r="B46" s="55" t="s">
        <v>50</v>
      </c>
      <c r="C46" s="56">
        <v>70</v>
      </c>
      <c r="D46" s="138">
        <v>16.7</v>
      </c>
      <c r="E46" s="139">
        <v>9.1</v>
      </c>
      <c r="F46" s="140">
        <v>4.5</v>
      </c>
      <c r="G46" s="260">
        <f t="shared" ref="G46:G50" si="6">(D46*4)+(E46*9)+(F46*4)</f>
        <v>166.7</v>
      </c>
      <c r="H46" s="62" t="s">
        <v>51</v>
      </c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</row>
    <row r="47" s="1" customFormat="1" customHeight="1" spans="1:58">
      <c r="A47" s="61"/>
      <c r="B47" s="55" t="s">
        <v>52</v>
      </c>
      <c r="C47" s="56">
        <v>150</v>
      </c>
      <c r="D47" s="138">
        <v>6.3</v>
      </c>
      <c r="E47" s="139">
        <v>4.5</v>
      </c>
      <c r="F47" s="140">
        <v>38.8</v>
      </c>
      <c r="G47" s="260">
        <f t="shared" si="6"/>
        <v>220.9</v>
      </c>
      <c r="H47" s="62" t="s">
        <v>53</v>
      </c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</row>
    <row r="48" s="1" customFormat="1" customHeight="1" spans="1:58">
      <c r="A48" s="61"/>
      <c r="B48" s="55" t="s">
        <v>54</v>
      </c>
      <c r="C48" s="56">
        <v>50</v>
      </c>
      <c r="D48" s="138">
        <v>1</v>
      </c>
      <c r="E48" s="139">
        <v>0.4</v>
      </c>
      <c r="F48" s="140">
        <v>2.3</v>
      </c>
      <c r="G48" s="260">
        <f t="shared" si="6"/>
        <v>16.8</v>
      </c>
      <c r="H48" s="62" t="s">
        <v>55</v>
      </c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</row>
    <row r="49" s="1" customFormat="1" customHeight="1" spans="1:58">
      <c r="A49" s="61"/>
      <c r="B49" s="55" t="s">
        <v>36</v>
      </c>
      <c r="C49" s="56" t="s">
        <v>37</v>
      </c>
      <c r="D49" s="138">
        <v>7.34</v>
      </c>
      <c r="E49" s="139">
        <v>2.1</v>
      </c>
      <c r="F49" s="140">
        <v>45.9</v>
      </c>
      <c r="G49" s="260">
        <f t="shared" si="6"/>
        <v>231.86</v>
      </c>
      <c r="H49" s="62" t="s">
        <v>23</v>
      </c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</row>
    <row r="50" s="1" customFormat="1" customHeight="1" spans="1:58">
      <c r="A50" s="88"/>
      <c r="B50" s="89" t="s">
        <v>56</v>
      </c>
      <c r="C50" s="90">
        <v>200</v>
      </c>
      <c r="D50" s="261">
        <v>0.6</v>
      </c>
      <c r="E50" s="262">
        <v>0.02</v>
      </c>
      <c r="F50" s="263">
        <v>30.4</v>
      </c>
      <c r="G50" s="260">
        <f t="shared" si="6"/>
        <v>124.18</v>
      </c>
      <c r="H50" s="68" t="s">
        <v>57</v>
      </c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</row>
    <row r="51" s="1" customFormat="1" customHeight="1" spans="1:58">
      <c r="A51" s="264" t="s">
        <v>25</v>
      </c>
      <c r="B51" s="265"/>
      <c r="C51" s="127">
        <f>SUM(C45:C50)+100</f>
        <v>770</v>
      </c>
      <c r="D51" s="250">
        <f>SUM(D45:D50)</f>
        <v>38.14</v>
      </c>
      <c r="E51" s="251">
        <f t="shared" ref="E51:G51" si="7">SUM(E45:E50)</f>
        <v>21.72</v>
      </c>
      <c r="F51" s="252">
        <f t="shared" si="7"/>
        <v>144.2</v>
      </c>
      <c r="G51" s="253">
        <f t="shared" si="7"/>
        <v>924.84</v>
      </c>
      <c r="H51" s="76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</row>
    <row r="52" s="1" customFormat="1" customHeight="1" spans="1:58">
      <c r="A52" s="270" t="s">
        <v>40</v>
      </c>
      <c r="B52" s="265"/>
      <c r="C52" s="130">
        <f>C51+C43</f>
        <v>1330</v>
      </c>
      <c r="D52" s="281">
        <f t="shared" ref="D52:G52" si="8">D51+D43</f>
        <v>61.24</v>
      </c>
      <c r="E52" s="281">
        <f t="shared" si="8"/>
        <v>39.94</v>
      </c>
      <c r="F52" s="282">
        <f t="shared" si="8"/>
        <v>218.7</v>
      </c>
      <c r="G52" s="283">
        <f t="shared" si="8"/>
        <v>1479.22</v>
      </c>
      <c r="H52" s="76"/>
      <c r="I52" s="152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</row>
    <row r="53" s="1" customFormat="1" customHeight="1" spans="1:58">
      <c r="A53" s="100"/>
      <c r="B53" s="101"/>
      <c r="C53" s="106"/>
      <c r="D53" s="274"/>
      <c r="E53" s="274"/>
      <c r="F53" s="274"/>
      <c r="G53" s="275"/>
      <c r="H53" s="76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</row>
    <row r="54" ht="17.25" customHeight="1" spans="1:17">
      <c r="A54" s="134"/>
      <c r="B54" s="135" t="s">
        <v>58</v>
      </c>
      <c r="C54" s="135"/>
      <c r="D54" s="135"/>
      <c r="E54" s="135"/>
      <c r="F54" s="135"/>
      <c r="G54" s="135"/>
      <c r="H54" s="76"/>
      <c r="J54" s="152"/>
      <c r="K54" s="3"/>
      <c r="L54" s="3"/>
      <c r="M54" s="3"/>
      <c r="N54" s="3"/>
      <c r="O54" s="3"/>
      <c r="P54" s="3"/>
      <c r="Q54" s="3"/>
    </row>
    <row r="55" ht="17.25" customHeight="1" spans="1:17">
      <c r="A55" s="77" t="s">
        <v>13</v>
      </c>
      <c r="B55" s="136"/>
      <c r="C55" s="110"/>
      <c r="D55" s="110"/>
      <c r="E55" s="110"/>
      <c r="F55" s="276"/>
      <c r="G55" s="276"/>
      <c r="H55" s="76"/>
      <c r="I55" s="154"/>
      <c r="J55" s="152"/>
      <c r="K55" s="3"/>
      <c r="L55" s="3"/>
      <c r="M55" s="3"/>
      <c r="N55" s="3"/>
      <c r="O55" s="3"/>
      <c r="P55" s="3"/>
      <c r="Q55" s="3"/>
    </row>
    <row r="56" s="1" customFormat="1" customHeight="1" spans="1:58">
      <c r="A56" s="61"/>
      <c r="B56" s="55" t="s">
        <v>59</v>
      </c>
      <c r="C56" s="83">
        <v>90</v>
      </c>
      <c r="D56" s="257">
        <v>11.92</v>
      </c>
      <c r="E56" s="258">
        <v>8.8</v>
      </c>
      <c r="F56" s="259">
        <v>11.64</v>
      </c>
      <c r="G56" s="260">
        <f>(D56*4)+(E56*9)+(F56*4)</f>
        <v>173.44</v>
      </c>
      <c r="H56" s="87" t="s">
        <v>60</v>
      </c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</row>
    <row r="57" s="1" customFormat="1" customHeight="1" spans="1:58">
      <c r="A57" s="61"/>
      <c r="B57" s="55" t="s">
        <v>61</v>
      </c>
      <c r="C57" s="56">
        <v>30</v>
      </c>
      <c r="D57" s="138">
        <v>1.9</v>
      </c>
      <c r="E57" s="139">
        <v>5.2</v>
      </c>
      <c r="F57" s="140">
        <v>5.7</v>
      </c>
      <c r="G57" s="260">
        <f t="shared" ref="G57:G62" si="9">(D57*4)+(E57*9)+(F57*4)</f>
        <v>77.2</v>
      </c>
      <c r="H57" s="62" t="s">
        <v>62</v>
      </c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</row>
    <row r="58" s="1" customFormat="1" customHeight="1" spans="1:58">
      <c r="A58" s="61"/>
      <c r="B58" s="55" t="s">
        <v>63</v>
      </c>
      <c r="C58" s="56">
        <v>150</v>
      </c>
      <c r="D58" s="138">
        <v>1.42</v>
      </c>
      <c r="E58" s="139">
        <v>1.8</v>
      </c>
      <c r="F58" s="140">
        <v>10.3</v>
      </c>
      <c r="G58" s="260">
        <f t="shared" si="9"/>
        <v>63.08</v>
      </c>
      <c r="H58" s="62" t="s">
        <v>64</v>
      </c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</row>
    <row r="59" s="1" customFormat="1" customHeight="1" spans="1:58">
      <c r="A59" s="61"/>
      <c r="B59" s="55" t="s">
        <v>54</v>
      </c>
      <c r="C59" s="56">
        <v>60</v>
      </c>
      <c r="D59" s="138">
        <v>1</v>
      </c>
      <c r="E59" s="139">
        <v>0.4</v>
      </c>
      <c r="F59" s="140">
        <v>2.3</v>
      </c>
      <c r="G59" s="260">
        <f t="shared" si="9"/>
        <v>16.8</v>
      </c>
      <c r="H59" s="62" t="s">
        <v>65</v>
      </c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</row>
    <row r="60" s="1" customFormat="1" customHeight="1" spans="1:58">
      <c r="A60" s="61"/>
      <c r="B60" s="55" t="s">
        <v>22</v>
      </c>
      <c r="C60" s="56">
        <v>40</v>
      </c>
      <c r="D60" s="138">
        <v>3.04</v>
      </c>
      <c r="E60" s="139">
        <v>0.4</v>
      </c>
      <c r="F60" s="140">
        <v>24.6</v>
      </c>
      <c r="G60" s="260">
        <f t="shared" si="9"/>
        <v>114.16</v>
      </c>
      <c r="H60" s="62" t="s">
        <v>23</v>
      </c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</row>
    <row r="61" s="1" customFormat="1" ht="33" customHeight="1" spans="1:58">
      <c r="A61" s="61"/>
      <c r="B61" s="137" t="s">
        <v>66</v>
      </c>
      <c r="C61" s="56" t="s">
        <v>67</v>
      </c>
      <c r="D61" s="138">
        <v>0.4</v>
      </c>
      <c r="E61" s="139">
        <v>0.04</v>
      </c>
      <c r="F61" s="140">
        <v>32</v>
      </c>
      <c r="G61" s="260">
        <f t="shared" si="9"/>
        <v>129.96</v>
      </c>
      <c r="H61" s="62" t="s">
        <v>23</v>
      </c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</row>
    <row r="62" s="1" customFormat="1" ht="24" customHeight="1" spans="1:58">
      <c r="A62" s="88"/>
      <c r="B62" s="89" t="s">
        <v>68</v>
      </c>
      <c r="C62" s="90">
        <v>200</v>
      </c>
      <c r="D62" s="261">
        <v>0.3</v>
      </c>
      <c r="E62" s="262">
        <v>0.01</v>
      </c>
      <c r="F62" s="263">
        <v>15.2</v>
      </c>
      <c r="G62" s="260">
        <f t="shared" si="9"/>
        <v>62.09</v>
      </c>
      <c r="H62" s="68" t="s">
        <v>69</v>
      </c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</row>
    <row r="63" s="1" customFormat="1" customHeight="1" spans="1:58">
      <c r="A63" s="278" t="s">
        <v>25</v>
      </c>
      <c r="B63" s="284"/>
      <c r="C63" s="142">
        <f>SUM(C56:C62)+40+180+15+7</f>
        <v>812</v>
      </c>
      <c r="D63" s="285">
        <f>SUM(D56:D62)</f>
        <v>19.98</v>
      </c>
      <c r="E63" s="286">
        <f t="shared" ref="E63:G63" si="10">SUM(E56:E62)</f>
        <v>16.65</v>
      </c>
      <c r="F63" s="287">
        <f t="shared" si="10"/>
        <v>101.74</v>
      </c>
      <c r="G63" s="288">
        <f t="shared" si="10"/>
        <v>636.73</v>
      </c>
      <c r="H63" s="76"/>
      <c r="I63" s="152"/>
      <c r="J63" s="152"/>
      <c r="K63" s="152"/>
      <c r="L63" s="152"/>
      <c r="M63" s="152"/>
      <c r="N63" s="152">
        <v>2</v>
      </c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</row>
    <row r="64" ht="17.25" customHeight="1" spans="1:17">
      <c r="A64" s="147" t="s">
        <v>26</v>
      </c>
      <c r="B64" s="289"/>
      <c r="C64" s="124"/>
      <c r="D64" s="255"/>
      <c r="E64" s="255"/>
      <c r="F64" s="256"/>
      <c r="G64" s="256"/>
      <c r="H64" s="76"/>
      <c r="I64" s="153"/>
      <c r="J64" s="152"/>
      <c r="K64" s="3"/>
      <c r="L64" s="3"/>
      <c r="M64" s="3"/>
      <c r="N64" s="3"/>
      <c r="O64" s="3"/>
      <c r="P64" s="3"/>
      <c r="Q64" s="3"/>
    </row>
    <row r="65" s="1" customFormat="1" customHeight="1" spans="1:58">
      <c r="A65" s="160"/>
      <c r="B65" s="161" t="s">
        <v>70</v>
      </c>
      <c r="C65" s="162">
        <v>200</v>
      </c>
      <c r="D65" s="257">
        <v>2.6</v>
      </c>
      <c r="E65" s="258">
        <v>5.3</v>
      </c>
      <c r="F65" s="259">
        <v>14.3</v>
      </c>
      <c r="G65" s="260">
        <f>(D65*4)+(E65*9)+(F65*4)</f>
        <v>115.3</v>
      </c>
      <c r="H65" s="163" t="s">
        <v>71</v>
      </c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</row>
    <row r="66" s="1" customFormat="1" customHeight="1" spans="1:58">
      <c r="A66" s="61"/>
      <c r="B66" s="55" t="s">
        <v>72</v>
      </c>
      <c r="C66" s="56">
        <v>50</v>
      </c>
      <c r="D66" s="138">
        <v>12.4</v>
      </c>
      <c r="E66" s="139">
        <v>9.2</v>
      </c>
      <c r="F66" s="140">
        <v>12.5</v>
      </c>
      <c r="G66" s="260">
        <f t="shared" ref="G66:G70" si="11">(D66*4)+(E66*9)+(F66*4)</f>
        <v>182.4</v>
      </c>
      <c r="H66" s="62" t="s">
        <v>73</v>
      </c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</row>
    <row r="67" s="1" customFormat="1" ht="21" customHeight="1" spans="1:58">
      <c r="A67" s="61"/>
      <c r="B67" s="55" t="s">
        <v>74</v>
      </c>
      <c r="C67" s="56">
        <v>150</v>
      </c>
      <c r="D67" s="138">
        <v>5.68</v>
      </c>
      <c r="E67" s="139">
        <v>4.36</v>
      </c>
      <c r="F67" s="140">
        <v>27.25</v>
      </c>
      <c r="G67" s="260">
        <f t="shared" si="11"/>
        <v>170.96</v>
      </c>
      <c r="H67" s="62" t="s">
        <v>75</v>
      </c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</row>
    <row r="68" s="1" customFormat="1" ht="21" customHeight="1" spans="1:58">
      <c r="A68" s="61"/>
      <c r="B68" s="55" t="s">
        <v>54</v>
      </c>
      <c r="C68" s="56">
        <v>30</v>
      </c>
      <c r="D68" s="138">
        <v>1</v>
      </c>
      <c r="E68" s="139">
        <v>0.4</v>
      </c>
      <c r="F68" s="140">
        <v>2.3</v>
      </c>
      <c r="G68" s="260">
        <f t="shared" si="11"/>
        <v>16.8</v>
      </c>
      <c r="H68" s="62" t="s">
        <v>65</v>
      </c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</row>
    <row r="69" s="1" customFormat="1" customHeight="1" spans="1:58">
      <c r="A69" s="61"/>
      <c r="B69" s="55" t="s">
        <v>36</v>
      </c>
      <c r="C69" s="56" t="s">
        <v>76</v>
      </c>
      <c r="D69" s="138">
        <v>7.34</v>
      </c>
      <c r="E69" s="139">
        <v>2.1</v>
      </c>
      <c r="F69" s="140">
        <v>45.9</v>
      </c>
      <c r="G69" s="260">
        <f t="shared" si="11"/>
        <v>231.86</v>
      </c>
      <c r="H69" s="62" t="s">
        <v>23</v>
      </c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</row>
    <row r="70" s="1" customFormat="1" customHeight="1" spans="1:58">
      <c r="A70" s="88"/>
      <c r="B70" s="89" t="s">
        <v>77</v>
      </c>
      <c r="C70" s="90">
        <v>200</v>
      </c>
      <c r="D70" s="261">
        <v>0.2</v>
      </c>
      <c r="E70" s="262">
        <v>0.04</v>
      </c>
      <c r="F70" s="263">
        <v>27.3</v>
      </c>
      <c r="G70" s="260">
        <f t="shared" si="11"/>
        <v>110.36</v>
      </c>
      <c r="H70" s="68" t="s">
        <v>78</v>
      </c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</row>
    <row r="71" s="1" customFormat="1" customHeight="1" spans="1:58">
      <c r="A71" s="264" t="s">
        <v>25</v>
      </c>
      <c r="B71" s="265"/>
      <c r="C71" s="164">
        <f>SUM(C65:C70)+275+100</f>
        <v>1005</v>
      </c>
      <c r="D71" s="290">
        <f t="shared" ref="D71:G71" si="12">SUM(D65:D70)</f>
        <v>29.22</v>
      </c>
      <c r="E71" s="291">
        <f t="shared" si="12"/>
        <v>21.4</v>
      </c>
      <c r="F71" s="292">
        <f t="shared" si="12"/>
        <v>129.55</v>
      </c>
      <c r="G71" s="293">
        <f t="shared" si="12"/>
        <v>827.68</v>
      </c>
      <c r="H71" s="76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</row>
    <row r="72" s="1" customFormat="1" customHeight="1" spans="1:58">
      <c r="A72" s="270" t="s">
        <v>40</v>
      </c>
      <c r="B72" s="265"/>
      <c r="C72" s="130">
        <f>C71+C63</f>
        <v>1817</v>
      </c>
      <c r="D72" s="281">
        <f t="shared" ref="D72:G72" si="13">D71+D63</f>
        <v>49.2</v>
      </c>
      <c r="E72" s="294">
        <f t="shared" si="13"/>
        <v>38.05</v>
      </c>
      <c r="F72" s="295">
        <f t="shared" si="13"/>
        <v>231.29</v>
      </c>
      <c r="G72" s="283">
        <f t="shared" si="13"/>
        <v>1464.41</v>
      </c>
      <c r="H72" s="76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</row>
    <row r="73" s="1" customFormat="1" customHeight="1" spans="1:58">
      <c r="A73" s="100"/>
      <c r="B73" s="101"/>
      <c r="C73" s="106"/>
      <c r="D73" s="296"/>
      <c r="E73" s="296"/>
      <c r="F73" s="296"/>
      <c r="G73" s="297"/>
      <c r="H73" s="76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</row>
    <row r="74" ht="17.25" customHeight="1" spans="1:17">
      <c r="A74" s="134"/>
      <c r="B74" s="135" t="s">
        <v>79</v>
      </c>
      <c r="C74" s="135"/>
      <c r="D74" s="135"/>
      <c r="E74" s="135"/>
      <c r="F74" s="135"/>
      <c r="G74" s="135"/>
      <c r="H74" s="76"/>
      <c r="I74" s="152"/>
      <c r="J74" s="152"/>
      <c r="K74" s="3"/>
      <c r="L74" s="3"/>
      <c r="M74" s="3"/>
      <c r="N74" s="3"/>
      <c r="O74" s="3"/>
      <c r="P74" s="3"/>
      <c r="Q74" s="3"/>
    </row>
    <row r="75" ht="17.25" customHeight="1" spans="1:17">
      <c r="A75" s="172" t="s">
        <v>13</v>
      </c>
      <c r="B75" s="173"/>
      <c r="C75" s="110"/>
      <c r="D75" s="173"/>
      <c r="E75" s="173"/>
      <c r="F75" s="298"/>
      <c r="G75" s="298"/>
      <c r="H75" s="76"/>
      <c r="I75" s="152"/>
      <c r="J75" s="152"/>
      <c r="K75" s="3"/>
      <c r="L75" s="3"/>
      <c r="M75" s="3"/>
      <c r="N75" s="3"/>
      <c r="O75" s="3"/>
      <c r="P75" s="3"/>
      <c r="Q75" s="3"/>
    </row>
    <row r="76" s="1" customFormat="1" customHeight="1" spans="1:58">
      <c r="A76" s="175"/>
      <c r="B76" s="176" t="s">
        <v>80</v>
      </c>
      <c r="C76" s="83">
        <v>160</v>
      </c>
      <c r="D76" s="299">
        <v>9.57</v>
      </c>
      <c r="E76" s="300">
        <v>6.49</v>
      </c>
      <c r="F76" s="301">
        <v>20.8</v>
      </c>
      <c r="G76" s="260">
        <f>(D76*4)+(E76*9)+(F76*4)</f>
        <v>179.89</v>
      </c>
      <c r="H76" s="53" t="s">
        <v>81</v>
      </c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</row>
    <row r="77" s="1" customFormat="1" customHeight="1" spans="1:58">
      <c r="A77" s="54"/>
      <c r="B77" s="177" t="s">
        <v>82</v>
      </c>
      <c r="C77" s="56">
        <v>15</v>
      </c>
      <c r="D77" s="188">
        <v>1.9</v>
      </c>
      <c r="E77" s="189">
        <v>5.2</v>
      </c>
      <c r="F77" s="190">
        <v>5.7</v>
      </c>
      <c r="G77" s="260">
        <f t="shared" ref="G77:G81" si="14">(D77*4)+(E77*9)+(F77*4)</f>
        <v>77.2</v>
      </c>
      <c r="H77" s="60" t="s">
        <v>83</v>
      </c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</row>
    <row r="78" s="1" customFormat="1" customHeight="1" spans="1:58">
      <c r="A78" s="54"/>
      <c r="B78" s="177" t="s">
        <v>84</v>
      </c>
      <c r="C78" s="56">
        <v>200</v>
      </c>
      <c r="D78" s="188">
        <v>3.3</v>
      </c>
      <c r="E78" s="189">
        <v>3</v>
      </c>
      <c r="F78" s="190">
        <v>16.6</v>
      </c>
      <c r="G78" s="260">
        <f t="shared" si="14"/>
        <v>106.6</v>
      </c>
      <c r="H78" s="60" t="s">
        <v>85</v>
      </c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</row>
    <row r="79" s="1" customFormat="1" customHeight="1" spans="1:58">
      <c r="A79" s="54"/>
      <c r="B79" s="55" t="s">
        <v>18</v>
      </c>
      <c r="C79" s="56">
        <v>20</v>
      </c>
      <c r="D79" s="138">
        <v>5</v>
      </c>
      <c r="E79" s="139">
        <v>5</v>
      </c>
      <c r="F79" s="140">
        <v>6.46</v>
      </c>
      <c r="G79" s="260">
        <f t="shared" si="14"/>
        <v>90.84</v>
      </c>
      <c r="H79" s="60" t="s">
        <v>19</v>
      </c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</row>
    <row r="80" s="1" customFormat="1" customHeight="1" spans="1:58">
      <c r="A80" s="54"/>
      <c r="B80" s="177" t="s">
        <v>86</v>
      </c>
      <c r="C80" s="56">
        <v>100</v>
      </c>
      <c r="D80" s="245">
        <v>0.4</v>
      </c>
      <c r="E80" s="246">
        <v>0.4</v>
      </c>
      <c r="F80" s="247">
        <v>9.8</v>
      </c>
      <c r="G80" s="260">
        <f t="shared" si="14"/>
        <v>44.4</v>
      </c>
      <c r="H80" s="60" t="s">
        <v>23</v>
      </c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</row>
    <row r="81" s="1" customFormat="1" customHeight="1" spans="1:58">
      <c r="A81" s="54"/>
      <c r="B81" s="178" t="s">
        <v>22</v>
      </c>
      <c r="C81" s="90">
        <v>40</v>
      </c>
      <c r="D81" s="138">
        <v>3.04</v>
      </c>
      <c r="E81" s="139">
        <v>0.4</v>
      </c>
      <c r="F81" s="140">
        <v>24.6</v>
      </c>
      <c r="G81" s="260">
        <f t="shared" si="14"/>
        <v>114.16</v>
      </c>
      <c r="H81" s="179" t="s">
        <v>23</v>
      </c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</row>
    <row r="82" s="1" customFormat="1" customHeight="1" spans="1:58">
      <c r="A82" s="278" t="s">
        <v>25</v>
      </c>
      <c r="B82" s="284"/>
      <c r="C82" s="48">
        <f>SUM(C76:C81)</f>
        <v>535</v>
      </c>
      <c r="D82" s="285">
        <f>SUM(D76:D81)</f>
        <v>23.21</v>
      </c>
      <c r="E82" s="286">
        <f t="shared" ref="E82:G82" si="15">SUM(E76:E81)</f>
        <v>20.49</v>
      </c>
      <c r="F82" s="287">
        <f t="shared" si="15"/>
        <v>83.96</v>
      </c>
      <c r="G82" s="288">
        <f t="shared" si="15"/>
        <v>613.09</v>
      </c>
      <c r="H82" s="180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</row>
    <row r="83" ht="17.25" customHeight="1" spans="1:17">
      <c r="A83" s="147" t="s">
        <v>26</v>
      </c>
      <c r="B83" s="289"/>
      <c r="C83" s="124"/>
      <c r="D83" s="255"/>
      <c r="E83" s="255"/>
      <c r="F83" s="256"/>
      <c r="G83" s="256"/>
      <c r="H83" s="76"/>
      <c r="I83" s="153"/>
      <c r="J83" s="152"/>
      <c r="K83" s="3"/>
      <c r="L83" s="3"/>
      <c r="M83" s="3"/>
      <c r="N83" s="3"/>
      <c r="O83" s="3"/>
      <c r="P83" s="3"/>
      <c r="Q83" s="3"/>
    </row>
    <row r="84" s="1" customFormat="1" customHeight="1" spans="1:58">
      <c r="A84" s="175"/>
      <c r="B84" s="82" t="s">
        <v>87</v>
      </c>
      <c r="C84" s="83">
        <v>200</v>
      </c>
      <c r="D84" s="299">
        <v>1.8</v>
      </c>
      <c r="E84" s="300">
        <v>5.2</v>
      </c>
      <c r="F84" s="301">
        <v>16.4</v>
      </c>
      <c r="G84" s="260">
        <f>(D84*4)+(E84*9)+(F84*4)</f>
        <v>119.6</v>
      </c>
      <c r="H84" s="53" t="s">
        <v>88</v>
      </c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</row>
    <row r="85" s="1" customFormat="1" customHeight="1" spans="1:58">
      <c r="A85" s="54"/>
      <c r="B85" s="55" t="s">
        <v>89</v>
      </c>
      <c r="C85" s="56">
        <v>150</v>
      </c>
      <c r="D85" s="188">
        <v>20</v>
      </c>
      <c r="E85" s="189">
        <v>10</v>
      </c>
      <c r="F85" s="190">
        <v>24</v>
      </c>
      <c r="G85" s="260">
        <f t="shared" ref="G85:G88" si="16">(D85*4)+(E85*9)+(F85*4)</f>
        <v>266</v>
      </c>
      <c r="H85" s="60" t="s">
        <v>90</v>
      </c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</row>
    <row r="86" s="1" customFormat="1" customHeight="1" spans="1:58">
      <c r="A86" s="54"/>
      <c r="B86" s="55" t="s">
        <v>91</v>
      </c>
      <c r="C86" s="56">
        <v>50</v>
      </c>
      <c r="D86" s="138">
        <v>0.8</v>
      </c>
      <c r="E86" s="139">
        <v>5</v>
      </c>
      <c r="F86" s="140">
        <v>1.79</v>
      </c>
      <c r="G86" s="260">
        <f t="shared" si="16"/>
        <v>55.36</v>
      </c>
      <c r="H86" s="60" t="s">
        <v>92</v>
      </c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</row>
    <row r="87" s="1" customFormat="1" customHeight="1" spans="1:58">
      <c r="A87" s="54"/>
      <c r="B87" s="55" t="s">
        <v>36</v>
      </c>
      <c r="C87" s="56" t="s">
        <v>37</v>
      </c>
      <c r="D87" s="138">
        <v>7.34</v>
      </c>
      <c r="E87" s="139">
        <v>2.1</v>
      </c>
      <c r="F87" s="140">
        <v>45.9</v>
      </c>
      <c r="G87" s="260">
        <f t="shared" si="16"/>
        <v>231.86</v>
      </c>
      <c r="H87" s="60" t="s">
        <v>23</v>
      </c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</row>
    <row r="88" s="1" customFormat="1" customHeight="1" spans="1:58">
      <c r="A88" s="181"/>
      <c r="B88" s="89" t="s">
        <v>93</v>
      </c>
      <c r="C88" s="90">
        <v>200</v>
      </c>
      <c r="D88" s="261">
        <v>0.6</v>
      </c>
      <c r="E88" s="262">
        <v>0.02</v>
      </c>
      <c r="F88" s="263">
        <v>30.4</v>
      </c>
      <c r="G88" s="260">
        <f t="shared" si="16"/>
        <v>124.18</v>
      </c>
      <c r="H88" s="179" t="s">
        <v>94</v>
      </c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</row>
    <row r="89" s="1" customFormat="1" customHeight="1" spans="1:58">
      <c r="A89" s="264" t="s">
        <v>25</v>
      </c>
      <c r="B89" s="265"/>
      <c r="C89" s="182">
        <f>SUM(C84:C88)+100</f>
        <v>700</v>
      </c>
      <c r="D89" s="302">
        <f>SUM(D84:D88)</f>
        <v>30.54</v>
      </c>
      <c r="E89" s="303">
        <f t="shared" ref="E89:G89" si="17">SUM(E84:E88)</f>
        <v>22.32</v>
      </c>
      <c r="F89" s="304">
        <f t="shared" si="17"/>
        <v>118.49</v>
      </c>
      <c r="G89" s="305">
        <f t="shared" si="17"/>
        <v>797</v>
      </c>
      <c r="H89" s="76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</row>
    <row r="90" s="1" customFormat="1" customHeight="1" spans="1:58">
      <c r="A90" s="270" t="s">
        <v>40</v>
      </c>
      <c r="B90" s="265"/>
      <c r="C90" s="164">
        <f>C89+C82</f>
        <v>1235</v>
      </c>
      <c r="D90" s="306">
        <f t="shared" ref="D90:G90" si="18">D89+D82</f>
        <v>53.75</v>
      </c>
      <c r="E90" s="307">
        <f t="shared" si="18"/>
        <v>42.81</v>
      </c>
      <c r="F90" s="308">
        <f t="shared" si="18"/>
        <v>202.45</v>
      </c>
      <c r="G90" s="309">
        <f t="shared" si="18"/>
        <v>1410.09</v>
      </c>
      <c r="H90" s="81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</row>
    <row r="91" s="1" customFormat="1" customHeight="1" spans="1:58">
      <c r="A91" s="100"/>
      <c r="B91" s="101"/>
      <c r="C91" s="106"/>
      <c r="D91" s="296"/>
      <c r="E91" s="296"/>
      <c r="F91" s="296"/>
      <c r="G91" s="297"/>
      <c r="H91" s="76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</row>
    <row r="92" ht="17.25" customHeight="1" spans="1:17">
      <c r="A92" s="134"/>
      <c r="B92" s="109" t="s">
        <v>95</v>
      </c>
      <c r="C92" s="109"/>
      <c r="D92" s="109"/>
      <c r="E92" s="109"/>
      <c r="F92" s="109"/>
      <c r="G92" s="109"/>
      <c r="H92" s="76"/>
      <c r="J92" s="152"/>
      <c r="K92" s="3"/>
      <c r="L92" s="3"/>
      <c r="M92" s="3"/>
      <c r="N92" s="3"/>
      <c r="O92" s="3"/>
      <c r="P92" s="3"/>
      <c r="Q92" s="3"/>
    </row>
    <row r="93" ht="17.25" customHeight="1" spans="1:17">
      <c r="A93" s="183" t="s">
        <v>13</v>
      </c>
      <c r="B93" s="184"/>
      <c r="C93" s="110"/>
      <c r="D93" s="173"/>
      <c r="E93" s="173"/>
      <c r="F93" s="298"/>
      <c r="G93" s="298"/>
      <c r="H93" s="76"/>
      <c r="J93" s="152"/>
      <c r="K93" s="3"/>
      <c r="L93" s="3"/>
      <c r="M93" s="3"/>
      <c r="N93" s="3"/>
      <c r="O93" s="3"/>
      <c r="P93" s="3"/>
      <c r="Q93" s="3"/>
    </row>
    <row r="94" s="1" customFormat="1" customHeight="1" spans="1:58">
      <c r="A94" s="185"/>
      <c r="B94" s="177" t="s">
        <v>96</v>
      </c>
      <c r="C94" s="83">
        <v>90</v>
      </c>
      <c r="D94" s="299">
        <v>20.63</v>
      </c>
      <c r="E94" s="300">
        <v>16.3</v>
      </c>
      <c r="F94" s="301">
        <v>5.24</v>
      </c>
      <c r="G94" s="260">
        <f>(D94*4)+(E94*9)+(F94*4)</f>
        <v>250.18</v>
      </c>
      <c r="H94" s="186" t="s">
        <v>97</v>
      </c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</row>
    <row r="95" s="1" customFormat="1" customHeight="1" spans="1:58">
      <c r="A95" s="115"/>
      <c r="B95" s="55" t="s">
        <v>54</v>
      </c>
      <c r="C95" s="56">
        <v>60</v>
      </c>
      <c r="D95" s="138">
        <v>1</v>
      </c>
      <c r="E95" s="139">
        <v>0.4</v>
      </c>
      <c r="F95" s="140">
        <v>2.3</v>
      </c>
      <c r="G95" s="260">
        <f t="shared" ref="G95:G99" si="19">(D95*4)+(E95*9)+(F95*4)</f>
        <v>16.8</v>
      </c>
      <c r="H95" s="187" t="s">
        <v>65</v>
      </c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</row>
    <row r="96" s="1" customFormat="1" customHeight="1" spans="1:58">
      <c r="A96" s="115"/>
      <c r="B96" s="177" t="s">
        <v>98</v>
      </c>
      <c r="C96" s="56">
        <v>150</v>
      </c>
      <c r="D96" s="188">
        <v>4.5</v>
      </c>
      <c r="E96" s="189">
        <v>5.1</v>
      </c>
      <c r="F96" s="190">
        <v>21.9</v>
      </c>
      <c r="G96" s="260">
        <f t="shared" si="19"/>
        <v>151.5</v>
      </c>
      <c r="H96" s="187" t="s">
        <v>99</v>
      </c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</row>
    <row r="97" s="1" customFormat="1" customHeight="1" spans="1:58">
      <c r="A97" s="115"/>
      <c r="B97" s="177" t="s">
        <v>68</v>
      </c>
      <c r="C97" s="56">
        <v>200</v>
      </c>
      <c r="D97" s="138">
        <v>0.3</v>
      </c>
      <c r="E97" s="139">
        <v>0</v>
      </c>
      <c r="F97" s="140">
        <v>15</v>
      </c>
      <c r="G97" s="260">
        <f t="shared" si="19"/>
        <v>61.2</v>
      </c>
      <c r="H97" s="187" t="s">
        <v>100</v>
      </c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</row>
    <row r="98" s="1" customFormat="1" customHeight="1" spans="1:58">
      <c r="A98" s="115"/>
      <c r="B98" s="177" t="s">
        <v>22</v>
      </c>
      <c r="C98" s="191">
        <v>40</v>
      </c>
      <c r="D98" s="138">
        <v>3.04</v>
      </c>
      <c r="E98" s="139">
        <v>0.4</v>
      </c>
      <c r="F98" s="140">
        <v>24.6</v>
      </c>
      <c r="G98" s="260">
        <f t="shared" si="19"/>
        <v>114.16</v>
      </c>
      <c r="H98" s="187" t="s">
        <v>23</v>
      </c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</row>
    <row r="99" s="1" customFormat="1" customHeight="1" spans="1:58">
      <c r="A99" s="192"/>
      <c r="B99" s="193" t="s">
        <v>101</v>
      </c>
      <c r="C99" s="194">
        <v>40</v>
      </c>
      <c r="D99" s="310">
        <v>6.35</v>
      </c>
      <c r="E99" s="311">
        <v>1.38</v>
      </c>
      <c r="F99" s="312">
        <v>36.54</v>
      </c>
      <c r="G99" s="260">
        <f t="shared" si="19"/>
        <v>183.98</v>
      </c>
      <c r="H99" s="195" t="s">
        <v>102</v>
      </c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</row>
    <row r="100" s="1" customFormat="1" customHeight="1" spans="1:58">
      <c r="A100" s="278" t="s">
        <v>25</v>
      </c>
      <c r="B100" s="284"/>
      <c r="C100" s="48">
        <f>SUM(C94:C99)+180+15+7</f>
        <v>782</v>
      </c>
      <c r="D100" s="285">
        <f>SUM(D94:D99)</f>
        <v>35.82</v>
      </c>
      <c r="E100" s="286">
        <f t="shared" ref="E100:G100" si="20">SUM(E94:E99)</f>
        <v>23.58</v>
      </c>
      <c r="F100" s="287">
        <f t="shared" si="20"/>
        <v>105.58</v>
      </c>
      <c r="G100" s="313">
        <f t="shared" si="20"/>
        <v>777.82</v>
      </c>
      <c r="H100" s="41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</row>
    <row r="101" ht="17.25" customHeight="1" spans="1:17">
      <c r="A101" s="147" t="s">
        <v>26</v>
      </c>
      <c r="B101" s="289"/>
      <c r="C101" s="124"/>
      <c r="D101" s="255"/>
      <c r="E101" s="255"/>
      <c r="F101" s="256"/>
      <c r="G101" s="256"/>
      <c r="H101" s="76"/>
      <c r="I101" s="153"/>
      <c r="J101" s="152"/>
      <c r="K101" s="3"/>
      <c r="L101" s="3"/>
      <c r="M101" s="3"/>
      <c r="N101" s="3"/>
      <c r="O101" s="3"/>
      <c r="P101" s="3"/>
      <c r="Q101" s="3"/>
    </row>
    <row r="102" s="1" customFormat="1" customHeight="1" spans="1:58">
      <c r="A102" s="196"/>
      <c r="B102" s="82" t="s">
        <v>103</v>
      </c>
      <c r="C102" s="83">
        <v>200</v>
      </c>
      <c r="D102" s="299">
        <v>1.52</v>
      </c>
      <c r="E102" s="300">
        <v>5.4</v>
      </c>
      <c r="F102" s="301">
        <v>8.6</v>
      </c>
      <c r="G102" s="260">
        <f>(D102*4)+(E102*9)+(F102*4)</f>
        <v>89.08</v>
      </c>
      <c r="H102" s="197" t="s">
        <v>104</v>
      </c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</row>
    <row r="103" s="1" customFormat="1" customHeight="1" spans="1:58">
      <c r="A103" s="198"/>
      <c r="B103" s="55" t="s">
        <v>105</v>
      </c>
      <c r="C103" s="56">
        <v>70</v>
      </c>
      <c r="D103" s="188">
        <v>13.35</v>
      </c>
      <c r="E103" s="189">
        <v>7.19</v>
      </c>
      <c r="F103" s="190">
        <v>6.01</v>
      </c>
      <c r="G103" s="260">
        <f t="shared" ref="G103:G107" si="21">(D103*4)+(E103*9)+(F103*4)</f>
        <v>142.15</v>
      </c>
      <c r="H103" s="199" t="s">
        <v>106</v>
      </c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</row>
    <row r="104" s="1" customFormat="1" customHeight="1" spans="1:58">
      <c r="A104" s="61"/>
      <c r="B104" s="55" t="s">
        <v>32</v>
      </c>
      <c r="C104" s="56">
        <v>150</v>
      </c>
      <c r="D104" s="138">
        <v>3.64</v>
      </c>
      <c r="E104" s="139">
        <v>5.37</v>
      </c>
      <c r="F104" s="140">
        <v>36.7</v>
      </c>
      <c r="G104" s="260">
        <f t="shared" si="21"/>
        <v>209.69</v>
      </c>
      <c r="H104" s="62" t="s">
        <v>107</v>
      </c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</row>
    <row r="105" s="1" customFormat="1" customHeight="1" spans="1:58">
      <c r="A105" s="61"/>
      <c r="B105" s="55" t="s">
        <v>44</v>
      </c>
      <c r="C105" s="56">
        <v>30</v>
      </c>
      <c r="D105" s="138">
        <v>1.86</v>
      </c>
      <c r="E105" s="139">
        <v>0.12</v>
      </c>
      <c r="F105" s="140">
        <v>3.9</v>
      </c>
      <c r="G105" s="260">
        <f t="shared" si="21"/>
        <v>24.12</v>
      </c>
      <c r="H105" s="62" t="s">
        <v>45</v>
      </c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</row>
    <row r="106" s="1" customFormat="1" customHeight="1" spans="1:58">
      <c r="A106" s="61"/>
      <c r="B106" s="55" t="s">
        <v>36</v>
      </c>
      <c r="C106" s="56" t="s">
        <v>37</v>
      </c>
      <c r="D106" s="138">
        <v>7.34</v>
      </c>
      <c r="E106" s="139">
        <v>2.1</v>
      </c>
      <c r="F106" s="140">
        <v>45.9</v>
      </c>
      <c r="G106" s="260">
        <f t="shared" si="21"/>
        <v>231.86</v>
      </c>
      <c r="H106" s="62" t="s">
        <v>23</v>
      </c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</row>
    <row r="107" s="1" customFormat="1" customHeight="1" spans="1:58">
      <c r="A107" s="88"/>
      <c r="B107" s="89" t="s">
        <v>38</v>
      </c>
      <c r="C107" s="90">
        <v>200</v>
      </c>
      <c r="D107" s="261">
        <v>0.6</v>
      </c>
      <c r="E107" s="262">
        <v>0.09</v>
      </c>
      <c r="F107" s="263">
        <v>17.3</v>
      </c>
      <c r="G107" s="260">
        <f t="shared" si="21"/>
        <v>72.41</v>
      </c>
      <c r="H107" s="68" t="s">
        <v>39</v>
      </c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</row>
    <row r="108" s="1" customFormat="1" customHeight="1" spans="1:58">
      <c r="A108" s="264" t="s">
        <v>25</v>
      </c>
      <c r="B108" s="265"/>
      <c r="C108" s="182">
        <f>SUM(C102:C107)+100</f>
        <v>750</v>
      </c>
      <c r="D108" s="314">
        <f t="shared" ref="D108:G108" si="22">SUM(D102:D107)</f>
        <v>28.31</v>
      </c>
      <c r="E108" s="315">
        <f t="shared" si="22"/>
        <v>20.27</v>
      </c>
      <c r="F108" s="316">
        <f t="shared" si="22"/>
        <v>118.41</v>
      </c>
      <c r="G108" s="317">
        <f t="shared" si="22"/>
        <v>769.31</v>
      </c>
      <c r="H108" s="81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</row>
    <row r="109" s="1" customFormat="1" customHeight="1" spans="1:58">
      <c r="A109" s="270" t="s">
        <v>40</v>
      </c>
      <c r="B109" s="265"/>
      <c r="C109" s="164">
        <f>C108+C100</f>
        <v>1532</v>
      </c>
      <c r="D109" s="318">
        <f t="shared" ref="D109:G109" si="23">D108+D100</f>
        <v>64.13</v>
      </c>
      <c r="E109" s="319">
        <f t="shared" si="23"/>
        <v>43.85</v>
      </c>
      <c r="F109" s="320">
        <f t="shared" si="23"/>
        <v>223.99</v>
      </c>
      <c r="G109" s="321">
        <f t="shared" si="23"/>
        <v>1547.13</v>
      </c>
      <c r="H109" s="76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</row>
    <row r="110" s="1" customFormat="1" customHeight="1" spans="1:58">
      <c r="A110" s="100"/>
      <c r="B110" s="101"/>
      <c r="C110" s="106"/>
      <c r="D110" s="296"/>
      <c r="E110" s="296"/>
      <c r="F110" s="296"/>
      <c r="G110" s="297"/>
      <c r="H110" s="76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</row>
    <row r="111" ht="17.25" customHeight="1" spans="1:17">
      <c r="A111" s="204" t="s">
        <v>108</v>
      </c>
      <c r="B111" s="205"/>
      <c r="C111" s="205"/>
      <c r="D111" s="205"/>
      <c r="E111" s="205"/>
      <c r="F111" s="205"/>
      <c r="G111" s="205"/>
      <c r="H111" s="76"/>
      <c r="J111" s="152"/>
      <c r="K111" s="3"/>
      <c r="L111" s="3"/>
      <c r="M111" s="3"/>
      <c r="N111" s="3"/>
      <c r="O111" s="3"/>
      <c r="P111" s="3"/>
      <c r="Q111" s="3"/>
    </row>
    <row r="112" ht="17.25" customHeight="1" spans="1:17">
      <c r="A112" s="42"/>
      <c r="B112" s="206" t="s">
        <v>12</v>
      </c>
      <c r="C112" s="206"/>
      <c r="D112" s="206"/>
      <c r="E112" s="206"/>
      <c r="F112" s="206"/>
      <c r="G112" s="206"/>
      <c r="H112" s="76"/>
      <c r="J112" s="152"/>
      <c r="K112" s="3"/>
      <c r="L112" s="3"/>
      <c r="M112" s="3"/>
      <c r="N112" s="3"/>
      <c r="O112" s="3"/>
      <c r="P112" s="3"/>
      <c r="Q112" s="3"/>
    </row>
    <row r="113" ht="17.25" customHeight="1" spans="1:17">
      <c r="A113" s="172" t="s">
        <v>13</v>
      </c>
      <c r="B113" s="173"/>
      <c r="C113" s="110"/>
      <c r="D113" s="173"/>
      <c r="E113" s="173"/>
      <c r="F113" s="298"/>
      <c r="G113" s="298"/>
      <c r="H113" s="76"/>
      <c r="I113" s="152"/>
      <c r="J113" s="152"/>
      <c r="K113" s="3"/>
      <c r="L113" s="3"/>
      <c r="M113" s="3"/>
      <c r="N113" s="3"/>
      <c r="O113" s="3"/>
      <c r="P113" s="3"/>
      <c r="Q113" s="3"/>
    </row>
    <row r="114" s="1" customFormat="1" customHeight="1" spans="1:58">
      <c r="A114" s="207"/>
      <c r="B114" s="55" t="s">
        <v>54</v>
      </c>
      <c r="C114" s="83">
        <v>60</v>
      </c>
      <c r="D114" s="138">
        <v>1</v>
      </c>
      <c r="E114" s="139">
        <v>0.4</v>
      </c>
      <c r="F114" s="140">
        <v>2.3</v>
      </c>
      <c r="G114" s="260">
        <f>(D114*4)+(E114*9)+(F114*4)</f>
        <v>16.8</v>
      </c>
      <c r="H114" s="87" t="s">
        <v>109</v>
      </c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</row>
    <row r="115" s="1" customFormat="1" customHeight="1" spans="1:58">
      <c r="A115" s="115"/>
      <c r="B115" s="55" t="s">
        <v>110</v>
      </c>
      <c r="C115" s="56">
        <v>100</v>
      </c>
      <c r="D115" s="188">
        <v>6.5</v>
      </c>
      <c r="E115" s="189">
        <v>4.4</v>
      </c>
      <c r="F115" s="190">
        <v>7.6</v>
      </c>
      <c r="G115" s="260">
        <f t="shared" ref="G115:G119" si="24">(D115*4)+(E115*9)+(F115*4)</f>
        <v>96</v>
      </c>
      <c r="H115" s="187" t="s">
        <v>111</v>
      </c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</row>
    <row r="116" s="1" customFormat="1" customHeight="1" spans="1:58">
      <c r="A116" s="115"/>
      <c r="B116" s="55" t="s">
        <v>112</v>
      </c>
      <c r="C116" s="56">
        <v>150</v>
      </c>
      <c r="D116" s="188">
        <v>1.42</v>
      </c>
      <c r="E116" s="189">
        <v>1.8</v>
      </c>
      <c r="F116" s="190">
        <v>10.3</v>
      </c>
      <c r="G116" s="260">
        <f t="shared" si="24"/>
        <v>63.08</v>
      </c>
      <c r="H116" s="187" t="s">
        <v>64</v>
      </c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</row>
    <row r="117" s="1" customFormat="1" customHeight="1" spans="1:58">
      <c r="A117" s="115"/>
      <c r="B117" s="55" t="s">
        <v>46</v>
      </c>
      <c r="C117" s="56">
        <v>200</v>
      </c>
      <c r="D117" s="138">
        <v>4.9</v>
      </c>
      <c r="E117" s="139">
        <v>5</v>
      </c>
      <c r="F117" s="140">
        <v>32.5</v>
      </c>
      <c r="G117" s="260">
        <f t="shared" si="24"/>
        <v>194.6</v>
      </c>
      <c r="H117" s="187" t="s">
        <v>47</v>
      </c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</row>
    <row r="118" s="1" customFormat="1" customHeight="1" spans="1:58">
      <c r="A118" s="61"/>
      <c r="B118" s="55" t="s">
        <v>22</v>
      </c>
      <c r="C118" s="191">
        <v>40</v>
      </c>
      <c r="D118" s="138">
        <v>3.04</v>
      </c>
      <c r="E118" s="139">
        <v>0.4</v>
      </c>
      <c r="F118" s="140">
        <v>24.6</v>
      </c>
      <c r="G118" s="260">
        <f t="shared" si="24"/>
        <v>114.16</v>
      </c>
      <c r="H118" s="62" t="s">
        <v>23</v>
      </c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</row>
    <row r="119" s="1" customFormat="1" ht="28" customHeight="1" spans="1:58">
      <c r="A119" s="88"/>
      <c r="B119" s="137" t="s">
        <v>66</v>
      </c>
      <c r="C119" s="90" t="s">
        <v>67</v>
      </c>
      <c r="D119" s="138">
        <v>1</v>
      </c>
      <c r="E119" s="139">
        <v>0.1</v>
      </c>
      <c r="F119" s="140">
        <v>80</v>
      </c>
      <c r="G119" s="260">
        <f t="shared" si="24"/>
        <v>324.9</v>
      </c>
      <c r="H119" s="68" t="s">
        <v>23</v>
      </c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</row>
    <row r="120" s="1" customFormat="1" customHeight="1" spans="1:58">
      <c r="A120" s="278" t="s">
        <v>25</v>
      </c>
      <c r="B120" s="284"/>
      <c r="C120" s="209">
        <f>SUM(C114:C119)+40</f>
        <v>590</v>
      </c>
      <c r="D120" s="285">
        <f t="shared" ref="D120:G120" si="25">D114+D115+D116+D117+D119+D118</f>
        <v>17.86</v>
      </c>
      <c r="E120" s="286">
        <f t="shared" si="25"/>
        <v>12.1</v>
      </c>
      <c r="F120" s="287">
        <f t="shared" si="25"/>
        <v>157.3</v>
      </c>
      <c r="G120" s="288">
        <f t="shared" si="25"/>
        <v>809.54</v>
      </c>
      <c r="H120" s="180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</row>
    <row r="121" ht="17.25" customHeight="1" spans="1:17">
      <c r="A121" s="147" t="s">
        <v>26</v>
      </c>
      <c r="B121" s="289"/>
      <c r="C121" s="124"/>
      <c r="D121" s="255"/>
      <c r="E121" s="255"/>
      <c r="F121" s="256"/>
      <c r="G121" s="256"/>
      <c r="H121" s="180"/>
      <c r="I121" s="153"/>
      <c r="J121" s="152"/>
      <c r="K121" s="3"/>
      <c r="L121" s="3"/>
      <c r="M121" s="3"/>
      <c r="N121" s="3"/>
      <c r="O121" s="3"/>
      <c r="P121" s="3"/>
      <c r="Q121" s="3"/>
    </row>
    <row r="122" s="1" customFormat="1" ht="30.75" customHeight="1" spans="1:58">
      <c r="A122" s="207"/>
      <c r="B122" s="82" t="s">
        <v>113</v>
      </c>
      <c r="C122" s="83">
        <v>200</v>
      </c>
      <c r="D122" s="299">
        <v>2.76</v>
      </c>
      <c r="E122" s="300">
        <v>6.33</v>
      </c>
      <c r="F122" s="301">
        <v>15</v>
      </c>
      <c r="G122" s="260">
        <f>(D122*4)+(E122*9)+(F122*4)</f>
        <v>128.01</v>
      </c>
      <c r="H122" s="87" t="s">
        <v>114</v>
      </c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</row>
    <row r="123" s="1" customFormat="1" customHeight="1" spans="1:58">
      <c r="A123" s="61"/>
      <c r="B123" s="55" t="s">
        <v>115</v>
      </c>
      <c r="C123" s="56">
        <v>200</v>
      </c>
      <c r="D123" s="188">
        <v>21.47</v>
      </c>
      <c r="E123" s="189">
        <v>19.69</v>
      </c>
      <c r="F123" s="190">
        <v>35.69</v>
      </c>
      <c r="G123" s="260">
        <f>(D123*4)+(E123*9)+(F123*4)</f>
        <v>405.85</v>
      </c>
      <c r="H123" s="62" t="s">
        <v>116</v>
      </c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</row>
    <row r="124" s="1" customFormat="1" customHeight="1" spans="1:58">
      <c r="A124" s="61"/>
      <c r="B124" s="55" t="s">
        <v>54</v>
      </c>
      <c r="C124" s="56">
        <v>50</v>
      </c>
      <c r="D124" s="138">
        <v>1</v>
      </c>
      <c r="E124" s="139">
        <v>0.4</v>
      </c>
      <c r="F124" s="140">
        <v>2.3</v>
      </c>
      <c r="G124" s="260">
        <f>(D124*4)+(E124*9)+(F124*4)</f>
        <v>16.8</v>
      </c>
      <c r="H124" s="62" t="s">
        <v>65</v>
      </c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</row>
    <row r="125" s="1" customFormat="1" customHeight="1" spans="1:58">
      <c r="A125" s="61"/>
      <c r="B125" s="55" t="s">
        <v>36</v>
      </c>
      <c r="C125" s="56" t="s">
        <v>37</v>
      </c>
      <c r="D125" s="138">
        <v>7.34</v>
      </c>
      <c r="E125" s="139">
        <v>2.1</v>
      </c>
      <c r="F125" s="140">
        <v>45.9</v>
      </c>
      <c r="G125" s="260">
        <f>(D125*4)+(E125*9)+(F125*4)</f>
        <v>231.86</v>
      </c>
      <c r="H125" s="62" t="s">
        <v>23</v>
      </c>
      <c r="I125" s="152"/>
      <c r="J125" s="152"/>
      <c r="K125" s="152"/>
      <c r="L125" s="152"/>
      <c r="M125" s="152"/>
      <c r="N125" s="152">
        <v>4</v>
      </c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</row>
    <row r="126" s="1" customFormat="1" customHeight="1" spans="1:58">
      <c r="A126" s="88"/>
      <c r="B126" s="89" t="s">
        <v>93</v>
      </c>
      <c r="C126" s="90">
        <v>200</v>
      </c>
      <c r="D126" s="261">
        <v>0.6</v>
      </c>
      <c r="E126" s="262">
        <v>0.02</v>
      </c>
      <c r="F126" s="263">
        <v>30.4</v>
      </c>
      <c r="G126" s="260">
        <f>(D126*4)+(E126*9)+(F126*4)</f>
        <v>124.18</v>
      </c>
      <c r="H126" s="68" t="s">
        <v>117</v>
      </c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</row>
    <row r="127" s="1" customFormat="1" customHeight="1" spans="1:58">
      <c r="A127" s="264" t="s">
        <v>25</v>
      </c>
      <c r="B127" s="265"/>
      <c r="C127" s="182">
        <f>SUM(C122:C126)+100</f>
        <v>750</v>
      </c>
      <c r="D127" s="314">
        <f t="shared" ref="D127:G127" si="26">SUM(D122:D126)</f>
        <v>33.17</v>
      </c>
      <c r="E127" s="315">
        <f t="shared" si="26"/>
        <v>28.54</v>
      </c>
      <c r="F127" s="316">
        <f t="shared" si="26"/>
        <v>129.29</v>
      </c>
      <c r="G127" s="317">
        <f t="shared" si="26"/>
        <v>906.7</v>
      </c>
      <c r="H127" s="76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</row>
    <row r="128" s="1" customFormat="1" customHeight="1" spans="1:58">
      <c r="A128" s="270" t="s">
        <v>40</v>
      </c>
      <c r="B128" s="265"/>
      <c r="C128" s="164">
        <f>C127+C120</f>
        <v>1340</v>
      </c>
      <c r="D128" s="306">
        <f t="shared" ref="D128:G128" si="27">D127+D120</f>
        <v>51.03</v>
      </c>
      <c r="E128" s="307">
        <f t="shared" si="27"/>
        <v>40.64</v>
      </c>
      <c r="F128" s="308">
        <f t="shared" si="27"/>
        <v>286.59</v>
      </c>
      <c r="G128" s="309">
        <f t="shared" si="27"/>
        <v>1716.24</v>
      </c>
      <c r="H128" s="81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</row>
    <row r="129" s="1" customFormat="1" customHeight="1" spans="1:58">
      <c r="A129" s="100"/>
      <c r="B129" s="101"/>
      <c r="C129" s="106"/>
      <c r="D129" s="296"/>
      <c r="E129" s="296"/>
      <c r="F129" s="296"/>
      <c r="G129" s="297"/>
      <c r="H129" s="76"/>
      <c r="I129" s="152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</row>
    <row r="130" ht="17.25" customHeight="1" spans="1:17">
      <c r="A130" s="134"/>
      <c r="B130" s="109" t="s">
        <v>41</v>
      </c>
      <c r="C130" s="109"/>
      <c r="D130" s="109"/>
      <c r="E130" s="109"/>
      <c r="F130" s="109"/>
      <c r="G130" s="109"/>
      <c r="H130" s="76"/>
      <c r="I130" s="152"/>
      <c r="J130" s="152"/>
      <c r="K130" s="3"/>
      <c r="L130" s="3"/>
      <c r="M130" s="3"/>
      <c r="N130" s="3"/>
      <c r="O130" s="3"/>
      <c r="P130" s="3"/>
      <c r="Q130" s="3"/>
    </row>
    <row r="131" ht="17.25" customHeight="1" spans="1:17">
      <c r="A131" s="172" t="s">
        <v>13</v>
      </c>
      <c r="B131" s="173"/>
      <c r="C131" s="110"/>
      <c r="D131" s="173"/>
      <c r="E131" s="173"/>
      <c r="F131" s="298"/>
      <c r="G131" s="298"/>
      <c r="H131" s="76"/>
      <c r="I131" s="152"/>
      <c r="J131" s="152"/>
      <c r="K131" s="3"/>
      <c r="L131" s="3"/>
      <c r="M131" s="3"/>
      <c r="N131" s="3"/>
      <c r="O131" s="3"/>
      <c r="P131" s="3"/>
      <c r="Q131" s="3"/>
    </row>
    <row r="132" s="1" customFormat="1" customHeight="1" spans="1:58">
      <c r="A132" s="175"/>
      <c r="B132" s="82" t="s">
        <v>80</v>
      </c>
      <c r="C132" s="83">
        <v>160</v>
      </c>
      <c r="D132" s="299">
        <v>9.57</v>
      </c>
      <c r="E132" s="300">
        <v>6.49</v>
      </c>
      <c r="F132" s="301">
        <v>20.8</v>
      </c>
      <c r="G132" s="260">
        <f>(D132*4)+(E132*9)+(F132*4)</f>
        <v>179.89</v>
      </c>
      <c r="H132" s="53" t="s">
        <v>81</v>
      </c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</row>
    <row r="133" s="1" customFormat="1" customHeight="1" spans="1:58">
      <c r="A133" s="211"/>
      <c r="B133" s="55" t="s">
        <v>82</v>
      </c>
      <c r="C133" s="56">
        <v>15</v>
      </c>
      <c r="D133" s="188">
        <v>1.9</v>
      </c>
      <c r="E133" s="189">
        <v>5.2</v>
      </c>
      <c r="F133" s="190">
        <v>5.7</v>
      </c>
      <c r="G133" s="260">
        <f t="shared" ref="G133:G137" si="28">(D133*4)+(E133*9)+(F133*4)</f>
        <v>77.2</v>
      </c>
      <c r="H133" s="212" t="s">
        <v>118</v>
      </c>
      <c r="I133" s="152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</row>
    <row r="134" s="1" customFormat="1" customHeight="1" spans="1:58">
      <c r="A134" s="211"/>
      <c r="B134" s="55" t="s">
        <v>68</v>
      </c>
      <c r="C134" s="56">
        <v>200</v>
      </c>
      <c r="D134" s="261">
        <v>0.3</v>
      </c>
      <c r="E134" s="262">
        <v>0.01</v>
      </c>
      <c r="F134" s="263">
        <v>15.2</v>
      </c>
      <c r="G134" s="260">
        <f t="shared" si="28"/>
        <v>62.09</v>
      </c>
      <c r="H134" s="212" t="s">
        <v>69</v>
      </c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</row>
    <row r="135" s="1" customFormat="1" customHeight="1" spans="1:58">
      <c r="A135" s="211"/>
      <c r="B135" s="55" t="s">
        <v>22</v>
      </c>
      <c r="C135" s="56">
        <v>40</v>
      </c>
      <c r="D135" s="138">
        <v>3.04</v>
      </c>
      <c r="E135" s="139">
        <v>0.4</v>
      </c>
      <c r="F135" s="140">
        <v>24.6</v>
      </c>
      <c r="G135" s="260">
        <f t="shared" si="28"/>
        <v>114.16</v>
      </c>
      <c r="H135" s="212" t="s">
        <v>23</v>
      </c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</row>
    <row r="136" s="1" customFormat="1" customHeight="1" spans="1:58">
      <c r="A136" s="181"/>
      <c r="B136" s="89" t="s">
        <v>86</v>
      </c>
      <c r="C136" s="194">
        <v>100</v>
      </c>
      <c r="D136" s="245">
        <v>0.4</v>
      </c>
      <c r="E136" s="246">
        <v>0.4</v>
      </c>
      <c r="F136" s="247">
        <v>9.8</v>
      </c>
      <c r="G136" s="260">
        <f t="shared" si="28"/>
        <v>44.4</v>
      </c>
      <c r="H136" s="179" t="s">
        <v>23</v>
      </c>
      <c r="I136" s="152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</row>
    <row r="137" s="1" customFormat="1" ht="31" customHeight="1" spans="1:58">
      <c r="A137" s="88"/>
      <c r="B137" s="137" t="s">
        <v>66</v>
      </c>
      <c r="C137" s="90" t="s">
        <v>67</v>
      </c>
      <c r="D137" s="138">
        <v>1</v>
      </c>
      <c r="E137" s="139">
        <v>0.1</v>
      </c>
      <c r="F137" s="140">
        <v>80</v>
      </c>
      <c r="G137" s="260">
        <f t="shared" si="28"/>
        <v>324.9</v>
      </c>
      <c r="H137" s="68" t="s">
        <v>23</v>
      </c>
      <c r="I137" s="152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</row>
    <row r="138" s="1" customFormat="1" customHeight="1" spans="1:58">
      <c r="A138" s="278" t="s">
        <v>25</v>
      </c>
      <c r="B138" s="284"/>
      <c r="C138" s="209">
        <f>SUM(C132:C136)+200+15+7</f>
        <v>737</v>
      </c>
      <c r="D138" s="322">
        <f t="shared" ref="D138:G138" si="29">SUM(D132:D136)</f>
        <v>15.21</v>
      </c>
      <c r="E138" s="323">
        <f t="shared" si="29"/>
        <v>12.5</v>
      </c>
      <c r="F138" s="324">
        <f t="shared" si="29"/>
        <v>76.1</v>
      </c>
      <c r="G138" s="325">
        <f t="shared" si="29"/>
        <v>477.74</v>
      </c>
      <c r="H138" s="180"/>
      <c r="I138" s="152"/>
      <c r="J138" s="152"/>
      <c r="K138" s="152"/>
      <c r="L138" s="152"/>
      <c r="M138" s="152"/>
      <c r="N138" s="152"/>
      <c r="O138" s="152"/>
      <c r="P138" s="152"/>
      <c r="Q138" s="152"/>
      <c r="R138" s="152"/>
      <c r="S138" s="152"/>
      <c r="T138" s="152"/>
      <c r="U138" s="152"/>
      <c r="V138" s="152"/>
      <c r="W138" s="152"/>
      <c r="X138" s="152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  <c r="BD138" s="152"/>
      <c r="BE138" s="152"/>
      <c r="BF138" s="152"/>
    </row>
    <row r="139" ht="17.25" customHeight="1" spans="1:17">
      <c r="A139" s="147" t="s">
        <v>26</v>
      </c>
      <c r="B139" s="289"/>
      <c r="C139" s="124"/>
      <c r="D139" s="326"/>
      <c r="E139" s="326"/>
      <c r="F139" s="256"/>
      <c r="G139" s="256"/>
      <c r="H139" s="180"/>
      <c r="I139" s="153"/>
      <c r="J139" s="152"/>
      <c r="K139" s="3"/>
      <c r="L139" s="3"/>
      <c r="M139" s="3"/>
      <c r="N139" s="3"/>
      <c r="O139" s="3"/>
      <c r="P139" s="3"/>
      <c r="Q139" s="3"/>
    </row>
    <row r="140" s="1" customFormat="1" customHeight="1" spans="1:58">
      <c r="A140" s="207"/>
      <c r="B140" s="82" t="s">
        <v>119</v>
      </c>
      <c r="C140" s="83">
        <v>200</v>
      </c>
      <c r="D140" s="299">
        <v>2.5</v>
      </c>
      <c r="E140" s="300">
        <v>5.2</v>
      </c>
      <c r="F140" s="301">
        <v>18.3</v>
      </c>
      <c r="G140" s="260">
        <f>(D140*4)+(E140*9)+(F140*4)</f>
        <v>130</v>
      </c>
      <c r="H140" s="87" t="s">
        <v>120</v>
      </c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</row>
    <row r="141" s="1" customFormat="1" customHeight="1" spans="1:58">
      <c r="A141" s="61"/>
      <c r="B141" s="55" t="s">
        <v>121</v>
      </c>
      <c r="C141" s="56">
        <v>60</v>
      </c>
      <c r="D141" s="299">
        <v>20.63</v>
      </c>
      <c r="E141" s="300">
        <v>16.3</v>
      </c>
      <c r="F141" s="301">
        <v>5.24</v>
      </c>
      <c r="G141" s="260">
        <f t="shared" ref="G141:G145" si="30">(D141*4)+(E141*9)+(F141*4)</f>
        <v>250.18</v>
      </c>
      <c r="H141" s="62" t="s">
        <v>122</v>
      </c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</row>
    <row r="142" s="1" customFormat="1" customHeight="1" spans="1:58">
      <c r="A142" s="61"/>
      <c r="B142" s="55" t="s">
        <v>52</v>
      </c>
      <c r="C142" s="56">
        <v>150</v>
      </c>
      <c r="D142" s="138">
        <v>6.3</v>
      </c>
      <c r="E142" s="139">
        <v>4.5</v>
      </c>
      <c r="F142" s="140">
        <v>38.8</v>
      </c>
      <c r="G142" s="260">
        <f t="shared" si="30"/>
        <v>220.9</v>
      </c>
      <c r="H142" s="62" t="s">
        <v>99</v>
      </c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</row>
    <row r="143" s="1" customFormat="1" customHeight="1" spans="1:58">
      <c r="A143" s="61"/>
      <c r="B143" s="55" t="s">
        <v>44</v>
      </c>
      <c r="C143" s="56">
        <v>30</v>
      </c>
      <c r="D143" s="138">
        <v>1.86</v>
      </c>
      <c r="E143" s="139">
        <v>0.12</v>
      </c>
      <c r="F143" s="140">
        <v>3.9</v>
      </c>
      <c r="G143" s="260">
        <f t="shared" si="30"/>
        <v>24.12</v>
      </c>
      <c r="H143" s="62" t="s">
        <v>45</v>
      </c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</row>
    <row r="144" s="1" customFormat="1" customHeight="1" spans="1:58">
      <c r="A144" s="61"/>
      <c r="B144" s="55" t="s">
        <v>36</v>
      </c>
      <c r="C144" s="56" t="s">
        <v>37</v>
      </c>
      <c r="D144" s="138">
        <v>7.34</v>
      </c>
      <c r="E144" s="139">
        <v>2.1</v>
      </c>
      <c r="F144" s="140">
        <v>45.9</v>
      </c>
      <c r="G144" s="260">
        <f t="shared" si="30"/>
        <v>231.86</v>
      </c>
      <c r="H144" s="62" t="s">
        <v>23</v>
      </c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</row>
    <row r="145" s="1" customFormat="1" customHeight="1" spans="1:58">
      <c r="A145" s="88"/>
      <c r="B145" s="89" t="s">
        <v>38</v>
      </c>
      <c r="C145" s="90">
        <v>200</v>
      </c>
      <c r="D145" s="261">
        <v>0.6</v>
      </c>
      <c r="E145" s="262">
        <v>0.09</v>
      </c>
      <c r="F145" s="263">
        <v>17.3</v>
      </c>
      <c r="G145" s="260">
        <f t="shared" si="30"/>
        <v>72.41</v>
      </c>
      <c r="H145" s="68" t="s">
        <v>123</v>
      </c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</row>
    <row r="146" s="1" customFormat="1" customHeight="1" spans="1:58">
      <c r="A146" s="264" t="s">
        <v>25</v>
      </c>
      <c r="B146" s="265"/>
      <c r="C146" s="182">
        <f>SUM(C140:C145)+100</f>
        <v>740</v>
      </c>
      <c r="D146" s="314">
        <f t="shared" ref="D146:G146" si="31">SUM(D140:D145)</f>
        <v>39.23</v>
      </c>
      <c r="E146" s="315">
        <f t="shared" si="31"/>
        <v>28.31</v>
      </c>
      <c r="F146" s="316">
        <f t="shared" si="31"/>
        <v>129.44</v>
      </c>
      <c r="G146" s="317">
        <f t="shared" si="31"/>
        <v>929.47</v>
      </c>
      <c r="H146" s="81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</row>
    <row r="147" s="1" customFormat="1" customHeight="1" spans="1:58">
      <c r="A147" s="270" t="s">
        <v>40</v>
      </c>
      <c r="B147" s="265"/>
      <c r="C147" s="95">
        <f>C146+C138</f>
        <v>1477</v>
      </c>
      <c r="D147" s="306">
        <f t="shared" ref="D147:G147" si="32">D146+D138</f>
        <v>54.44</v>
      </c>
      <c r="E147" s="307">
        <f t="shared" si="32"/>
        <v>40.81</v>
      </c>
      <c r="F147" s="308">
        <f t="shared" si="32"/>
        <v>205.54</v>
      </c>
      <c r="G147" s="309">
        <f t="shared" si="32"/>
        <v>1407.21</v>
      </c>
      <c r="H147" s="76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</row>
    <row r="148" s="1" customFormat="1" customHeight="1" spans="1:58">
      <c r="A148" s="100"/>
      <c r="B148" s="101"/>
      <c r="C148" s="106"/>
      <c r="D148" s="296"/>
      <c r="E148" s="296"/>
      <c r="F148" s="296"/>
      <c r="G148" s="297"/>
      <c r="H148" s="76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W148" s="152"/>
      <c r="X148" s="152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52"/>
      <c r="AM148" s="152"/>
      <c r="AN148" s="152"/>
      <c r="AO148" s="152"/>
      <c r="AP148" s="152"/>
      <c r="AQ148" s="152"/>
      <c r="AR148" s="152"/>
      <c r="AS148" s="152"/>
      <c r="AT148" s="152"/>
      <c r="AU148" s="152"/>
      <c r="AV148" s="152"/>
      <c r="AW148" s="152"/>
      <c r="AX148" s="152"/>
      <c r="AY148" s="152"/>
      <c r="AZ148" s="152"/>
      <c r="BA148" s="152"/>
      <c r="BB148" s="152"/>
      <c r="BC148" s="152"/>
      <c r="BD148" s="152"/>
      <c r="BE148" s="152"/>
      <c r="BF148" s="152"/>
    </row>
    <row r="149" ht="17.25" customHeight="1" spans="1:17">
      <c r="A149" s="213"/>
      <c r="B149" s="109" t="s">
        <v>58</v>
      </c>
      <c r="C149" s="109"/>
      <c r="D149" s="109"/>
      <c r="E149" s="109"/>
      <c r="F149" s="109"/>
      <c r="G149" s="109"/>
      <c r="H149" s="76"/>
      <c r="J149" s="152"/>
      <c r="K149" s="3"/>
      <c r="L149" s="3"/>
      <c r="M149" s="3"/>
      <c r="N149" s="3"/>
      <c r="O149" s="3"/>
      <c r="P149" s="3"/>
      <c r="Q149" s="3"/>
    </row>
    <row r="150" ht="17.25" customHeight="1" spans="1:17">
      <c r="A150" s="172" t="s">
        <v>13</v>
      </c>
      <c r="B150" s="173"/>
      <c r="C150" s="110"/>
      <c r="D150" s="173"/>
      <c r="E150" s="173"/>
      <c r="F150" s="298"/>
      <c r="G150" s="298"/>
      <c r="H150" s="76"/>
      <c r="J150" s="152"/>
      <c r="K150" s="3"/>
      <c r="L150" s="3"/>
      <c r="M150" s="3"/>
      <c r="N150" s="3"/>
      <c r="O150" s="3"/>
      <c r="P150" s="3"/>
      <c r="Q150" s="3"/>
    </row>
    <row r="151" s="1" customFormat="1" customHeight="1" spans="1:58">
      <c r="A151" s="196"/>
      <c r="B151" s="55" t="s">
        <v>54</v>
      </c>
      <c r="C151" s="83">
        <v>60</v>
      </c>
      <c r="D151" s="138">
        <v>1</v>
      </c>
      <c r="E151" s="139">
        <v>0.4</v>
      </c>
      <c r="F151" s="140">
        <v>2.3</v>
      </c>
      <c r="G151" s="260">
        <f>(D151*4)+(E151*9)+(F151*4)</f>
        <v>16.8</v>
      </c>
      <c r="H151" s="197" t="s">
        <v>65</v>
      </c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</row>
    <row r="152" s="1" customFormat="1" customHeight="1" spans="1:58">
      <c r="A152" s="61"/>
      <c r="B152" s="55" t="s">
        <v>124</v>
      </c>
      <c r="C152" s="56">
        <v>100</v>
      </c>
      <c r="D152" s="188">
        <v>21.8</v>
      </c>
      <c r="E152" s="189">
        <v>8.71</v>
      </c>
      <c r="F152" s="190">
        <v>38.57</v>
      </c>
      <c r="G152" s="260">
        <f t="shared" ref="G152:G155" si="33">(D152*4)+(E152*9)+(F152*4)</f>
        <v>319.87</v>
      </c>
      <c r="H152" s="62" t="s">
        <v>125</v>
      </c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</row>
    <row r="153" s="1" customFormat="1" customHeight="1" spans="1:58">
      <c r="A153" s="61"/>
      <c r="B153" s="55" t="s">
        <v>126</v>
      </c>
      <c r="C153" s="56">
        <v>150</v>
      </c>
      <c r="D153" s="138">
        <v>1.42</v>
      </c>
      <c r="E153" s="139">
        <v>1.8</v>
      </c>
      <c r="F153" s="140">
        <v>10.3</v>
      </c>
      <c r="G153" s="260">
        <f t="shared" si="33"/>
        <v>63.08</v>
      </c>
      <c r="H153" s="62" t="s">
        <v>64</v>
      </c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</row>
    <row r="154" s="1" customFormat="1" customHeight="1" spans="1:58">
      <c r="A154" s="61"/>
      <c r="B154" s="177" t="s">
        <v>84</v>
      </c>
      <c r="C154" s="56">
        <v>200</v>
      </c>
      <c r="D154" s="188">
        <v>3.3</v>
      </c>
      <c r="E154" s="189">
        <v>3</v>
      </c>
      <c r="F154" s="190">
        <v>16.6</v>
      </c>
      <c r="G154" s="260">
        <f t="shared" si="33"/>
        <v>106.6</v>
      </c>
      <c r="H154" s="62" t="s">
        <v>127</v>
      </c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</row>
    <row r="155" s="1" customFormat="1" customHeight="1" spans="1:58">
      <c r="A155" s="88"/>
      <c r="B155" s="178" t="s">
        <v>22</v>
      </c>
      <c r="C155" s="194">
        <v>50</v>
      </c>
      <c r="D155" s="138">
        <v>3.04</v>
      </c>
      <c r="E155" s="139">
        <v>0.4</v>
      </c>
      <c r="F155" s="140">
        <v>24.6</v>
      </c>
      <c r="G155" s="260">
        <f t="shared" si="33"/>
        <v>114.16</v>
      </c>
      <c r="H155" s="68" t="s">
        <v>23</v>
      </c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</row>
    <row r="156" s="1" customFormat="1" customHeight="1" spans="1:58">
      <c r="A156" s="278" t="s">
        <v>25</v>
      </c>
      <c r="B156" s="284"/>
      <c r="C156" s="209">
        <f>SUM(C151:C155)+40</f>
        <v>600</v>
      </c>
      <c r="D156" s="322">
        <f t="shared" ref="D156:G156" si="34">SUM(D151:D155)</f>
        <v>30.56</v>
      </c>
      <c r="E156" s="323">
        <f t="shared" si="34"/>
        <v>14.31</v>
      </c>
      <c r="F156" s="324">
        <f t="shared" si="34"/>
        <v>92.37</v>
      </c>
      <c r="G156" s="325">
        <f t="shared" si="34"/>
        <v>620.51</v>
      </c>
      <c r="H156" s="76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W156" s="152"/>
      <c r="X156" s="152"/>
      <c r="Y156" s="152"/>
      <c r="Z156" s="152"/>
      <c r="AA156" s="152"/>
      <c r="AB156" s="152"/>
      <c r="AC156" s="152"/>
      <c r="AD156" s="152"/>
      <c r="AE156" s="152"/>
      <c r="AF156" s="152"/>
      <c r="AG156" s="152"/>
      <c r="AH156" s="152"/>
      <c r="AI156" s="152"/>
      <c r="AJ156" s="152"/>
      <c r="AK156" s="152"/>
      <c r="AL156" s="152"/>
      <c r="AM156" s="152"/>
      <c r="AN156" s="152"/>
      <c r="AO156" s="152"/>
      <c r="AP156" s="152"/>
      <c r="AQ156" s="152"/>
      <c r="AR156" s="152"/>
      <c r="AS156" s="152"/>
      <c r="AT156" s="152"/>
      <c r="AU156" s="152"/>
      <c r="AV156" s="152"/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</row>
    <row r="157" ht="17.25" customHeight="1" spans="1:17">
      <c r="A157" s="147" t="s">
        <v>26</v>
      </c>
      <c r="B157" s="289"/>
      <c r="C157" s="124"/>
      <c r="D157" s="326"/>
      <c r="E157" s="326"/>
      <c r="F157" s="256"/>
      <c r="G157" s="256"/>
      <c r="H157" s="76"/>
      <c r="I157" s="153"/>
      <c r="J157" s="152"/>
      <c r="K157" s="3"/>
      <c r="L157" s="3"/>
      <c r="M157" s="3"/>
      <c r="N157" s="3" t="s">
        <v>128</v>
      </c>
      <c r="O157" s="3"/>
      <c r="P157" s="3"/>
      <c r="Q157" s="3"/>
    </row>
    <row r="158" s="1" customFormat="1" customHeight="1" spans="1:58">
      <c r="A158" s="207"/>
      <c r="B158" s="82" t="s">
        <v>129</v>
      </c>
      <c r="C158" s="83">
        <v>200</v>
      </c>
      <c r="D158" s="257">
        <v>6.2</v>
      </c>
      <c r="E158" s="258">
        <v>5.6</v>
      </c>
      <c r="F158" s="259">
        <v>22.3</v>
      </c>
      <c r="G158" s="260">
        <f t="shared" ref="G158:G163" si="35">(D158*4)+(E158*9)+(F158*4)</f>
        <v>164.4</v>
      </c>
      <c r="H158" s="87" t="s">
        <v>130</v>
      </c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</row>
    <row r="159" s="1" customFormat="1" customHeight="1" spans="1:58">
      <c r="A159" s="61"/>
      <c r="B159" s="55" t="s">
        <v>131</v>
      </c>
      <c r="C159" s="56">
        <v>70</v>
      </c>
      <c r="D159" s="188">
        <v>6.5</v>
      </c>
      <c r="E159" s="189">
        <v>4.4</v>
      </c>
      <c r="F159" s="190">
        <v>7.6</v>
      </c>
      <c r="G159" s="260">
        <f t="shared" si="35"/>
        <v>96</v>
      </c>
      <c r="H159" s="62" t="s">
        <v>132</v>
      </c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</row>
    <row r="160" s="1" customFormat="1" customHeight="1" spans="1:58">
      <c r="A160" s="61"/>
      <c r="B160" s="55" t="s">
        <v>133</v>
      </c>
      <c r="C160" s="56">
        <v>150</v>
      </c>
      <c r="D160" s="188">
        <v>3.05</v>
      </c>
      <c r="E160" s="189">
        <v>6.7</v>
      </c>
      <c r="F160" s="190">
        <v>27.6</v>
      </c>
      <c r="G160" s="260">
        <f t="shared" si="35"/>
        <v>182.9</v>
      </c>
      <c r="H160" s="62" t="s">
        <v>134</v>
      </c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</row>
    <row r="161" s="1" customFormat="1" customHeight="1" spans="1:58">
      <c r="A161" s="54"/>
      <c r="B161" s="55" t="s">
        <v>91</v>
      </c>
      <c r="C161" s="56">
        <v>50</v>
      </c>
      <c r="D161" s="138">
        <v>0.8</v>
      </c>
      <c r="E161" s="139">
        <v>5</v>
      </c>
      <c r="F161" s="140">
        <v>1.79</v>
      </c>
      <c r="G161" s="260">
        <f t="shared" si="35"/>
        <v>55.36</v>
      </c>
      <c r="H161" s="60" t="s">
        <v>92</v>
      </c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</row>
    <row r="162" s="1" customFormat="1" customHeight="1" spans="1:58">
      <c r="A162" s="88"/>
      <c r="B162" s="89" t="s">
        <v>38</v>
      </c>
      <c r="C162" s="90">
        <v>200</v>
      </c>
      <c r="D162" s="261">
        <v>0.6</v>
      </c>
      <c r="E162" s="262">
        <v>0.09</v>
      </c>
      <c r="F162" s="263">
        <v>17.3</v>
      </c>
      <c r="G162" s="260">
        <f t="shared" si="35"/>
        <v>72.41</v>
      </c>
      <c r="H162" s="68" t="s">
        <v>123</v>
      </c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</row>
    <row r="163" s="1" customFormat="1" customHeight="1" spans="1:58">
      <c r="A163" s="61"/>
      <c r="B163" s="55" t="s">
        <v>36</v>
      </c>
      <c r="C163" s="56" t="s">
        <v>37</v>
      </c>
      <c r="D163" s="138">
        <v>7.34</v>
      </c>
      <c r="E163" s="139">
        <v>2.1</v>
      </c>
      <c r="F163" s="140">
        <v>45.9</v>
      </c>
      <c r="G163" s="260">
        <f t="shared" si="35"/>
        <v>231.86</v>
      </c>
      <c r="H163" s="62" t="s">
        <v>23</v>
      </c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</row>
    <row r="164" s="1" customFormat="1" customHeight="1" spans="1:58">
      <c r="A164" s="264" t="s">
        <v>25</v>
      </c>
      <c r="B164" s="265"/>
      <c r="C164" s="214" t="s">
        <v>135</v>
      </c>
      <c r="D164" s="314">
        <f t="shared" ref="D164:G164" si="36">SUM(D158:D162)</f>
        <v>17.15</v>
      </c>
      <c r="E164" s="315">
        <f t="shared" si="36"/>
        <v>21.79</v>
      </c>
      <c r="F164" s="316">
        <f t="shared" si="36"/>
        <v>76.59</v>
      </c>
      <c r="G164" s="317">
        <f t="shared" si="36"/>
        <v>571.07</v>
      </c>
      <c r="H164" s="76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</row>
    <row r="165" s="1" customFormat="1" customHeight="1" spans="1:58">
      <c r="A165" s="270" t="s">
        <v>40</v>
      </c>
      <c r="B165" s="265"/>
      <c r="C165" s="215">
        <f>C164+C156</f>
        <v>1450</v>
      </c>
      <c r="D165" s="306">
        <f t="shared" ref="D165:G165" si="37">D164+D156</f>
        <v>47.71</v>
      </c>
      <c r="E165" s="307">
        <f t="shared" si="37"/>
        <v>36.1</v>
      </c>
      <c r="F165" s="308">
        <f t="shared" si="37"/>
        <v>168.96</v>
      </c>
      <c r="G165" s="309">
        <f t="shared" si="37"/>
        <v>1191.58</v>
      </c>
      <c r="H165" s="76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W165" s="152"/>
      <c r="X165" s="152"/>
      <c r="Y165" s="152"/>
      <c r="Z165" s="152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2"/>
      <c r="AL165" s="152"/>
      <c r="AM165" s="152"/>
      <c r="AN165" s="152"/>
      <c r="AO165" s="152"/>
      <c r="AP165" s="152"/>
      <c r="AQ165" s="152"/>
      <c r="AR165" s="152"/>
      <c r="AS165" s="152"/>
      <c r="AT165" s="152"/>
      <c r="AU165" s="152"/>
      <c r="AV165" s="152"/>
      <c r="AW165" s="152"/>
      <c r="AX165" s="152"/>
      <c r="AY165" s="152"/>
      <c r="AZ165" s="152"/>
      <c r="BA165" s="152"/>
      <c r="BB165" s="152"/>
      <c r="BC165" s="152"/>
      <c r="BD165" s="152"/>
      <c r="BE165" s="152"/>
      <c r="BF165" s="152"/>
    </row>
    <row r="166" s="1" customFormat="1" customHeight="1" spans="1:58">
      <c r="A166" s="100"/>
      <c r="B166" s="101"/>
      <c r="C166" s="106"/>
      <c r="D166" s="296"/>
      <c r="E166" s="296"/>
      <c r="F166" s="296"/>
      <c r="G166" s="297"/>
      <c r="H166" s="76"/>
      <c r="I166" s="152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52"/>
      <c r="AH166" s="152"/>
      <c r="AI166" s="152"/>
      <c r="AJ166" s="152"/>
      <c r="AK166" s="152"/>
      <c r="AL166" s="152"/>
      <c r="AM166" s="152"/>
      <c r="AN166" s="152"/>
      <c r="AO166" s="152"/>
      <c r="AP166" s="152"/>
      <c r="AQ166" s="152"/>
      <c r="AR166" s="152"/>
      <c r="AS166" s="152"/>
      <c r="AT166" s="152"/>
      <c r="AU166" s="152"/>
      <c r="AV166" s="152"/>
      <c r="AW166" s="152"/>
      <c r="AX166" s="152"/>
      <c r="AY166" s="152"/>
      <c r="AZ166" s="152"/>
      <c r="BA166" s="152"/>
      <c r="BB166" s="152"/>
      <c r="BC166" s="152"/>
      <c r="BD166" s="152"/>
      <c r="BE166" s="152"/>
      <c r="BF166" s="152"/>
    </row>
    <row r="167" ht="17.25" customHeight="1" spans="1:17">
      <c r="A167" s="134"/>
      <c r="B167" s="109" t="s">
        <v>79</v>
      </c>
      <c r="C167" s="109"/>
      <c r="D167" s="109"/>
      <c r="E167" s="109"/>
      <c r="F167" s="109"/>
      <c r="G167" s="109"/>
      <c r="H167" s="76"/>
      <c r="J167" s="152"/>
      <c r="K167" s="3"/>
      <c r="L167" s="3"/>
      <c r="M167" s="3"/>
      <c r="N167" s="3"/>
      <c r="O167" s="3"/>
      <c r="P167" s="3"/>
      <c r="Q167" s="3"/>
    </row>
    <row r="168" ht="17.25" customHeight="1" spans="1:17">
      <c r="A168" s="172" t="s">
        <v>13</v>
      </c>
      <c r="B168" s="173"/>
      <c r="C168" s="110"/>
      <c r="D168" s="173"/>
      <c r="E168" s="173"/>
      <c r="F168" s="298"/>
      <c r="G168" s="298"/>
      <c r="H168" s="81"/>
      <c r="J168" s="152"/>
      <c r="K168" s="3"/>
      <c r="L168" s="3"/>
      <c r="M168" s="3"/>
      <c r="N168" s="3"/>
      <c r="O168" s="3"/>
      <c r="P168" s="3"/>
      <c r="Q168" s="3"/>
    </row>
    <row r="169" s="1" customFormat="1" customHeight="1" spans="1:58">
      <c r="A169" s="196"/>
      <c r="B169" s="55" t="s">
        <v>54</v>
      </c>
      <c r="C169" s="83">
        <v>60</v>
      </c>
      <c r="D169" s="138">
        <v>1</v>
      </c>
      <c r="E169" s="139">
        <v>0.4</v>
      </c>
      <c r="F169" s="140">
        <v>2.3</v>
      </c>
      <c r="G169" s="260">
        <f>(D169*4)+(E169*9)+(F169*4)</f>
        <v>16.8</v>
      </c>
      <c r="H169" s="197" t="s">
        <v>65</v>
      </c>
      <c r="I169" s="152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</row>
    <row r="170" s="1" customFormat="1" customHeight="1" spans="1:58">
      <c r="A170" s="61"/>
      <c r="B170" s="55" t="s">
        <v>136</v>
      </c>
      <c r="C170" s="56">
        <v>90</v>
      </c>
      <c r="D170" s="188">
        <v>12.27</v>
      </c>
      <c r="E170" s="189">
        <v>12.81</v>
      </c>
      <c r="F170" s="190">
        <v>11.97</v>
      </c>
      <c r="G170" s="260">
        <f t="shared" ref="G170:G174" si="38">(D170*4)+(E170*9)+(F170*4)</f>
        <v>212.25</v>
      </c>
      <c r="H170" s="62" t="s">
        <v>137</v>
      </c>
      <c r="I170" s="152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</row>
    <row r="171" s="1" customFormat="1" customHeight="1" spans="1:58">
      <c r="A171" s="61"/>
      <c r="B171" s="55" t="s">
        <v>98</v>
      </c>
      <c r="C171" s="56">
        <v>150</v>
      </c>
      <c r="D171" s="188">
        <v>8</v>
      </c>
      <c r="E171" s="189">
        <v>7</v>
      </c>
      <c r="F171" s="190">
        <v>39</v>
      </c>
      <c r="G171" s="260">
        <f t="shared" si="38"/>
        <v>251</v>
      </c>
      <c r="H171" s="62" t="s">
        <v>99</v>
      </c>
      <c r="I171" s="152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</row>
    <row r="172" s="1" customFormat="1" customHeight="1" spans="1:58">
      <c r="A172" s="61"/>
      <c r="B172" s="55" t="s">
        <v>84</v>
      </c>
      <c r="C172" s="56">
        <v>200</v>
      </c>
      <c r="D172" s="188">
        <v>3.3</v>
      </c>
      <c r="E172" s="189">
        <v>3</v>
      </c>
      <c r="F172" s="190">
        <v>16.6</v>
      </c>
      <c r="G172" s="260">
        <f t="shared" si="38"/>
        <v>106.6</v>
      </c>
      <c r="H172" s="62" t="s">
        <v>127</v>
      </c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</row>
    <row r="173" s="1" customFormat="1" ht="29" customHeight="1" spans="1:58">
      <c r="A173" s="61"/>
      <c r="B173" s="137" t="s">
        <v>66</v>
      </c>
      <c r="C173" s="56" t="s">
        <v>67</v>
      </c>
      <c r="D173" s="188">
        <v>0.08</v>
      </c>
      <c r="E173" s="189">
        <v>0</v>
      </c>
      <c r="F173" s="190">
        <v>12</v>
      </c>
      <c r="G173" s="260">
        <f t="shared" si="38"/>
        <v>48.32</v>
      </c>
      <c r="H173" s="62" t="s">
        <v>23</v>
      </c>
      <c r="I173" s="152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</row>
    <row r="174" s="1" customFormat="1" customHeight="1" spans="1:58">
      <c r="A174" s="88"/>
      <c r="B174" s="89" t="s">
        <v>22</v>
      </c>
      <c r="C174" s="194">
        <v>40</v>
      </c>
      <c r="D174" s="138">
        <v>3.04</v>
      </c>
      <c r="E174" s="139">
        <v>0.4</v>
      </c>
      <c r="F174" s="140">
        <v>24.6</v>
      </c>
      <c r="G174" s="260">
        <f t="shared" si="38"/>
        <v>114.16</v>
      </c>
      <c r="H174" s="68" t="s">
        <v>23</v>
      </c>
      <c r="I174" s="152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52"/>
      <c r="AH174" s="152"/>
      <c r="AI174" s="152"/>
      <c r="AJ174" s="152"/>
      <c r="AK174" s="152"/>
      <c r="AL174" s="152"/>
      <c r="AM174" s="152"/>
      <c r="AN174" s="152"/>
      <c r="AO174" s="152"/>
      <c r="AP174" s="152"/>
      <c r="AQ174" s="152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2"/>
      <c r="BE174" s="152"/>
      <c r="BF174" s="152"/>
    </row>
    <row r="175" s="1" customFormat="1" customHeight="1" spans="1:58">
      <c r="A175" s="278" t="s">
        <v>25</v>
      </c>
      <c r="B175" s="284"/>
      <c r="C175" s="209">
        <f>SUM(C169:C174)+40</f>
        <v>580</v>
      </c>
      <c r="D175" s="322">
        <f t="shared" ref="D175:G175" si="39">SUM(D169:D174)</f>
        <v>27.69</v>
      </c>
      <c r="E175" s="323">
        <f t="shared" si="39"/>
        <v>23.61</v>
      </c>
      <c r="F175" s="324">
        <f t="shared" si="39"/>
        <v>106.47</v>
      </c>
      <c r="G175" s="325">
        <f t="shared" si="39"/>
        <v>749.13</v>
      </c>
      <c r="H175" s="76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2"/>
      <c r="AZ175" s="152"/>
      <c r="BA175" s="152"/>
      <c r="BB175" s="152"/>
      <c r="BC175" s="152"/>
      <c r="BD175" s="152"/>
      <c r="BE175" s="152"/>
      <c r="BF175" s="152"/>
    </row>
    <row r="176" ht="17.25" customHeight="1" spans="1:17">
      <c r="A176" s="147" t="s">
        <v>26</v>
      </c>
      <c r="B176" s="289"/>
      <c r="C176" s="124"/>
      <c r="D176" s="326"/>
      <c r="E176" s="326"/>
      <c r="F176" s="256"/>
      <c r="G176" s="256"/>
      <c r="H176" s="76"/>
      <c r="I176" s="153"/>
      <c r="J176" s="152"/>
      <c r="K176" s="3"/>
      <c r="L176" s="3"/>
      <c r="M176" s="3"/>
      <c r="N176" s="3"/>
      <c r="O176" s="3"/>
      <c r="P176" s="3"/>
      <c r="Q176" s="3"/>
    </row>
    <row r="177" s="1" customFormat="1" customHeight="1" spans="1:58">
      <c r="A177" s="196"/>
      <c r="B177" s="82" t="s">
        <v>138</v>
      </c>
      <c r="C177" s="83">
        <v>200</v>
      </c>
      <c r="D177" s="299">
        <v>1.52</v>
      </c>
      <c r="E177" s="300">
        <v>5.4</v>
      </c>
      <c r="F177" s="301">
        <v>8.6</v>
      </c>
      <c r="G177" s="260">
        <f>(D177*4)+(E177*9)+(F177*4)</f>
        <v>89.08</v>
      </c>
      <c r="H177" s="197" t="s">
        <v>104</v>
      </c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</row>
    <row r="178" s="1" customFormat="1" customHeight="1" spans="1:58">
      <c r="A178" s="61"/>
      <c r="B178" s="55" t="s">
        <v>139</v>
      </c>
      <c r="C178" s="56">
        <v>150</v>
      </c>
      <c r="D178" s="188">
        <v>25.42</v>
      </c>
      <c r="E178" s="189">
        <v>14.7</v>
      </c>
      <c r="F178" s="190">
        <v>44</v>
      </c>
      <c r="G178" s="260">
        <f t="shared" ref="G178:G181" si="40">(D178*4)+(E178*9)+(F178*4)</f>
        <v>409.98</v>
      </c>
      <c r="H178" s="62" t="s">
        <v>140</v>
      </c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</row>
    <row r="179" s="1" customFormat="1" customHeight="1" spans="1:58">
      <c r="A179" s="61"/>
      <c r="B179" s="55" t="s">
        <v>54</v>
      </c>
      <c r="C179" s="56">
        <v>30</v>
      </c>
      <c r="D179" s="138">
        <v>1</v>
      </c>
      <c r="E179" s="139">
        <v>0.4</v>
      </c>
      <c r="F179" s="140">
        <v>2.3</v>
      </c>
      <c r="G179" s="260">
        <f t="shared" si="40"/>
        <v>16.8</v>
      </c>
      <c r="H179" s="62" t="s">
        <v>65</v>
      </c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</row>
    <row r="180" s="1" customFormat="1" customHeight="1" spans="1:58">
      <c r="A180" s="61"/>
      <c r="B180" s="55" t="s">
        <v>36</v>
      </c>
      <c r="C180" s="56" t="s">
        <v>37</v>
      </c>
      <c r="D180" s="138">
        <v>7.34</v>
      </c>
      <c r="E180" s="139">
        <v>2.1</v>
      </c>
      <c r="F180" s="140">
        <v>45.9</v>
      </c>
      <c r="G180" s="260">
        <f t="shared" si="40"/>
        <v>231.86</v>
      </c>
      <c r="H180" s="62" t="s">
        <v>23</v>
      </c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</row>
    <row r="181" s="1" customFormat="1" customHeight="1" spans="1:58">
      <c r="A181" s="88"/>
      <c r="B181" s="89" t="s">
        <v>77</v>
      </c>
      <c r="C181" s="90">
        <v>200</v>
      </c>
      <c r="D181" s="310">
        <v>0.43</v>
      </c>
      <c r="E181" s="311">
        <v>0.02</v>
      </c>
      <c r="F181" s="312">
        <v>27.6</v>
      </c>
      <c r="G181" s="260">
        <f t="shared" si="40"/>
        <v>112.3</v>
      </c>
      <c r="H181" s="68" t="s">
        <v>141</v>
      </c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52"/>
      <c r="AU181" s="152"/>
      <c r="AV181" s="152"/>
      <c r="AW181" s="152"/>
      <c r="AX181" s="152"/>
      <c r="AY181" s="152"/>
      <c r="AZ181" s="152"/>
      <c r="BA181" s="152"/>
      <c r="BB181" s="152"/>
      <c r="BC181" s="152"/>
      <c r="BD181" s="152"/>
      <c r="BE181" s="152"/>
      <c r="BF181" s="152"/>
    </row>
    <row r="182" s="1" customFormat="1" customHeight="1" spans="1:58">
      <c r="A182" s="264" t="s">
        <v>25</v>
      </c>
      <c r="B182" s="265"/>
      <c r="C182" s="182">
        <f>SUM(C177:C181)+100</f>
        <v>680</v>
      </c>
      <c r="D182" s="302">
        <f t="shared" ref="D182:G182" si="41">SUM(D177:D181)</f>
        <v>35.71</v>
      </c>
      <c r="E182" s="303">
        <f t="shared" si="41"/>
        <v>22.62</v>
      </c>
      <c r="F182" s="304">
        <f t="shared" si="41"/>
        <v>128.4</v>
      </c>
      <c r="G182" s="305">
        <f t="shared" si="41"/>
        <v>860.02</v>
      </c>
      <c r="H182" s="76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</row>
    <row r="183" s="1" customFormat="1" customHeight="1" spans="1:58">
      <c r="A183" s="270" t="s">
        <v>40</v>
      </c>
      <c r="B183" s="265"/>
      <c r="C183" s="95">
        <f>C182+C175</f>
        <v>1260</v>
      </c>
      <c r="D183" s="306">
        <f t="shared" ref="D183:G183" si="42">D182+D175</f>
        <v>63.4</v>
      </c>
      <c r="E183" s="307">
        <f t="shared" si="42"/>
        <v>46.23</v>
      </c>
      <c r="F183" s="308">
        <f t="shared" si="42"/>
        <v>234.87</v>
      </c>
      <c r="G183" s="309">
        <f t="shared" si="42"/>
        <v>1609.15</v>
      </c>
      <c r="H183" s="76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152"/>
      <c r="AZ183" s="152"/>
      <c r="BA183" s="152"/>
      <c r="BB183" s="152"/>
      <c r="BC183" s="152"/>
      <c r="BD183" s="152"/>
      <c r="BE183" s="152"/>
      <c r="BF183" s="152"/>
    </row>
    <row r="184" s="1" customFormat="1" customHeight="1" spans="1:58">
      <c r="A184" s="100"/>
      <c r="B184" s="101"/>
      <c r="C184" s="106"/>
      <c r="D184" s="296"/>
      <c r="E184" s="296"/>
      <c r="F184" s="296"/>
      <c r="G184" s="297"/>
      <c r="H184" s="76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2"/>
      <c r="V184" s="152"/>
      <c r="W184" s="152"/>
      <c r="X184" s="152"/>
      <c r="Y184" s="152"/>
      <c r="Z184" s="152"/>
      <c r="AA184" s="152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  <c r="AS184" s="152"/>
      <c r="AT184" s="152"/>
      <c r="AU184" s="152"/>
      <c r="AV184" s="152"/>
      <c r="AW184" s="152"/>
      <c r="AX184" s="152"/>
      <c r="AY184" s="152"/>
      <c r="AZ184" s="152"/>
      <c r="BA184" s="152"/>
      <c r="BB184" s="152"/>
      <c r="BC184" s="152"/>
      <c r="BD184" s="152"/>
      <c r="BE184" s="152"/>
      <c r="BF184" s="152"/>
    </row>
    <row r="185" ht="17.25" customHeight="1" spans="1:17">
      <c r="A185" s="134"/>
      <c r="B185" s="109" t="s">
        <v>95</v>
      </c>
      <c r="C185" s="109"/>
      <c r="D185" s="109"/>
      <c r="E185" s="109"/>
      <c r="F185" s="109"/>
      <c r="G185" s="109"/>
      <c r="H185" s="76"/>
      <c r="J185" s="152"/>
      <c r="K185" s="3"/>
      <c r="L185" s="3"/>
      <c r="M185" s="3"/>
      <c r="N185" s="3"/>
      <c r="O185" s="3"/>
      <c r="P185" s="3"/>
      <c r="Q185" s="3"/>
    </row>
    <row r="186" ht="17.25" customHeight="1" spans="1:17">
      <c r="A186" s="172" t="s">
        <v>13</v>
      </c>
      <c r="B186" s="173"/>
      <c r="C186" s="110"/>
      <c r="D186" s="173"/>
      <c r="E186" s="173"/>
      <c r="F186" s="298"/>
      <c r="G186" s="298"/>
      <c r="H186" s="76"/>
      <c r="J186" s="152"/>
      <c r="K186" s="3"/>
      <c r="L186" s="3"/>
      <c r="M186" s="3"/>
      <c r="N186" s="3"/>
      <c r="O186" s="3"/>
      <c r="P186" s="3"/>
      <c r="Q186" s="3"/>
    </row>
    <row r="187" s="1" customFormat="1" customHeight="1" spans="1:58">
      <c r="A187" s="207"/>
      <c r="B187" s="82" t="s">
        <v>142</v>
      </c>
      <c r="C187" s="83">
        <v>180</v>
      </c>
      <c r="D187" s="299">
        <v>3.8</v>
      </c>
      <c r="E187" s="300">
        <v>7.9</v>
      </c>
      <c r="F187" s="301">
        <v>34.3</v>
      </c>
      <c r="G187" s="260">
        <f>(D187*4)+(E187*9)+(F187*4)</f>
        <v>223.5</v>
      </c>
      <c r="H187" s="87" t="s">
        <v>143</v>
      </c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</row>
    <row r="188" s="1" customFormat="1" customHeight="1" spans="1:58">
      <c r="A188" s="61"/>
      <c r="B188" s="55" t="s">
        <v>144</v>
      </c>
      <c r="C188" s="56">
        <v>200</v>
      </c>
      <c r="D188" s="138">
        <v>0.02</v>
      </c>
      <c r="E188" s="139">
        <v>0</v>
      </c>
      <c r="F188" s="140">
        <v>15</v>
      </c>
      <c r="G188" s="260">
        <f t="shared" ref="G188:G193" si="43">(D188*4)+(E188*9)+(F188*4)</f>
        <v>60.08</v>
      </c>
      <c r="H188" s="62" t="s">
        <v>145</v>
      </c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</row>
    <row r="189" s="1" customFormat="1" customHeight="1" spans="1:58">
      <c r="A189" s="61"/>
      <c r="B189" s="55" t="s">
        <v>20</v>
      </c>
      <c r="C189" s="56">
        <v>10</v>
      </c>
      <c r="D189" s="138">
        <v>2.5</v>
      </c>
      <c r="E189" s="139">
        <v>2.5</v>
      </c>
      <c r="F189" s="140">
        <v>3.23</v>
      </c>
      <c r="G189" s="260">
        <f t="shared" si="43"/>
        <v>45.42</v>
      </c>
      <c r="H189" s="62" t="s">
        <v>146</v>
      </c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</row>
    <row r="190" s="1" customFormat="1" customHeight="1" spans="1:58">
      <c r="A190" s="61"/>
      <c r="B190" s="55" t="s">
        <v>18</v>
      </c>
      <c r="C190" s="56">
        <v>20</v>
      </c>
      <c r="D190" s="138">
        <v>0.01</v>
      </c>
      <c r="E190" s="139">
        <v>7.25</v>
      </c>
      <c r="F190" s="140">
        <v>0.13</v>
      </c>
      <c r="G190" s="260">
        <f t="shared" si="43"/>
        <v>65.81</v>
      </c>
      <c r="H190" s="62" t="s">
        <v>147</v>
      </c>
      <c r="I190" s="152"/>
      <c r="J190" s="152"/>
      <c r="K190" s="152"/>
      <c r="L190" s="152"/>
      <c r="M190" s="152"/>
      <c r="N190" s="152">
        <v>6</v>
      </c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</row>
    <row r="191" s="1" customFormat="1" customHeight="1" spans="1:58">
      <c r="A191" s="61"/>
      <c r="B191" s="55" t="s">
        <v>22</v>
      </c>
      <c r="C191" s="191">
        <v>40</v>
      </c>
      <c r="D191" s="138">
        <v>3.04</v>
      </c>
      <c r="E191" s="139">
        <v>0.4</v>
      </c>
      <c r="F191" s="140">
        <v>24.6</v>
      </c>
      <c r="G191" s="260">
        <f t="shared" si="43"/>
        <v>114.16</v>
      </c>
      <c r="H191" s="62" t="s">
        <v>23</v>
      </c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</row>
    <row r="192" s="1" customFormat="1" customHeight="1" spans="1:58">
      <c r="A192" s="181"/>
      <c r="B192" s="89" t="s">
        <v>148</v>
      </c>
      <c r="C192" s="90">
        <v>150</v>
      </c>
      <c r="D192" s="245">
        <v>0.4</v>
      </c>
      <c r="E192" s="246">
        <v>0.4</v>
      </c>
      <c r="F192" s="247">
        <v>9.8</v>
      </c>
      <c r="G192" s="260">
        <f t="shared" si="43"/>
        <v>44.4</v>
      </c>
      <c r="H192" s="179" t="s">
        <v>23</v>
      </c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2"/>
      <c r="V192" s="152"/>
      <c r="W192" s="152"/>
      <c r="X192" s="152"/>
      <c r="Y192" s="152"/>
      <c r="Z192" s="152"/>
      <c r="AA192" s="152"/>
      <c r="AB192" s="152"/>
      <c r="AC192" s="152"/>
      <c r="AD192" s="152"/>
      <c r="AE192" s="152"/>
      <c r="AF192" s="152"/>
      <c r="AG192" s="152"/>
      <c r="AH192" s="152"/>
      <c r="AI192" s="152"/>
      <c r="AJ192" s="152"/>
      <c r="AK192" s="152"/>
      <c r="AL192" s="152"/>
      <c r="AM192" s="152"/>
      <c r="AN192" s="152"/>
      <c r="AO192" s="152"/>
      <c r="AP192" s="152"/>
      <c r="AQ192" s="152"/>
      <c r="AR192" s="152"/>
      <c r="AS192" s="152"/>
      <c r="AT192" s="152"/>
      <c r="AU192" s="152"/>
      <c r="AV192" s="152"/>
      <c r="AW192" s="152"/>
      <c r="AX192" s="152"/>
      <c r="AY192" s="152"/>
      <c r="AZ192" s="152"/>
      <c r="BA192" s="152"/>
      <c r="BB192" s="152"/>
      <c r="BC192" s="152"/>
      <c r="BD192" s="152"/>
      <c r="BE192" s="152"/>
      <c r="BF192" s="152"/>
    </row>
    <row r="193" s="1" customFormat="1" ht="31" customHeight="1" spans="1:58">
      <c r="A193" s="61"/>
      <c r="B193" s="137" t="s">
        <v>66</v>
      </c>
      <c r="C193" s="56" t="s">
        <v>67</v>
      </c>
      <c r="D193" s="188">
        <v>0.08</v>
      </c>
      <c r="E193" s="189">
        <v>0</v>
      </c>
      <c r="F193" s="190">
        <v>12</v>
      </c>
      <c r="G193" s="260">
        <f t="shared" si="43"/>
        <v>48.32</v>
      </c>
      <c r="H193" s="62" t="s">
        <v>23</v>
      </c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</row>
    <row r="194" s="1" customFormat="1" customHeight="1" spans="1:58">
      <c r="A194" s="278" t="s">
        <v>25</v>
      </c>
      <c r="B194" s="284"/>
      <c r="C194" s="209">
        <f>SUM(C187:C192)</f>
        <v>600</v>
      </c>
      <c r="D194" s="322">
        <f t="shared" ref="D194:G194" si="44">SUM(D187:D192)</f>
        <v>9.77</v>
      </c>
      <c r="E194" s="323">
        <f t="shared" si="44"/>
        <v>18.45</v>
      </c>
      <c r="F194" s="324">
        <f t="shared" si="44"/>
        <v>87.06</v>
      </c>
      <c r="G194" s="325">
        <f t="shared" si="44"/>
        <v>553.37</v>
      </c>
      <c r="H194" s="76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</row>
    <row r="195" ht="17.25" customHeight="1" spans="1:17">
      <c r="A195" s="147" t="s">
        <v>26</v>
      </c>
      <c r="B195" s="289"/>
      <c r="C195" s="124"/>
      <c r="D195" s="326"/>
      <c r="E195" s="326"/>
      <c r="F195" s="256"/>
      <c r="G195" s="256"/>
      <c r="H195" s="76"/>
      <c r="I195" s="153"/>
      <c r="J195" s="152"/>
      <c r="K195" s="3"/>
      <c r="L195" s="3"/>
      <c r="M195" s="3"/>
      <c r="N195" s="3"/>
      <c r="O195" s="3"/>
      <c r="P195" s="3"/>
      <c r="Q195" s="3"/>
    </row>
    <row r="196" s="1" customFormat="1" customHeight="1" spans="1:58">
      <c r="A196" s="207"/>
      <c r="B196" s="82" t="s">
        <v>149</v>
      </c>
      <c r="C196" s="83">
        <v>200</v>
      </c>
      <c r="D196" s="257">
        <v>2.6</v>
      </c>
      <c r="E196" s="258">
        <v>5.3</v>
      </c>
      <c r="F196" s="259">
        <v>14.3</v>
      </c>
      <c r="G196" s="260">
        <f>(D196*4)+(E196*9)+(F196*4)</f>
        <v>115.3</v>
      </c>
      <c r="H196" s="87" t="s">
        <v>71</v>
      </c>
      <c r="I196" s="152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</row>
    <row r="197" s="1" customFormat="1" customHeight="1" spans="1:58">
      <c r="A197" s="61"/>
      <c r="B197" s="55" t="s">
        <v>150</v>
      </c>
      <c r="C197" s="56">
        <v>70</v>
      </c>
      <c r="D197" s="188">
        <v>5.52</v>
      </c>
      <c r="E197" s="189">
        <v>5.27</v>
      </c>
      <c r="F197" s="190">
        <v>6.01</v>
      </c>
      <c r="G197" s="260">
        <f t="shared" ref="G197:G201" si="45">(D197*4)+(E197*9)+(F197*4)</f>
        <v>93.55</v>
      </c>
      <c r="H197" s="62" t="s">
        <v>151</v>
      </c>
      <c r="I197" s="152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</row>
    <row r="198" s="1" customFormat="1" customHeight="1" spans="1:58">
      <c r="A198" s="61"/>
      <c r="B198" s="55" t="s">
        <v>152</v>
      </c>
      <c r="C198" s="56">
        <v>150</v>
      </c>
      <c r="D198" s="138">
        <v>6.3</v>
      </c>
      <c r="E198" s="139">
        <v>4.5</v>
      </c>
      <c r="F198" s="140">
        <v>38.8</v>
      </c>
      <c r="G198" s="260">
        <f t="shared" si="45"/>
        <v>220.9</v>
      </c>
      <c r="H198" s="62" t="s">
        <v>99</v>
      </c>
      <c r="I198" s="152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</row>
    <row r="199" s="1" customFormat="1" customHeight="1" spans="1:58">
      <c r="A199" s="61"/>
      <c r="B199" s="55" t="s">
        <v>34</v>
      </c>
      <c r="C199" s="56">
        <v>50</v>
      </c>
      <c r="D199" s="138">
        <v>1.86</v>
      </c>
      <c r="E199" s="139">
        <v>0.12</v>
      </c>
      <c r="F199" s="140">
        <v>3.9</v>
      </c>
      <c r="G199" s="260">
        <f t="shared" si="45"/>
        <v>24.12</v>
      </c>
      <c r="H199" s="62" t="s">
        <v>153</v>
      </c>
      <c r="I199" s="152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</row>
    <row r="200" s="1" customFormat="1" customHeight="1" spans="1:58">
      <c r="A200" s="61"/>
      <c r="B200" s="55" t="s">
        <v>36</v>
      </c>
      <c r="C200" s="56" t="s">
        <v>37</v>
      </c>
      <c r="D200" s="138">
        <v>7.34</v>
      </c>
      <c r="E200" s="139">
        <v>2.1</v>
      </c>
      <c r="F200" s="140">
        <v>45.9</v>
      </c>
      <c r="G200" s="260">
        <f t="shared" si="45"/>
        <v>231.86</v>
      </c>
      <c r="H200" s="62" t="s">
        <v>23</v>
      </c>
      <c r="I200" s="152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</row>
    <row r="201" s="1" customFormat="1" customHeight="1" spans="1:58">
      <c r="A201" s="88"/>
      <c r="B201" s="89" t="s">
        <v>93</v>
      </c>
      <c r="C201" s="90">
        <v>200</v>
      </c>
      <c r="D201" s="261">
        <v>0.6</v>
      </c>
      <c r="E201" s="262">
        <v>0.02</v>
      </c>
      <c r="F201" s="263">
        <v>30.4</v>
      </c>
      <c r="G201" s="260">
        <f t="shared" si="45"/>
        <v>124.18</v>
      </c>
      <c r="H201" s="68" t="s">
        <v>154</v>
      </c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52"/>
      <c r="BD201" s="152"/>
      <c r="BE201" s="152"/>
      <c r="BF201" s="152"/>
    </row>
    <row r="202" s="1" customFormat="1" customHeight="1" spans="1:58">
      <c r="A202" s="264" t="s">
        <v>25</v>
      </c>
      <c r="B202" s="265"/>
      <c r="C202" s="182">
        <f>SUM(C196:C201)+100</f>
        <v>770</v>
      </c>
      <c r="D202" s="314">
        <f>SUM(D196:D201)</f>
        <v>24.22</v>
      </c>
      <c r="E202" s="315">
        <f t="shared" ref="E202:G202" si="46">SUM(E196:E201)</f>
        <v>17.31</v>
      </c>
      <c r="F202" s="316">
        <f t="shared" si="46"/>
        <v>139.31</v>
      </c>
      <c r="G202" s="317">
        <f t="shared" si="46"/>
        <v>809.91</v>
      </c>
      <c r="H202" s="76"/>
      <c r="I202" s="152"/>
      <c r="J202" s="152"/>
      <c r="K202" s="152"/>
      <c r="L202" s="152"/>
      <c r="M202" s="152"/>
      <c r="N202" s="152"/>
      <c r="O202" s="152"/>
      <c r="P202" s="152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  <c r="AS202" s="152"/>
      <c r="AT202" s="152"/>
      <c r="AU202" s="152"/>
      <c r="AV202" s="152"/>
      <c r="AW202" s="152"/>
      <c r="AX202" s="152"/>
      <c r="AY202" s="152"/>
      <c r="AZ202" s="152"/>
      <c r="BA202" s="152"/>
      <c r="BB202" s="152"/>
      <c r="BC202" s="152"/>
      <c r="BD202" s="152"/>
      <c r="BE202" s="152"/>
      <c r="BF202" s="152"/>
    </row>
    <row r="203" s="1" customFormat="1" customHeight="1" spans="1:58">
      <c r="A203" s="270" t="s">
        <v>40</v>
      </c>
      <c r="B203" s="265"/>
      <c r="C203" s="95">
        <f>C202+C194</f>
        <v>1370</v>
      </c>
      <c r="D203" s="306">
        <f t="shared" ref="D203:G203" si="47">D202+D194</f>
        <v>33.99</v>
      </c>
      <c r="E203" s="307">
        <f t="shared" si="47"/>
        <v>35.76</v>
      </c>
      <c r="F203" s="308">
        <f t="shared" si="47"/>
        <v>226.37</v>
      </c>
      <c r="G203" s="309">
        <f t="shared" si="47"/>
        <v>1363.28</v>
      </c>
      <c r="H203" s="76"/>
      <c r="I203" s="152"/>
      <c r="J203" s="152"/>
      <c r="K203" s="152"/>
      <c r="L203" s="152"/>
      <c r="M203" s="152"/>
      <c r="N203" s="152"/>
      <c r="O203" s="152"/>
      <c r="P203" s="152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  <c r="AS203" s="152"/>
      <c r="AT203" s="152"/>
      <c r="AU203" s="152"/>
      <c r="AV203" s="152"/>
      <c r="AW203" s="152"/>
      <c r="AX203" s="152"/>
      <c r="AY203" s="152"/>
      <c r="AZ203" s="152"/>
      <c r="BA203" s="152"/>
      <c r="BB203" s="152"/>
      <c r="BC203" s="152"/>
      <c r="BD203" s="152"/>
      <c r="BE203" s="152"/>
      <c r="BF203" s="152"/>
    </row>
    <row r="204" s="1" customFormat="1" customHeight="1" spans="1:58">
      <c r="A204" s="100"/>
      <c r="B204" s="101"/>
      <c r="C204" s="106"/>
      <c r="D204" s="327"/>
      <c r="E204" s="327"/>
      <c r="F204" s="327"/>
      <c r="G204" s="328"/>
      <c r="H204" s="76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52"/>
      <c r="AU204" s="152"/>
      <c r="AV204" s="152"/>
      <c r="AW204" s="152"/>
      <c r="AX204" s="152"/>
      <c r="AY204" s="152"/>
      <c r="AZ204" s="152"/>
      <c r="BA204" s="152"/>
      <c r="BB204" s="152"/>
      <c r="BC204" s="152"/>
      <c r="BD204" s="152"/>
      <c r="BE204" s="152"/>
      <c r="BF204" s="152"/>
    </row>
    <row r="205" s="1" customFormat="1" customHeight="1" spans="1:58">
      <c r="A205" s="128" t="s">
        <v>155</v>
      </c>
      <c r="B205" s="129"/>
      <c r="C205" s="329"/>
      <c r="D205" s="330">
        <f t="shared" ref="D205:F205" si="48">D203+D183+D165+D147+D128+D109+D90+D72+D52+D34</f>
        <v>519.03</v>
      </c>
      <c r="E205" s="330">
        <f t="shared" si="48"/>
        <v>458.6</v>
      </c>
      <c r="F205" s="330">
        <f t="shared" si="48"/>
        <v>2646.4</v>
      </c>
      <c r="G205" s="331">
        <f>(D205*4)+(E205*9)+(F205*4)</f>
        <v>16789.12</v>
      </c>
      <c r="H205" s="220"/>
      <c r="I205" s="152"/>
      <c r="J205" s="152"/>
      <c r="K205" s="152"/>
      <c r="L205" s="152"/>
      <c r="M205" s="152"/>
      <c r="N205" s="152"/>
      <c r="O205" s="152"/>
      <c r="P205" s="152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  <c r="AS205" s="152"/>
      <c r="AT205" s="152"/>
      <c r="AU205" s="152"/>
      <c r="AV205" s="152"/>
      <c r="AW205" s="152"/>
      <c r="AX205" s="152"/>
      <c r="AY205" s="152"/>
      <c r="AZ205" s="152"/>
      <c r="BA205" s="152"/>
      <c r="BB205" s="152"/>
      <c r="BC205" s="152"/>
      <c r="BD205" s="152"/>
      <c r="BE205" s="152"/>
      <c r="BF205" s="152"/>
    </row>
    <row r="206" s="1" customFormat="1" ht="7.5" customHeight="1" spans="1:66">
      <c r="A206" s="221"/>
      <c r="B206" s="136"/>
      <c r="C206" s="136"/>
      <c r="D206" s="332"/>
      <c r="E206" s="332"/>
      <c r="F206" s="332"/>
      <c r="G206" s="332"/>
      <c r="H206" s="223"/>
      <c r="I206" s="223"/>
      <c r="J206" s="223"/>
      <c r="K206" s="223"/>
      <c r="L206" s="332"/>
      <c r="M206" s="332"/>
      <c r="N206" s="332"/>
      <c r="O206" s="332"/>
      <c r="P206" s="8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52"/>
      <c r="AU206" s="152"/>
      <c r="AV206" s="152"/>
      <c r="AW206" s="152"/>
      <c r="AX206" s="152"/>
      <c r="AY206" s="152"/>
      <c r="AZ206" s="152"/>
      <c r="BA206" s="152"/>
      <c r="BB206" s="152"/>
      <c r="BC206" s="152"/>
      <c r="BD206" s="152"/>
      <c r="BE206" s="152"/>
      <c r="BF206" s="152"/>
      <c r="BG206" s="152"/>
      <c r="BH206" s="152"/>
      <c r="BI206" s="152"/>
      <c r="BJ206" s="152"/>
      <c r="BK206" s="152"/>
      <c r="BL206" s="152"/>
      <c r="BM206" s="152"/>
      <c r="BN206" s="152"/>
    </row>
    <row r="207" s="1" customFormat="1" ht="14.25" customHeight="1" spans="1:66">
      <c r="A207" s="224" t="s">
        <v>156</v>
      </c>
      <c r="B207" s="225"/>
      <c r="C207" s="226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153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2"/>
      <c r="BN207" s="152"/>
    </row>
    <row r="208" s="1" customFormat="1" ht="14.25" customHeight="1" spans="1:66">
      <c r="A208" s="224" t="s">
        <v>157</v>
      </c>
      <c r="B208" s="225"/>
      <c r="C208" s="226"/>
      <c r="D208" s="223"/>
      <c r="E208" s="223"/>
      <c r="F208" s="223"/>
      <c r="G208" s="223"/>
      <c r="H208" s="223"/>
      <c r="I208" s="223"/>
      <c r="J208" s="223"/>
      <c r="K208" s="223"/>
      <c r="L208" s="223"/>
      <c r="M208" s="223"/>
      <c r="N208" s="223"/>
      <c r="O208" s="223"/>
      <c r="P208" s="8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52"/>
      <c r="AU208" s="152"/>
      <c r="AV208" s="152"/>
      <c r="AW208" s="152"/>
      <c r="AX208" s="152"/>
      <c r="AY208" s="152"/>
      <c r="AZ208" s="152"/>
      <c r="BA208" s="152"/>
      <c r="BB208" s="152"/>
      <c r="BC208" s="152"/>
      <c r="BD208" s="152"/>
      <c r="BE208" s="152"/>
      <c r="BF208" s="152"/>
      <c r="BG208" s="152"/>
      <c r="BH208" s="152"/>
      <c r="BI208" s="152"/>
      <c r="BJ208" s="152"/>
      <c r="BK208" s="152"/>
      <c r="BL208" s="152"/>
      <c r="BM208" s="152"/>
      <c r="BN208" s="152"/>
    </row>
    <row r="209" s="1" customFormat="1" ht="14.25" customHeight="1" spans="1:66">
      <c r="A209" s="224" t="s">
        <v>158</v>
      </c>
      <c r="B209" s="225"/>
      <c r="C209" s="226"/>
      <c r="D209" s="223"/>
      <c r="E209" s="223"/>
      <c r="F209" s="223"/>
      <c r="G209" s="223"/>
      <c r="H209" s="223"/>
      <c r="I209" s="223"/>
      <c r="J209" s="223"/>
      <c r="K209" s="223"/>
      <c r="L209" s="223"/>
      <c r="M209" s="223"/>
      <c r="N209" s="223"/>
      <c r="O209" s="223"/>
      <c r="P209" s="8"/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152"/>
      <c r="BG209" s="152"/>
      <c r="BH209" s="152"/>
      <c r="BI209" s="152"/>
      <c r="BJ209" s="152"/>
      <c r="BK209" s="152"/>
      <c r="BL209" s="152"/>
      <c r="BM209" s="152"/>
      <c r="BN209" s="152"/>
    </row>
    <row r="210" s="1" customFormat="1" ht="14.25" customHeight="1" spans="1:66">
      <c r="A210" s="224" t="s">
        <v>159</v>
      </c>
      <c r="B210" s="333"/>
      <c r="C210" s="226"/>
      <c r="D210" s="223"/>
      <c r="E210" s="223"/>
      <c r="F210" s="223"/>
      <c r="G210" s="223"/>
      <c r="H210" s="223"/>
      <c r="I210" s="223"/>
      <c r="J210" s="223"/>
      <c r="K210" s="223"/>
      <c r="L210" s="223"/>
      <c r="M210" s="223"/>
      <c r="N210" s="223"/>
      <c r="O210" s="223"/>
      <c r="P210" s="8"/>
      <c r="Q210" s="152"/>
      <c r="R210" s="152"/>
      <c r="S210" s="152"/>
      <c r="T210" s="152"/>
      <c r="U210" s="152"/>
      <c r="V210" s="152"/>
      <c r="W210" s="152"/>
      <c r="X210" s="152"/>
      <c r="Y210" s="152"/>
      <c r="Z210" s="152"/>
      <c r="AA210" s="152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  <c r="BD210" s="152"/>
      <c r="BE210" s="152"/>
      <c r="BF210" s="152"/>
      <c r="BG210" s="152"/>
      <c r="BH210" s="152"/>
      <c r="BI210" s="152"/>
      <c r="BJ210" s="152"/>
      <c r="BK210" s="152"/>
      <c r="BL210" s="152"/>
      <c r="BM210" s="152"/>
      <c r="BN210" s="152"/>
    </row>
    <row r="211" s="1" customFormat="1" ht="14.25" customHeight="1" spans="1:66">
      <c r="A211" s="224" t="s">
        <v>160</v>
      </c>
      <c r="B211" s="333"/>
      <c r="C211" s="226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8"/>
      <c r="Q211" s="152"/>
      <c r="R211" s="152"/>
      <c r="S211" s="152"/>
      <c r="T211" s="152"/>
      <c r="U211" s="152"/>
      <c r="V211" s="152"/>
      <c r="W211" s="152"/>
      <c r="X211" s="152"/>
      <c r="Y211" s="152"/>
      <c r="Z211" s="152"/>
      <c r="AA211" s="152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  <c r="BD211" s="152"/>
      <c r="BE211" s="152"/>
      <c r="BF211" s="152"/>
      <c r="BG211" s="152"/>
      <c r="BH211" s="152"/>
      <c r="BI211" s="152"/>
      <c r="BJ211" s="152"/>
      <c r="BK211" s="152"/>
      <c r="BL211" s="152"/>
      <c r="BM211" s="152"/>
      <c r="BN211" s="152"/>
    </row>
    <row r="212" s="1" customFormat="1" ht="14.25" customHeight="1" spans="1:66">
      <c r="A212" s="224" t="s">
        <v>161</v>
      </c>
      <c r="B212" s="333"/>
      <c r="C212" s="226"/>
      <c r="D212" s="223"/>
      <c r="E212" s="223"/>
      <c r="F212" s="223"/>
      <c r="G212" s="223"/>
      <c r="H212" s="7"/>
      <c r="I212" s="7"/>
      <c r="J212" s="7"/>
      <c r="K212" s="7"/>
      <c r="L212" s="223"/>
      <c r="M212" s="223"/>
      <c r="N212" s="223"/>
      <c r="O212" s="223"/>
      <c r="P212" s="8"/>
      <c r="Q212" s="152"/>
      <c r="R212" s="152"/>
      <c r="S212" s="152"/>
      <c r="T212" s="152"/>
      <c r="U212" s="152"/>
      <c r="V212" s="152"/>
      <c r="W212" s="152"/>
      <c r="X212" s="152"/>
      <c r="Y212" s="152"/>
      <c r="Z212" s="152"/>
      <c r="AA212" s="152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152"/>
      <c r="BI212" s="152"/>
      <c r="BJ212" s="152"/>
      <c r="BK212" s="152"/>
      <c r="BL212" s="152"/>
      <c r="BM212" s="152"/>
      <c r="BN212" s="152"/>
    </row>
    <row r="213" customHeight="1" spans="16:18">
      <c r="P213" s="8"/>
      <c r="R213" s="152"/>
    </row>
    <row r="214" customHeight="1" spans="16:18">
      <c r="P214" s="8"/>
      <c r="R214" s="152"/>
    </row>
    <row r="215" customHeight="1" spans="16:18">
      <c r="P215" s="8"/>
      <c r="R215" s="152"/>
    </row>
    <row r="216" customHeight="1" spans="16:18">
      <c r="P216" s="8"/>
      <c r="R216" s="152"/>
    </row>
    <row r="217" customHeight="1" spans="16:18">
      <c r="P217" s="8"/>
      <c r="R217" s="152"/>
    </row>
    <row r="218" customHeight="1" spans="16:18">
      <c r="P218" s="8"/>
      <c r="R218" s="152"/>
    </row>
    <row r="219" customHeight="1" spans="16:18">
      <c r="P219" s="8"/>
      <c r="R219" s="152"/>
    </row>
    <row r="220" customHeight="1" spans="16:18">
      <c r="P220" s="8"/>
      <c r="R220" s="152"/>
    </row>
    <row r="221" customHeight="1" spans="16:18">
      <c r="P221" s="8"/>
      <c r="R221" s="152"/>
    </row>
    <row r="222" customHeight="1" spans="16:16">
      <c r="P222" s="8"/>
    </row>
    <row r="223" customHeight="1" spans="16:16">
      <c r="P223" s="8"/>
    </row>
    <row r="224" customHeight="1" spans="16:16">
      <c r="P224" s="8" t="s">
        <v>162</v>
      </c>
    </row>
    <row r="225" customHeight="1" spans="16:16">
      <c r="P225" s="8"/>
    </row>
    <row r="226" customHeight="1" spans="16:16">
      <c r="P226" s="8"/>
    </row>
    <row r="227" customHeight="1" spans="16:16">
      <c r="P227" s="8"/>
    </row>
  </sheetData>
  <mergeCells count="22">
    <mergeCell ref="K2:P2"/>
    <mergeCell ref="J3:P3"/>
    <mergeCell ref="J4:P4"/>
    <mergeCell ref="J5:P5"/>
    <mergeCell ref="A9:P9"/>
    <mergeCell ref="A10:P10"/>
    <mergeCell ref="A11:P11"/>
    <mergeCell ref="B12:M12"/>
    <mergeCell ref="D14:F14"/>
    <mergeCell ref="A35:C35"/>
    <mergeCell ref="A53:C53"/>
    <mergeCell ref="A73:C73"/>
    <mergeCell ref="A91:C91"/>
    <mergeCell ref="A110:C110"/>
    <mergeCell ref="A129:C129"/>
    <mergeCell ref="A148:C148"/>
    <mergeCell ref="A166:C166"/>
    <mergeCell ref="A184:C184"/>
    <mergeCell ref="A204:C204"/>
    <mergeCell ref="A205:C205"/>
    <mergeCell ref="C14:C15"/>
    <mergeCell ref="G14:G15"/>
  </mergeCells>
  <pageMargins left="0.25" right="0.25" top="0.75" bottom="0.75" header="0.3" footer="0.3"/>
  <pageSetup paperSize="9" scale="80" orientation="landscape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212"/>
  <sheetViews>
    <sheetView view="pageBreakPreview" zoomScale="90" zoomScaleNormal="90" topLeftCell="B1" workbookViewId="0">
      <selection activeCell="N18" sqref="N18:N19"/>
    </sheetView>
  </sheetViews>
  <sheetFormatPr defaultColWidth="9.17592592592593" defaultRowHeight="19.5" customHeight="1"/>
  <cols>
    <col min="1" max="1" width="16.8148148148148" style="2" customWidth="1"/>
    <col min="2" max="2" width="35.1759259259259" style="3" customWidth="1"/>
    <col min="3" max="3" width="10.2685185185185" style="4" customWidth="1"/>
    <col min="4" max="6" width="8" style="5" customWidth="1"/>
    <col min="7" max="7" width="9.4537037037037" style="5" customWidth="1"/>
    <col min="8" max="8" width="32.1759259259259" style="6" customWidth="1"/>
    <col min="9" max="15" width="8" style="6" customWidth="1"/>
    <col min="16" max="16" width="5.72222222222222" style="7" customWidth="1"/>
    <col min="17" max="17" width="5.5462962962963" style="8" customWidth="1"/>
    <col min="18" max="16384" width="9.17592592592593" style="3"/>
  </cols>
  <sheetData>
    <row r="1" customHeight="1" spans="1:1">
      <c r="A1" s="9"/>
    </row>
    <row r="2" customHeight="1" spans="1:16">
      <c r="A2" s="10"/>
      <c r="B2" s="11"/>
      <c r="F2" s="12"/>
      <c r="G2" s="13" t="s">
        <v>163</v>
      </c>
      <c r="K2" s="148"/>
      <c r="L2" s="148"/>
      <c r="M2" s="148"/>
      <c r="N2" s="148"/>
      <c r="O2" s="148"/>
      <c r="P2" s="148"/>
    </row>
    <row r="3" customHeight="1" spans="1:16">
      <c r="A3" s="14"/>
      <c r="D3" s="15"/>
      <c r="E3" s="15"/>
      <c r="F3" s="15"/>
      <c r="G3" s="16" t="s">
        <v>164</v>
      </c>
      <c r="J3" s="149"/>
      <c r="K3" s="149"/>
      <c r="L3" s="149"/>
      <c r="M3" s="149"/>
      <c r="N3" s="149"/>
      <c r="O3" s="149"/>
      <c r="P3" s="149"/>
    </row>
    <row r="4" customHeight="1" spans="1:16">
      <c r="A4" s="17"/>
      <c r="D4" s="18"/>
      <c r="E4" s="18"/>
      <c r="F4" s="18"/>
      <c r="G4" s="19" t="s">
        <v>165</v>
      </c>
      <c r="H4" s="20"/>
      <c r="J4" s="149"/>
      <c r="K4" s="149"/>
      <c r="L4" s="149"/>
      <c r="M4" s="149"/>
      <c r="N4" s="149"/>
      <c r="O4" s="149"/>
      <c r="P4" s="149"/>
    </row>
    <row r="5" customHeight="1" spans="1:16">
      <c r="A5" s="17"/>
      <c r="D5" s="15"/>
      <c r="E5" s="15"/>
      <c r="F5" s="15"/>
      <c r="G5" s="16" t="s">
        <v>166</v>
      </c>
      <c r="J5" s="149"/>
      <c r="K5" s="149"/>
      <c r="L5" s="149"/>
      <c r="M5" s="149"/>
      <c r="N5" s="149"/>
      <c r="O5" s="149"/>
      <c r="P5" s="149"/>
    </row>
    <row r="6" customHeight="1" spans="1:1">
      <c r="A6" s="17"/>
    </row>
    <row r="7" customHeight="1" spans="1:1">
      <c r="A7" s="17"/>
    </row>
    <row r="8" customHeight="1" spans="1:1">
      <c r="A8" s="17"/>
    </row>
    <row r="9" customHeight="1" spans="1:16">
      <c r="A9" s="21" t="s">
        <v>167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customHeight="1" spans="1:16">
      <c r="A10" s="21" t="s">
        <v>168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customHeight="1" spans="1:16">
      <c r="A11" s="21" t="s">
        <v>169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customHeight="1" spans="1:16">
      <c r="A12" s="22"/>
      <c r="B12" s="21" t="s">
        <v>170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50"/>
      <c r="P12" s="151"/>
    </row>
    <row r="13" customHeight="1" spans="2:17">
      <c r="B13" s="4"/>
      <c r="C13" s="3"/>
      <c r="P13" s="8"/>
      <c r="Q13" s="3"/>
    </row>
    <row r="14" s="1" customFormat="1" ht="24.75" customHeight="1" spans="1:58">
      <c r="A14" s="23" t="s">
        <v>171</v>
      </c>
      <c r="B14" s="24" t="s">
        <v>3</v>
      </c>
      <c r="C14" s="25" t="s">
        <v>4</v>
      </c>
      <c r="D14" s="26" t="s">
        <v>5</v>
      </c>
      <c r="E14" s="26"/>
      <c r="F14" s="26"/>
      <c r="G14" s="27" t="s">
        <v>6</v>
      </c>
      <c r="H14" s="28" t="s">
        <v>7</v>
      </c>
      <c r="I14" s="8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</row>
    <row r="15" s="1" customFormat="1" customHeight="1" spans="1:58">
      <c r="A15" s="29"/>
      <c r="B15" s="30"/>
      <c r="C15" s="31"/>
      <c r="D15" s="32" t="s">
        <v>8</v>
      </c>
      <c r="E15" s="33" t="s">
        <v>9</v>
      </c>
      <c r="F15" s="34" t="s">
        <v>10</v>
      </c>
      <c r="G15" s="35"/>
      <c r="H15" s="36"/>
      <c r="I15" s="8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</row>
    <row r="16" ht="17.25" customHeight="1" spans="1:17">
      <c r="A16" s="37" t="s">
        <v>11</v>
      </c>
      <c r="B16" s="38"/>
      <c r="C16" s="39"/>
      <c r="D16" s="40"/>
      <c r="E16" s="40"/>
      <c r="F16" s="40"/>
      <c r="G16" s="40"/>
      <c r="H16" s="41"/>
      <c r="I16" s="7"/>
      <c r="J16" s="7"/>
      <c r="K16" s="3"/>
      <c r="L16" s="3"/>
      <c r="M16" s="3"/>
      <c r="N16" s="3"/>
      <c r="O16" s="3"/>
      <c r="P16" s="3"/>
      <c r="Q16" s="3"/>
    </row>
    <row r="17" ht="17.25" customHeight="1" spans="1:17">
      <c r="A17" s="42"/>
      <c r="B17" s="43" t="s">
        <v>12</v>
      </c>
      <c r="C17" s="43"/>
      <c r="D17" s="43"/>
      <c r="E17" s="43"/>
      <c r="F17" s="43"/>
      <c r="G17" s="43"/>
      <c r="H17" s="41"/>
      <c r="I17" s="7"/>
      <c r="J17" s="7"/>
      <c r="K17" s="3"/>
      <c r="L17" s="3"/>
      <c r="M17" s="3"/>
      <c r="N17" s="3"/>
      <c r="O17" s="3"/>
      <c r="P17" s="3"/>
      <c r="Q17" s="3"/>
    </row>
    <row r="18" ht="17.25" customHeight="1" spans="1:17">
      <c r="A18" s="44" t="s">
        <v>13</v>
      </c>
      <c r="B18" s="45"/>
      <c r="C18" s="45"/>
      <c r="D18" s="45"/>
      <c r="E18" s="45"/>
      <c r="F18" s="45"/>
      <c r="G18" s="45"/>
      <c r="H18" s="41"/>
      <c r="I18" s="7"/>
      <c r="J18" s="7"/>
      <c r="K18" s="3"/>
      <c r="L18" s="3"/>
      <c r="M18" s="3"/>
      <c r="N18" s="3"/>
      <c r="O18" s="3"/>
      <c r="P18" s="3"/>
      <c r="Q18" s="3"/>
    </row>
    <row r="19" s="1" customFormat="1" ht="27.75" customHeight="1" spans="1:58">
      <c r="A19" s="46"/>
      <c r="B19" s="47" t="s">
        <v>14</v>
      </c>
      <c r="C19" s="48">
        <v>250</v>
      </c>
      <c r="D19" s="49">
        <f>7/200*250</f>
        <v>8.75</v>
      </c>
      <c r="E19" s="50">
        <f>7.9/200*250</f>
        <v>9.875</v>
      </c>
      <c r="F19" s="51">
        <f>24.7/200*250</f>
        <v>30.875</v>
      </c>
      <c r="G19" s="52">
        <f>(D19*4)+(E19*9)+(F19*4)</f>
        <v>247.375</v>
      </c>
      <c r="H19" s="53" t="s">
        <v>15</v>
      </c>
      <c r="I19" s="8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</row>
    <row r="20" s="1" customFormat="1" customHeight="1" spans="1:58">
      <c r="A20" s="54"/>
      <c r="B20" s="55" t="s">
        <v>16</v>
      </c>
      <c r="C20" s="56">
        <v>200</v>
      </c>
      <c r="D20" s="57">
        <v>0</v>
      </c>
      <c r="E20" s="58">
        <v>0</v>
      </c>
      <c r="F20" s="59">
        <v>11.98</v>
      </c>
      <c r="G20" s="52">
        <f t="shared" ref="G20:G24" si="0">(D20*4)+(E20*9)+(F20*4)</f>
        <v>47.92</v>
      </c>
      <c r="H20" s="60" t="s">
        <v>17</v>
      </c>
      <c r="I20" s="8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</row>
    <row r="21" s="1" customFormat="1" customHeight="1" spans="1:58">
      <c r="A21" s="54"/>
      <c r="B21" s="55" t="s">
        <v>18</v>
      </c>
      <c r="C21" s="56">
        <v>15</v>
      </c>
      <c r="D21" s="57">
        <f>4.09/10*15</f>
        <v>6.135</v>
      </c>
      <c r="E21" s="58">
        <f>4.6/10*15</f>
        <v>6.9</v>
      </c>
      <c r="F21" s="59">
        <f>0.49/10*15</f>
        <v>0.735</v>
      </c>
      <c r="G21" s="52">
        <f t="shared" si="0"/>
        <v>89.58</v>
      </c>
      <c r="H21" s="60" t="s">
        <v>19</v>
      </c>
      <c r="I21" s="8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</row>
    <row r="22" s="1" customFormat="1" customHeight="1" spans="1:58">
      <c r="A22" s="54"/>
      <c r="B22" s="55" t="s">
        <v>20</v>
      </c>
      <c r="C22" s="56">
        <v>10</v>
      </c>
      <c r="D22" s="57">
        <v>0.08</v>
      </c>
      <c r="E22" s="58">
        <v>7.25</v>
      </c>
      <c r="F22" s="59">
        <v>0.13</v>
      </c>
      <c r="G22" s="52">
        <f t="shared" si="0"/>
        <v>66.09</v>
      </c>
      <c r="H22" s="60" t="s">
        <v>21</v>
      </c>
      <c r="I22" s="8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</row>
    <row r="23" s="1" customFormat="1" customHeight="1" spans="1:58">
      <c r="A23" s="61"/>
      <c r="B23" s="55" t="s">
        <v>22</v>
      </c>
      <c r="C23" s="56">
        <v>50</v>
      </c>
      <c r="D23" s="57">
        <f>0.32/40*50</f>
        <v>0.4</v>
      </c>
      <c r="E23" s="58">
        <f>29/40*50</f>
        <v>36.25</v>
      </c>
      <c r="F23" s="59">
        <f>0.52/40*50</f>
        <v>0.65</v>
      </c>
      <c r="G23" s="52">
        <f t="shared" si="0"/>
        <v>330.45</v>
      </c>
      <c r="H23" s="62" t="s">
        <v>23</v>
      </c>
      <c r="I23" s="8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</row>
    <row r="24" s="1" customFormat="1" customHeight="1" spans="1:58">
      <c r="A24" s="61"/>
      <c r="B24" s="63" t="s">
        <v>24</v>
      </c>
      <c r="C24" s="64">
        <v>150</v>
      </c>
      <c r="D24" s="65">
        <f>0.6/100*150</f>
        <v>0.9</v>
      </c>
      <c r="E24" s="66">
        <f>0.6/100*150</f>
        <v>0.9</v>
      </c>
      <c r="F24" s="67">
        <f>14.7/100*150</f>
        <v>22.05</v>
      </c>
      <c r="G24" s="52">
        <f t="shared" si="0"/>
        <v>99.9</v>
      </c>
      <c r="H24" s="68" t="s">
        <v>23</v>
      </c>
      <c r="I24" s="8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</row>
    <row r="25" s="1" customFormat="1" customHeight="1" spans="1:58">
      <c r="A25" s="69" t="s">
        <v>25</v>
      </c>
      <c r="B25" s="70"/>
      <c r="C25" s="71">
        <f t="shared" ref="C25:G25" si="1">SUM(C19:C24)</f>
        <v>675</v>
      </c>
      <c r="D25" s="72">
        <f t="shared" si="1"/>
        <v>16.265</v>
      </c>
      <c r="E25" s="73">
        <f t="shared" si="1"/>
        <v>61.175</v>
      </c>
      <c r="F25" s="74">
        <f t="shared" si="1"/>
        <v>66.42</v>
      </c>
      <c r="G25" s="75">
        <f t="shared" si="1"/>
        <v>881.315</v>
      </c>
      <c r="H25" s="76"/>
      <c r="I25" s="8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</row>
    <row r="26" ht="17.25" customHeight="1" spans="1:17">
      <c r="A26" s="77" t="s">
        <v>26</v>
      </c>
      <c r="B26" s="78"/>
      <c r="C26" s="78"/>
      <c r="D26" s="79"/>
      <c r="E26" s="79"/>
      <c r="F26" s="80"/>
      <c r="G26" s="80"/>
      <c r="H26" s="81"/>
      <c r="I26" s="153"/>
      <c r="J26" s="153"/>
      <c r="K26" s="3"/>
      <c r="L26" s="3"/>
      <c r="M26" s="3"/>
      <c r="N26" s="3"/>
      <c r="O26" s="3"/>
      <c r="P26" s="3"/>
      <c r="Q26" s="3"/>
    </row>
    <row r="27" s="1" customFormat="1" ht="32.25" customHeight="1" spans="1:58">
      <c r="A27" s="61"/>
      <c r="B27" s="82" t="s">
        <v>172</v>
      </c>
      <c r="C27" s="83">
        <v>250</v>
      </c>
      <c r="D27" s="84">
        <v>1.7</v>
      </c>
      <c r="E27" s="85">
        <f>4.85</f>
        <v>4.85</v>
      </c>
      <c r="F27" s="86">
        <v>6.69</v>
      </c>
      <c r="G27" s="52">
        <f t="shared" ref="G27:G32" si="2">(D27*4)+(E27*9)+(F27*4)</f>
        <v>77.21</v>
      </c>
      <c r="H27" s="87" t="s">
        <v>173</v>
      </c>
      <c r="I27" s="3"/>
      <c r="J27" s="3"/>
      <c r="K27" s="3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</row>
    <row r="28" s="1" customFormat="1" customHeight="1" spans="1:58">
      <c r="A28" s="61"/>
      <c r="B28" s="55" t="s">
        <v>30</v>
      </c>
      <c r="C28" s="56">
        <v>100</v>
      </c>
      <c r="D28" s="57">
        <f>7.61/90*100</f>
        <v>8.45555555555556</v>
      </c>
      <c r="E28" s="58">
        <f>2.45/90*100</f>
        <v>2.72222222222222</v>
      </c>
      <c r="F28" s="59">
        <f>5.33/90*100</f>
        <v>5.92222222222222</v>
      </c>
      <c r="G28" s="52">
        <f t="shared" si="2"/>
        <v>82.0111111111111</v>
      </c>
      <c r="H28" s="62" t="s">
        <v>132</v>
      </c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</row>
    <row r="29" s="1" customFormat="1" customHeight="1" spans="1:58">
      <c r="A29" s="61"/>
      <c r="B29" s="55" t="s">
        <v>32</v>
      </c>
      <c r="C29" s="56">
        <v>200</v>
      </c>
      <c r="D29" s="57">
        <f>3.64/150*200</f>
        <v>4.85333333333333</v>
      </c>
      <c r="E29" s="58">
        <f>5.37/150*200</f>
        <v>7.16</v>
      </c>
      <c r="F29" s="59">
        <f>36.7/150*200</f>
        <v>48.9333333333333</v>
      </c>
      <c r="G29" s="52">
        <f t="shared" si="2"/>
        <v>279.586666666667</v>
      </c>
      <c r="H29" s="62" t="s">
        <v>107</v>
      </c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</row>
    <row r="30" s="1" customFormat="1" customHeight="1" spans="1:58">
      <c r="A30" s="61"/>
      <c r="B30" s="55" t="s">
        <v>34</v>
      </c>
      <c r="C30" s="56">
        <v>100</v>
      </c>
      <c r="D30" s="57">
        <f>1/60*100</f>
        <v>1.66666666666667</v>
      </c>
      <c r="E30" s="58">
        <f>4.5/60*100</f>
        <v>7.5</v>
      </c>
      <c r="F30" s="59">
        <f>4.25/60*100</f>
        <v>7.08333333333333</v>
      </c>
      <c r="G30" s="52">
        <f t="shared" si="2"/>
        <v>102.5</v>
      </c>
      <c r="H30" s="62" t="s">
        <v>153</v>
      </c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</row>
    <row r="31" s="1" customFormat="1" customHeight="1" spans="1:58">
      <c r="A31" s="61"/>
      <c r="B31" s="55" t="s">
        <v>36</v>
      </c>
      <c r="C31" s="56" t="s">
        <v>174</v>
      </c>
      <c r="D31" s="57">
        <f>3.16</f>
        <v>3.16</v>
      </c>
      <c r="E31" s="58">
        <f>0.4</f>
        <v>0.4</v>
      </c>
      <c r="F31" s="59">
        <f>19.6</f>
        <v>19.6</v>
      </c>
      <c r="G31" s="52">
        <f t="shared" si="2"/>
        <v>94.64</v>
      </c>
      <c r="H31" s="62" t="s">
        <v>23</v>
      </c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2"/>
    </row>
    <row r="32" s="1" customFormat="1" customHeight="1" spans="1:58">
      <c r="A32" s="88"/>
      <c r="B32" s="89" t="s">
        <v>38</v>
      </c>
      <c r="C32" s="90">
        <v>200</v>
      </c>
      <c r="D32" s="91">
        <f>0.13</f>
        <v>0.13</v>
      </c>
      <c r="E32" s="92">
        <f>0.04</f>
        <v>0.04</v>
      </c>
      <c r="F32" s="93">
        <f>27.3</f>
        <v>27.3</v>
      </c>
      <c r="G32" s="52">
        <f t="shared" si="2"/>
        <v>110.08</v>
      </c>
      <c r="H32" s="68" t="s">
        <v>123</v>
      </c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</row>
    <row r="33" s="1" customFormat="1" customHeight="1" spans="1:58">
      <c r="A33" s="69" t="s">
        <v>25</v>
      </c>
      <c r="B33" s="94"/>
      <c r="C33" s="95">
        <f>SUM(C28:C32)+275+100</f>
        <v>975</v>
      </c>
      <c r="D33" s="96">
        <f>SUM(D27:D32)</f>
        <v>19.9655555555556</v>
      </c>
      <c r="E33" s="97">
        <f t="shared" ref="E33:G33" si="3">SUM(E27:E32)</f>
        <v>22.6722222222222</v>
      </c>
      <c r="F33" s="98">
        <f t="shared" si="3"/>
        <v>115.528888888889</v>
      </c>
      <c r="G33" s="99">
        <f t="shared" si="3"/>
        <v>746.027777777778</v>
      </c>
      <c r="H33" s="76"/>
      <c r="I33" s="8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2"/>
      <c r="BD33" s="152"/>
      <c r="BE33" s="152"/>
      <c r="BF33" s="152"/>
    </row>
    <row r="34" s="1" customFormat="1" customHeight="1" spans="1:58">
      <c r="A34" s="100" t="s">
        <v>40</v>
      </c>
      <c r="B34" s="101"/>
      <c r="C34" s="102">
        <f>C25+C33</f>
        <v>1650</v>
      </c>
      <c r="D34" s="103">
        <f>SUM(D33)+E25</f>
        <v>81.1405555555556</v>
      </c>
      <c r="E34" s="103">
        <f t="shared" ref="E34:F34" si="4">SUM(E33)+F25</f>
        <v>89.0922222222222</v>
      </c>
      <c r="F34" s="104">
        <f t="shared" si="4"/>
        <v>996.843888888889</v>
      </c>
      <c r="G34" s="105">
        <f>G33+G25</f>
        <v>1627.34277777778</v>
      </c>
      <c r="H34" s="76"/>
      <c r="I34" s="8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</row>
    <row r="35" s="1" customFormat="1" customHeight="1" spans="1:58">
      <c r="A35" s="100"/>
      <c r="B35" s="101"/>
      <c r="C35" s="106"/>
      <c r="D35" s="107"/>
      <c r="E35" s="107"/>
      <c r="F35" s="107"/>
      <c r="G35" s="107"/>
      <c r="H35" s="76"/>
      <c r="I35" s="8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</row>
    <row r="36" ht="17.25" customHeight="1" spans="1:17">
      <c r="A36" s="108"/>
      <c r="B36" s="109" t="s">
        <v>41</v>
      </c>
      <c r="C36" s="109"/>
      <c r="D36" s="109"/>
      <c r="E36" s="109"/>
      <c r="F36" s="109"/>
      <c r="G36" s="109"/>
      <c r="H36" s="76"/>
      <c r="I36" s="8"/>
      <c r="J36" s="154"/>
      <c r="K36" s="3"/>
      <c r="L36" s="3"/>
      <c r="M36" s="3"/>
      <c r="N36" s="3"/>
      <c r="O36" s="3"/>
      <c r="P36" s="3"/>
      <c r="Q36" s="3"/>
    </row>
    <row r="37" ht="17.25" customHeight="1" spans="1:17">
      <c r="A37" s="77" t="s">
        <v>13</v>
      </c>
      <c r="B37" s="110"/>
      <c r="C37" s="110"/>
      <c r="D37" s="111"/>
      <c r="E37" s="111"/>
      <c r="F37" s="111"/>
      <c r="G37" s="111"/>
      <c r="H37" s="112"/>
      <c r="I37" s="155"/>
      <c r="J37" s="156"/>
      <c r="K37" s="157"/>
      <c r="L37" s="157"/>
      <c r="M37" s="157"/>
      <c r="N37" s="158"/>
      <c r="O37" s="159"/>
      <c r="P37" s="3"/>
      <c r="Q37" s="3"/>
    </row>
    <row r="38" s="1" customFormat="1" ht="33" customHeight="1" spans="1:58">
      <c r="A38" s="61"/>
      <c r="B38" s="82" t="s">
        <v>42</v>
      </c>
      <c r="C38" s="83">
        <v>200</v>
      </c>
      <c r="D38" s="84">
        <f>16.46/160*200</f>
        <v>20.575</v>
      </c>
      <c r="E38" s="85">
        <f>18.5/160*200</f>
        <v>23.125</v>
      </c>
      <c r="F38" s="86">
        <f>3.307/160*200</f>
        <v>4.13375</v>
      </c>
      <c r="G38" s="113">
        <f>(D38*4)+(E38*9)+(F38*4)</f>
        <v>306.96</v>
      </c>
      <c r="H38" s="114" t="s">
        <v>43</v>
      </c>
      <c r="I38" s="155"/>
      <c r="J38" s="156"/>
      <c r="K38" s="157"/>
      <c r="L38" s="157"/>
      <c r="M38" s="157"/>
      <c r="N38" s="158"/>
      <c r="O38" s="159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</row>
    <row r="39" s="1" customFormat="1" customHeight="1" spans="1:58">
      <c r="A39" s="115"/>
      <c r="B39" s="55" t="s">
        <v>44</v>
      </c>
      <c r="C39" s="56">
        <v>100</v>
      </c>
      <c r="D39" s="57">
        <f>0.93/60*100</f>
        <v>1.55</v>
      </c>
      <c r="E39" s="58">
        <f>0.06/60*100</f>
        <v>0.1</v>
      </c>
      <c r="F39" s="59">
        <f>1.95/60*100</f>
        <v>3.25</v>
      </c>
      <c r="G39" s="113">
        <f t="shared" ref="G39:G42" si="5">(D39*4)+(E39*9)+(F39*4)</f>
        <v>20.1</v>
      </c>
      <c r="H39" s="116" t="s">
        <v>45</v>
      </c>
      <c r="I39" s="155"/>
      <c r="J39" s="156"/>
      <c r="K39" s="157"/>
      <c r="L39" s="157"/>
      <c r="M39" s="157"/>
      <c r="N39" s="158"/>
      <c r="O39" s="159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</row>
    <row r="40" s="1" customFormat="1" customHeight="1" spans="1:58">
      <c r="A40" s="117"/>
      <c r="B40" s="118" t="s">
        <v>46</v>
      </c>
      <c r="C40" s="56">
        <v>200</v>
      </c>
      <c r="D40" s="57">
        <v>5.71</v>
      </c>
      <c r="E40" s="58">
        <v>4.8</v>
      </c>
      <c r="F40" s="59">
        <v>20.82</v>
      </c>
      <c r="G40" s="113">
        <f t="shared" si="5"/>
        <v>149.32</v>
      </c>
      <c r="H40" s="119" t="s">
        <v>47</v>
      </c>
      <c r="I40" s="155"/>
      <c r="J40" s="156"/>
      <c r="K40" s="157"/>
      <c r="L40" s="157"/>
      <c r="M40" s="157"/>
      <c r="N40" s="158"/>
      <c r="O40" s="159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</row>
    <row r="41" s="1" customFormat="1" customHeight="1" spans="1:58">
      <c r="A41" s="61"/>
      <c r="B41" s="55" t="s">
        <v>22</v>
      </c>
      <c r="C41" s="56">
        <v>50</v>
      </c>
      <c r="D41" s="57">
        <f>1.58/40*50</f>
        <v>1.975</v>
      </c>
      <c r="E41" s="58">
        <f>0.2/40*50</f>
        <v>0.25</v>
      </c>
      <c r="F41" s="59">
        <f>9.66/40*50</f>
        <v>12.075</v>
      </c>
      <c r="G41" s="113">
        <f t="shared" si="5"/>
        <v>58.45</v>
      </c>
      <c r="H41" s="114" t="s">
        <v>23</v>
      </c>
      <c r="I41" s="155"/>
      <c r="J41" s="156"/>
      <c r="K41" s="157"/>
      <c r="L41" s="157"/>
      <c r="M41" s="157"/>
      <c r="N41" s="158"/>
      <c r="O41" s="159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</row>
    <row r="42" s="1" customFormat="1" customHeight="1" spans="1:58">
      <c r="A42" s="61"/>
      <c r="B42" s="89" t="s">
        <v>24</v>
      </c>
      <c r="C42" s="90">
        <v>150</v>
      </c>
      <c r="D42" s="91">
        <f>0.4/100*150</f>
        <v>0.6</v>
      </c>
      <c r="E42" s="92">
        <f>0.3/100*150</f>
        <v>0.45</v>
      </c>
      <c r="F42" s="93">
        <f>10.3/100*150</f>
        <v>15.45</v>
      </c>
      <c r="G42" s="113">
        <f t="shared" si="5"/>
        <v>68.25</v>
      </c>
      <c r="H42" s="114" t="s">
        <v>23</v>
      </c>
      <c r="I42" s="155"/>
      <c r="J42" s="156"/>
      <c r="K42" s="157"/>
      <c r="L42" s="157"/>
      <c r="M42" s="157"/>
      <c r="N42" s="158"/>
      <c r="O42" s="159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</row>
    <row r="43" s="1" customFormat="1" customHeight="1" spans="1:58">
      <c r="A43" s="120" t="s">
        <v>25</v>
      </c>
      <c r="B43" s="121"/>
      <c r="C43" s="71">
        <v>700</v>
      </c>
      <c r="D43" s="72">
        <f t="shared" ref="D43:G43" si="6">SUM(D38:D42)</f>
        <v>30.41</v>
      </c>
      <c r="E43" s="73">
        <f t="shared" si="6"/>
        <v>28.725</v>
      </c>
      <c r="F43" s="74">
        <f t="shared" si="6"/>
        <v>55.72875</v>
      </c>
      <c r="G43" s="75">
        <f t="shared" si="6"/>
        <v>603.08</v>
      </c>
      <c r="H43" s="76"/>
      <c r="I43" s="8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</row>
    <row r="44" ht="17.25" customHeight="1" spans="1:17">
      <c r="A44" s="122" t="s">
        <v>26</v>
      </c>
      <c r="B44" s="123"/>
      <c r="C44" s="124"/>
      <c r="D44" s="79"/>
      <c r="E44" s="79"/>
      <c r="F44" s="80"/>
      <c r="G44" s="80"/>
      <c r="H44" s="76"/>
      <c r="I44" s="8"/>
      <c r="J44" s="153"/>
      <c r="K44" s="3"/>
      <c r="L44" s="3"/>
      <c r="M44" s="3"/>
      <c r="N44" s="3"/>
      <c r="O44" s="3"/>
      <c r="P44" s="3"/>
      <c r="Q44" s="3"/>
    </row>
    <row r="45" s="1" customFormat="1" customHeight="1" spans="1:58">
      <c r="A45" s="61"/>
      <c r="B45" s="82" t="s">
        <v>175</v>
      </c>
      <c r="C45" s="125" t="s">
        <v>176</v>
      </c>
      <c r="D45" s="84">
        <v>6.2</v>
      </c>
      <c r="E45" s="85">
        <v>7.11</v>
      </c>
      <c r="F45" s="86">
        <v>22.3</v>
      </c>
      <c r="G45" s="52">
        <f>(D45*4)+(E45*9)+(F45*4)</f>
        <v>177.99</v>
      </c>
      <c r="H45" s="87" t="s">
        <v>49</v>
      </c>
      <c r="I45" s="153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</row>
    <row r="46" s="1" customFormat="1" customHeight="1" spans="1:58">
      <c r="A46" s="61"/>
      <c r="B46" s="55" t="s">
        <v>177</v>
      </c>
      <c r="C46" s="56">
        <v>100</v>
      </c>
      <c r="D46" s="57">
        <f>15.09/90*100</f>
        <v>16.7666666666667</v>
      </c>
      <c r="E46" s="58">
        <f>15.7/90*100</f>
        <v>17.4444444444444</v>
      </c>
      <c r="F46" s="59">
        <f>17.7/90*100</f>
        <v>19.6666666666667</v>
      </c>
      <c r="G46" s="52">
        <f t="shared" ref="G46:G50" si="7">(D46*4)+(E46*9)+(F46*4)</f>
        <v>302.733333333333</v>
      </c>
      <c r="H46" s="62" t="s">
        <v>178</v>
      </c>
      <c r="I46" s="8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</row>
    <row r="47" s="1" customFormat="1" customHeight="1" spans="1:58">
      <c r="A47" s="61"/>
      <c r="B47" s="55" t="s">
        <v>52</v>
      </c>
      <c r="C47" s="56">
        <v>180</v>
      </c>
      <c r="D47" s="57">
        <f>7.56/150*180</f>
        <v>9.072</v>
      </c>
      <c r="E47" s="58">
        <f>6.5/150*180</f>
        <v>7.8</v>
      </c>
      <c r="F47" s="59">
        <f>46.5/150*180</f>
        <v>55.8</v>
      </c>
      <c r="G47" s="52">
        <f t="shared" si="7"/>
        <v>329.688</v>
      </c>
      <c r="H47" s="62" t="s">
        <v>99</v>
      </c>
      <c r="I47" s="8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</row>
    <row r="48" s="1" customFormat="1" customHeight="1" spans="1:58">
      <c r="A48" s="61"/>
      <c r="B48" s="55" t="s">
        <v>179</v>
      </c>
      <c r="C48" s="56">
        <v>100</v>
      </c>
      <c r="D48" s="57">
        <f>0.8/60*100</f>
        <v>1.33333333333333</v>
      </c>
      <c r="E48" s="58">
        <f>0.05/60*100</f>
        <v>0.0833333333333333</v>
      </c>
      <c r="F48" s="59">
        <f>0.85/60*100</f>
        <v>1.41666666666667</v>
      </c>
      <c r="G48" s="52">
        <f t="shared" si="7"/>
        <v>11.75</v>
      </c>
      <c r="H48" s="62" t="s">
        <v>65</v>
      </c>
      <c r="I48" s="8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</row>
    <row r="49" s="1" customFormat="1" customHeight="1" spans="1:58">
      <c r="A49" s="61"/>
      <c r="B49" s="55" t="s">
        <v>36</v>
      </c>
      <c r="C49" s="56" t="s">
        <v>174</v>
      </c>
      <c r="D49" s="57">
        <v>3.95</v>
      </c>
      <c r="E49" s="58">
        <v>0.5</v>
      </c>
      <c r="F49" s="59">
        <v>24.15</v>
      </c>
      <c r="G49" s="52">
        <f t="shared" si="7"/>
        <v>116.9</v>
      </c>
      <c r="H49" s="62" t="s">
        <v>23</v>
      </c>
      <c r="I49" s="8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</row>
    <row r="50" s="1" customFormat="1" customHeight="1" spans="1:58">
      <c r="A50" s="88"/>
      <c r="B50" s="89" t="s">
        <v>93</v>
      </c>
      <c r="C50" s="90">
        <v>200</v>
      </c>
      <c r="D50" s="91">
        <v>0.43</v>
      </c>
      <c r="E50" s="92">
        <v>0.02</v>
      </c>
      <c r="F50" s="93">
        <v>27.6</v>
      </c>
      <c r="G50" s="52">
        <f t="shared" si="7"/>
        <v>112.3</v>
      </c>
      <c r="H50" s="68" t="s">
        <v>117</v>
      </c>
      <c r="I50" s="8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</row>
    <row r="51" s="1" customFormat="1" customHeight="1" spans="1:58">
      <c r="A51" s="126" t="s">
        <v>25</v>
      </c>
      <c r="B51" s="70"/>
      <c r="C51" s="127">
        <f>SUM(C45:C50)+100</f>
        <v>680</v>
      </c>
      <c r="D51" s="72">
        <f>SUM(D45:D50)</f>
        <v>37.752</v>
      </c>
      <c r="E51" s="73">
        <f t="shared" ref="E51:G51" si="8">SUM(E45:E50)</f>
        <v>32.9577777777778</v>
      </c>
      <c r="F51" s="74">
        <f t="shared" si="8"/>
        <v>150.933333333333</v>
      </c>
      <c r="G51" s="75">
        <f t="shared" si="8"/>
        <v>1051.36133333333</v>
      </c>
      <c r="H51" s="76"/>
      <c r="I51" s="8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152"/>
      <c r="BF51" s="152"/>
    </row>
    <row r="52" s="1" customFormat="1" customHeight="1" spans="1:58">
      <c r="A52" s="128" t="s">
        <v>40</v>
      </c>
      <c r="B52" s="129"/>
      <c r="C52" s="130">
        <f>C51+C43</f>
        <v>1380</v>
      </c>
      <c r="D52" s="131">
        <f t="shared" ref="D52:G52" si="9">D51+D43</f>
        <v>68.162</v>
      </c>
      <c r="E52" s="131">
        <f t="shared" si="9"/>
        <v>61.6827777777778</v>
      </c>
      <c r="F52" s="132">
        <f t="shared" si="9"/>
        <v>206.662083333333</v>
      </c>
      <c r="G52" s="133">
        <f t="shared" si="9"/>
        <v>1654.44133333333</v>
      </c>
      <c r="H52" s="76"/>
      <c r="I52" s="8"/>
      <c r="J52" s="152"/>
      <c r="K52" s="152"/>
      <c r="L52" s="152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</row>
    <row r="53" s="1" customFormat="1" customHeight="1" spans="1:58">
      <c r="A53" s="100"/>
      <c r="B53" s="101"/>
      <c r="C53" s="106"/>
      <c r="D53" s="107"/>
      <c r="E53" s="107"/>
      <c r="F53" s="107"/>
      <c r="G53" s="107"/>
      <c r="H53" s="76"/>
      <c r="I53" s="8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</row>
    <row r="54" ht="17.25" customHeight="1" spans="1:17">
      <c r="A54" s="134"/>
      <c r="B54" s="135" t="s">
        <v>58</v>
      </c>
      <c r="C54" s="135"/>
      <c r="D54" s="135"/>
      <c r="E54" s="135"/>
      <c r="F54" s="135"/>
      <c r="G54" s="135"/>
      <c r="H54" s="76"/>
      <c r="I54" s="8"/>
      <c r="J54" s="7"/>
      <c r="K54" s="3"/>
      <c r="L54" s="3"/>
      <c r="M54" s="3"/>
      <c r="N54" s="3"/>
      <c r="O54" s="3"/>
      <c r="P54" s="3"/>
      <c r="Q54" s="3"/>
    </row>
    <row r="55" ht="17.25" customHeight="1" spans="1:17">
      <c r="A55" s="77" t="s">
        <v>13</v>
      </c>
      <c r="B55" s="136"/>
      <c r="C55" s="110"/>
      <c r="D55" s="111"/>
      <c r="E55" s="111"/>
      <c r="F55" s="111"/>
      <c r="G55" s="111"/>
      <c r="H55" s="76"/>
      <c r="I55" s="7"/>
      <c r="J55" s="154"/>
      <c r="K55" s="3"/>
      <c r="L55" s="3"/>
      <c r="M55" s="3"/>
      <c r="N55" s="3"/>
      <c r="O55" s="3"/>
      <c r="P55" s="3"/>
      <c r="Q55" s="3"/>
    </row>
    <row r="56" s="1" customFormat="1" customHeight="1" spans="1:58">
      <c r="A56" s="61"/>
      <c r="B56" s="55" t="s">
        <v>59</v>
      </c>
      <c r="C56" s="83">
        <v>100</v>
      </c>
      <c r="D56" s="84">
        <f>14.6/90*100</f>
        <v>16.2222222222222</v>
      </c>
      <c r="E56" s="85">
        <f>14.28/90*100</f>
        <v>15.8666666666667</v>
      </c>
      <c r="F56" s="86">
        <f>13.68/90*100</f>
        <v>15.2</v>
      </c>
      <c r="G56" s="52">
        <f t="shared" ref="G56:G62" si="10">(D56*4)+(E56*9)+(F56*4)</f>
        <v>268.488888888889</v>
      </c>
      <c r="H56" s="87" t="s">
        <v>60</v>
      </c>
      <c r="I56" s="154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</row>
    <row r="57" s="1" customFormat="1" customHeight="1" spans="1:58">
      <c r="A57" s="61"/>
      <c r="B57" s="55" t="s">
        <v>61</v>
      </c>
      <c r="C57" s="56">
        <v>30</v>
      </c>
      <c r="D57" s="57">
        <f>0.53</f>
        <v>0.53</v>
      </c>
      <c r="E57" s="58">
        <f>0.74</f>
        <v>0.74</v>
      </c>
      <c r="F57" s="59">
        <v>2.38</v>
      </c>
      <c r="G57" s="52">
        <f t="shared" si="10"/>
        <v>18.3</v>
      </c>
      <c r="H57" s="62" t="s">
        <v>62</v>
      </c>
      <c r="I57" s="154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</row>
    <row r="58" s="1" customFormat="1" customHeight="1" spans="1:58">
      <c r="A58" s="61"/>
      <c r="B58" s="55" t="s">
        <v>63</v>
      </c>
      <c r="C58" s="56">
        <v>200</v>
      </c>
      <c r="D58" s="57">
        <f>3.33/150*200</f>
        <v>4.44</v>
      </c>
      <c r="E58" s="58">
        <f>3.28/150*200</f>
        <v>4.37333333333333</v>
      </c>
      <c r="F58" s="59">
        <f>22.66/150*200</f>
        <v>30.2133333333333</v>
      </c>
      <c r="G58" s="52">
        <f t="shared" si="10"/>
        <v>177.973333333333</v>
      </c>
      <c r="H58" s="62" t="s">
        <v>64</v>
      </c>
      <c r="I58" s="154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  <c r="AX58" s="152"/>
      <c r="AY58" s="152"/>
      <c r="AZ58" s="152"/>
      <c r="BA58" s="152"/>
      <c r="BB58" s="152"/>
      <c r="BC58" s="152"/>
      <c r="BD58" s="152"/>
      <c r="BE58" s="152"/>
      <c r="BF58" s="152"/>
    </row>
    <row r="59" s="1" customFormat="1" customHeight="1" spans="1:58">
      <c r="A59" s="61"/>
      <c r="B59" s="55" t="s">
        <v>179</v>
      </c>
      <c r="C59" s="56">
        <v>100</v>
      </c>
      <c r="D59" s="57">
        <f>0.33/60*40</f>
        <v>0.22</v>
      </c>
      <c r="E59" s="58">
        <f>0.06/60*40</f>
        <v>0.04</v>
      </c>
      <c r="F59" s="59">
        <f>1.14/60*40</f>
        <v>0.76</v>
      </c>
      <c r="G59" s="52">
        <f t="shared" si="10"/>
        <v>4.28</v>
      </c>
      <c r="H59" s="62" t="s">
        <v>65</v>
      </c>
      <c r="I59" s="154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</row>
    <row r="60" s="1" customFormat="1" customHeight="1" spans="1:58">
      <c r="A60" s="61"/>
      <c r="B60" s="55" t="s">
        <v>22</v>
      </c>
      <c r="C60" s="56">
        <v>40</v>
      </c>
      <c r="D60" s="57">
        <f>3.04</f>
        <v>3.04</v>
      </c>
      <c r="E60" s="58">
        <v>0.36</v>
      </c>
      <c r="F60" s="59">
        <v>18.48</v>
      </c>
      <c r="G60" s="52">
        <f t="shared" si="10"/>
        <v>89.32</v>
      </c>
      <c r="H60" s="62" t="s">
        <v>23</v>
      </c>
      <c r="I60" s="8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5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</row>
    <row r="61" s="1" customFormat="1" customHeight="1" spans="1:58">
      <c r="A61" s="61"/>
      <c r="B61" s="137" t="s">
        <v>180</v>
      </c>
      <c r="C61" s="56" t="s">
        <v>181</v>
      </c>
      <c r="D61" s="138">
        <v>0.4</v>
      </c>
      <c r="E61" s="139">
        <v>0.04</v>
      </c>
      <c r="F61" s="140">
        <v>32</v>
      </c>
      <c r="G61" s="52">
        <f t="shared" si="10"/>
        <v>129.96</v>
      </c>
      <c r="H61" s="62" t="s">
        <v>23</v>
      </c>
      <c r="I61" s="8" t="s">
        <v>182</v>
      </c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  <c r="AX61" s="152"/>
      <c r="AY61" s="152"/>
      <c r="AZ61" s="152"/>
      <c r="BA61" s="152"/>
      <c r="BB61" s="152"/>
      <c r="BC61" s="152"/>
      <c r="BD61" s="152"/>
      <c r="BE61" s="152"/>
      <c r="BF61" s="152"/>
    </row>
    <row r="62" s="1" customFormat="1" customHeight="1" spans="1:58">
      <c r="A62" s="88"/>
      <c r="B62" s="89" t="s">
        <v>68</v>
      </c>
      <c r="C62" s="90">
        <v>200</v>
      </c>
      <c r="D62" s="91">
        <f>0.06</f>
        <v>0.06</v>
      </c>
      <c r="E62" s="92">
        <v>0.01</v>
      </c>
      <c r="F62" s="93">
        <v>12.9</v>
      </c>
      <c r="G62" s="52">
        <f t="shared" si="10"/>
        <v>51.93</v>
      </c>
      <c r="H62" s="68" t="s">
        <v>69</v>
      </c>
      <c r="I62" s="8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  <c r="AX62" s="152"/>
      <c r="AY62" s="152"/>
      <c r="AZ62" s="152"/>
      <c r="BA62" s="152"/>
      <c r="BB62" s="152"/>
      <c r="BC62" s="152"/>
      <c r="BD62" s="152"/>
      <c r="BE62" s="152"/>
      <c r="BF62" s="152"/>
    </row>
    <row r="63" s="1" customFormat="1" customHeight="1" spans="1:58">
      <c r="A63" s="120" t="s">
        <v>25</v>
      </c>
      <c r="B63" s="141"/>
      <c r="C63" s="142">
        <f>SUM(C56:C62)+40+180+15+7</f>
        <v>912</v>
      </c>
      <c r="D63" s="143">
        <f>SUM(D56:D62)</f>
        <v>24.9122222222222</v>
      </c>
      <c r="E63" s="144">
        <f t="shared" ref="E63:G63" si="11">SUM(E56:E62)</f>
        <v>21.43</v>
      </c>
      <c r="F63" s="145">
        <f t="shared" si="11"/>
        <v>111.933333333333</v>
      </c>
      <c r="G63" s="146">
        <f t="shared" si="11"/>
        <v>740.252222222222</v>
      </c>
      <c r="H63" s="76"/>
      <c r="I63" s="8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</row>
    <row r="64" ht="17.25" customHeight="1" spans="1:17">
      <c r="A64" s="147" t="s">
        <v>26</v>
      </c>
      <c r="B64" s="124"/>
      <c r="C64" s="124"/>
      <c r="D64" s="79"/>
      <c r="E64" s="79"/>
      <c r="F64" s="80"/>
      <c r="G64" s="80"/>
      <c r="H64" s="76"/>
      <c r="I64" s="8"/>
      <c r="J64" s="153"/>
      <c r="K64" s="3"/>
      <c r="L64" s="3"/>
      <c r="M64" s="3"/>
      <c r="N64" s="3"/>
      <c r="O64" s="3"/>
      <c r="P64" s="3"/>
      <c r="Q64" s="3"/>
    </row>
    <row r="65" s="1" customFormat="1" customHeight="1" spans="1:58">
      <c r="A65" s="160"/>
      <c r="B65" s="161" t="s">
        <v>70</v>
      </c>
      <c r="C65" s="162" t="s">
        <v>176</v>
      </c>
      <c r="D65" s="84">
        <v>2.78</v>
      </c>
      <c r="E65" s="85">
        <v>3.26</v>
      </c>
      <c r="F65" s="86">
        <v>16.4</v>
      </c>
      <c r="G65" s="52">
        <f t="shared" ref="G65:G70" si="12">(D65*4)+(E65*9)+(F65*4)</f>
        <v>106.06</v>
      </c>
      <c r="H65" s="163" t="s">
        <v>71</v>
      </c>
      <c r="I65" s="8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</row>
    <row r="66" s="1" customFormat="1" customHeight="1" spans="1:58">
      <c r="A66" s="61"/>
      <c r="B66" s="55" t="s">
        <v>72</v>
      </c>
      <c r="C66" s="56">
        <v>100</v>
      </c>
      <c r="D66" s="57">
        <f>6.5/90*100</f>
        <v>7.22222222222222</v>
      </c>
      <c r="E66" s="58">
        <f>5.9/90*100</f>
        <v>6.55555555555556</v>
      </c>
      <c r="F66" s="59">
        <f>9.4/90*100</f>
        <v>10.4444444444444</v>
      </c>
      <c r="G66" s="52">
        <f t="shared" si="12"/>
        <v>129.666666666667</v>
      </c>
      <c r="H66" s="62" t="s">
        <v>73</v>
      </c>
      <c r="I66" s="8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</row>
    <row r="67" s="1" customFormat="1" ht="28.5" customHeight="1" spans="1:58">
      <c r="A67" s="61"/>
      <c r="B67" s="55" t="s">
        <v>183</v>
      </c>
      <c r="C67" s="56">
        <v>200</v>
      </c>
      <c r="D67" s="57">
        <f>5.8/150*200</f>
        <v>7.73333333333333</v>
      </c>
      <c r="E67" s="58">
        <f>4.36/150*200</f>
        <v>5.81333333333333</v>
      </c>
      <c r="F67" s="59">
        <f>27.25/150*200</f>
        <v>36.3333333333333</v>
      </c>
      <c r="G67" s="52">
        <f t="shared" si="12"/>
        <v>228.586666666667</v>
      </c>
      <c r="H67" s="62" t="s">
        <v>75</v>
      </c>
      <c r="I67" s="8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2"/>
      <c r="BC67" s="152"/>
      <c r="BD67" s="152"/>
      <c r="BE67" s="152"/>
      <c r="BF67" s="152"/>
    </row>
    <row r="68" s="1" customFormat="1" ht="35.25" customHeight="1" spans="1:58">
      <c r="A68" s="61"/>
      <c r="B68" s="55" t="s">
        <v>184</v>
      </c>
      <c r="C68" s="56">
        <v>100</v>
      </c>
      <c r="D68" s="57">
        <f>0.34/60*100</f>
        <v>0.566666666666667</v>
      </c>
      <c r="E68" s="58">
        <f>0.04/60*100</f>
        <v>0.0666666666666667</v>
      </c>
      <c r="F68" s="59">
        <f>0.68/60*100</f>
        <v>1.13333333333333</v>
      </c>
      <c r="G68" s="52">
        <f t="shared" si="12"/>
        <v>7.4</v>
      </c>
      <c r="H68" s="62" t="s">
        <v>65</v>
      </c>
      <c r="I68" s="153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</row>
    <row r="69" s="1" customFormat="1" customHeight="1" spans="1:58">
      <c r="A69" s="61"/>
      <c r="B69" s="55" t="s">
        <v>36</v>
      </c>
      <c r="C69" s="56" t="s">
        <v>174</v>
      </c>
      <c r="D69" s="57">
        <v>3.95</v>
      </c>
      <c r="E69" s="58">
        <v>0.5</v>
      </c>
      <c r="F69" s="59">
        <v>24.15</v>
      </c>
      <c r="G69" s="52">
        <f t="shared" si="12"/>
        <v>116.9</v>
      </c>
      <c r="H69" s="62" t="s">
        <v>23</v>
      </c>
      <c r="I69" s="8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</row>
    <row r="70" s="1" customFormat="1" customHeight="1" spans="1:58">
      <c r="A70" s="88"/>
      <c r="B70" s="89" t="s">
        <v>185</v>
      </c>
      <c r="C70" s="90">
        <v>200</v>
      </c>
      <c r="D70" s="91">
        <v>0.14</v>
      </c>
      <c r="E70" s="92">
        <v>0.04</v>
      </c>
      <c r="F70" s="93">
        <v>27.3</v>
      </c>
      <c r="G70" s="52">
        <f t="shared" si="12"/>
        <v>110.12</v>
      </c>
      <c r="H70" s="68" t="s">
        <v>78</v>
      </c>
      <c r="I70" s="8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  <c r="AX70" s="152"/>
      <c r="AY70" s="152"/>
      <c r="AZ70" s="152"/>
      <c r="BA70" s="152"/>
      <c r="BB70" s="152"/>
      <c r="BC70" s="152"/>
      <c r="BD70" s="152"/>
      <c r="BE70" s="152"/>
      <c r="BF70" s="152"/>
    </row>
    <row r="71" s="1" customFormat="1" customHeight="1" spans="1:58">
      <c r="A71" s="69" t="s">
        <v>25</v>
      </c>
      <c r="B71" s="94"/>
      <c r="C71" s="164">
        <f>SUM(C65:C70)+275+100</f>
        <v>975</v>
      </c>
      <c r="D71" s="165">
        <f t="shared" ref="D71:G71" si="13">SUM(D65:D70)</f>
        <v>22.3922222222222</v>
      </c>
      <c r="E71" s="166">
        <f t="shared" si="13"/>
        <v>16.2355555555556</v>
      </c>
      <c r="F71" s="167">
        <f t="shared" si="13"/>
        <v>115.761111111111</v>
      </c>
      <c r="G71" s="168">
        <f t="shared" si="13"/>
        <v>698.733333333333</v>
      </c>
      <c r="H71" s="76"/>
      <c r="I71" s="8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52"/>
      <c r="AR71" s="152"/>
      <c r="AS71" s="152"/>
      <c r="AT71" s="152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</row>
    <row r="72" s="1" customFormat="1" customHeight="1" spans="1:58">
      <c r="A72" s="128" t="s">
        <v>40</v>
      </c>
      <c r="B72" s="129"/>
      <c r="C72" s="130">
        <f>C71+C63</f>
        <v>1887</v>
      </c>
      <c r="D72" s="131">
        <f t="shared" ref="D72:G72" si="14">D71+D63</f>
        <v>47.3044444444444</v>
      </c>
      <c r="E72" s="169">
        <f t="shared" si="14"/>
        <v>37.6655555555555</v>
      </c>
      <c r="F72" s="170">
        <f t="shared" si="14"/>
        <v>227.694444444444</v>
      </c>
      <c r="G72" s="133">
        <f t="shared" si="14"/>
        <v>1438.98555555556</v>
      </c>
      <c r="H72" s="76"/>
      <c r="I72" s="8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</row>
    <row r="73" s="1" customFormat="1" customHeight="1" spans="1:58">
      <c r="A73" s="100"/>
      <c r="B73" s="101"/>
      <c r="C73" s="106"/>
      <c r="D73" s="171"/>
      <c r="E73" s="171"/>
      <c r="F73" s="171"/>
      <c r="G73" s="171"/>
      <c r="H73" s="76"/>
      <c r="I73" s="8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</row>
    <row r="74" ht="17.25" customHeight="1" spans="1:17">
      <c r="A74" s="134"/>
      <c r="B74" s="135" t="s">
        <v>79</v>
      </c>
      <c r="C74" s="135"/>
      <c r="D74" s="135"/>
      <c r="E74" s="135"/>
      <c r="F74" s="135"/>
      <c r="G74" s="135"/>
      <c r="H74" s="76"/>
      <c r="I74" s="8"/>
      <c r="J74" s="152"/>
      <c r="K74" s="3"/>
      <c r="L74" s="3"/>
      <c r="M74" s="3"/>
      <c r="N74" s="3"/>
      <c r="O74" s="3"/>
      <c r="P74" s="3"/>
      <c r="Q74" s="3"/>
    </row>
    <row r="75" ht="17.25" customHeight="1" spans="1:17">
      <c r="A75" s="172" t="s">
        <v>13</v>
      </c>
      <c r="B75" s="173"/>
      <c r="C75" s="110"/>
      <c r="D75" s="174"/>
      <c r="E75" s="174"/>
      <c r="F75" s="174"/>
      <c r="G75" s="174"/>
      <c r="H75" s="76"/>
      <c r="I75" s="8"/>
      <c r="J75" s="152"/>
      <c r="K75" s="3"/>
      <c r="L75" s="3"/>
      <c r="M75" s="3"/>
      <c r="N75" s="3"/>
      <c r="O75" s="3"/>
      <c r="P75" s="3"/>
      <c r="Q75" s="3"/>
    </row>
    <row r="76" s="1" customFormat="1" customHeight="1" spans="1:58">
      <c r="A76" s="175"/>
      <c r="B76" s="176" t="s">
        <v>80</v>
      </c>
      <c r="C76" s="83">
        <v>200</v>
      </c>
      <c r="D76" s="84">
        <f>19.33/160*200</f>
        <v>24.1625</v>
      </c>
      <c r="E76" s="85">
        <f>11.03/160*200</f>
        <v>13.7875</v>
      </c>
      <c r="F76" s="86">
        <f>25.26/160*200</f>
        <v>31.575</v>
      </c>
      <c r="G76" s="52">
        <f t="shared" ref="G76:G81" si="15">(D76*4)+(E76*9)+(F76*4)</f>
        <v>347.0375</v>
      </c>
      <c r="H76" s="53" t="s">
        <v>81</v>
      </c>
      <c r="I76" s="8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</row>
    <row r="77" s="1" customFormat="1" customHeight="1" spans="1:58">
      <c r="A77" s="54"/>
      <c r="B77" s="177" t="s">
        <v>82</v>
      </c>
      <c r="C77" s="56">
        <v>30</v>
      </c>
      <c r="D77" s="57">
        <f>0.39/15*30</f>
        <v>0.78</v>
      </c>
      <c r="E77" s="58">
        <f>2.25/15*30</f>
        <v>4.5</v>
      </c>
      <c r="F77" s="59">
        <f>0.54/15*30</f>
        <v>1.08</v>
      </c>
      <c r="G77" s="52">
        <f t="shared" si="15"/>
        <v>47.94</v>
      </c>
      <c r="H77" s="60" t="s">
        <v>83</v>
      </c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</row>
    <row r="78" s="1" customFormat="1" customHeight="1" spans="1:58">
      <c r="A78" s="54"/>
      <c r="B78" s="177" t="s">
        <v>84</v>
      </c>
      <c r="C78" s="56">
        <v>200</v>
      </c>
      <c r="D78" s="57">
        <v>3.9</v>
      </c>
      <c r="E78" s="58">
        <f>3</f>
        <v>3</v>
      </c>
      <c r="F78" s="59">
        <f>17.28</f>
        <v>17.28</v>
      </c>
      <c r="G78" s="52">
        <f t="shared" si="15"/>
        <v>111.72</v>
      </c>
      <c r="H78" s="60" t="s">
        <v>85</v>
      </c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</row>
    <row r="79" s="1" customFormat="1" customHeight="1" spans="1:58">
      <c r="A79" s="54"/>
      <c r="B79" s="55" t="s">
        <v>18</v>
      </c>
      <c r="C79" s="56">
        <v>20</v>
      </c>
      <c r="D79" s="57">
        <v>4.09</v>
      </c>
      <c r="E79" s="58">
        <f>4.6</f>
        <v>4.6</v>
      </c>
      <c r="F79" s="59">
        <f>0.49</f>
        <v>0.49</v>
      </c>
      <c r="G79" s="52">
        <f t="shared" si="15"/>
        <v>59.72</v>
      </c>
      <c r="H79" s="60" t="s">
        <v>19</v>
      </c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</row>
    <row r="80" s="1" customFormat="1" customHeight="1" spans="1:58">
      <c r="A80" s="54"/>
      <c r="B80" s="177" t="s">
        <v>186</v>
      </c>
      <c r="C80" s="56">
        <v>150</v>
      </c>
      <c r="D80" s="57">
        <f>0.8/100*150</f>
        <v>1.2</v>
      </c>
      <c r="E80" s="58">
        <f>0.2/100*150</f>
        <v>0.3</v>
      </c>
      <c r="F80" s="59">
        <f>7.5/100*150</f>
        <v>11.25</v>
      </c>
      <c r="G80" s="52">
        <f t="shared" si="15"/>
        <v>52.5</v>
      </c>
      <c r="H80" s="60" t="s">
        <v>23</v>
      </c>
      <c r="I80" s="8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</row>
    <row r="81" s="1" customFormat="1" customHeight="1" spans="1:58">
      <c r="A81" s="54"/>
      <c r="B81" s="178" t="s">
        <v>22</v>
      </c>
      <c r="C81" s="90">
        <v>40</v>
      </c>
      <c r="D81" s="91">
        <v>3.04</v>
      </c>
      <c r="E81" s="92">
        <v>0.36</v>
      </c>
      <c r="F81" s="93">
        <v>18.48</v>
      </c>
      <c r="G81" s="52">
        <f t="shared" si="15"/>
        <v>89.32</v>
      </c>
      <c r="H81" s="179" t="s">
        <v>23</v>
      </c>
      <c r="I81" s="8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</row>
    <row r="82" s="1" customFormat="1" customHeight="1" spans="1:58">
      <c r="A82" s="120" t="s">
        <v>25</v>
      </c>
      <c r="B82" s="141"/>
      <c r="C82" s="48">
        <f>SUM(C76:C81)</f>
        <v>640</v>
      </c>
      <c r="D82" s="143">
        <f>SUM(D76:D81)</f>
        <v>37.1725</v>
      </c>
      <c r="E82" s="144">
        <f t="shared" ref="E82:G82" si="16">SUM(E76:E81)</f>
        <v>26.5475</v>
      </c>
      <c r="F82" s="145">
        <f t="shared" si="16"/>
        <v>80.155</v>
      </c>
      <c r="G82" s="146">
        <f t="shared" si="16"/>
        <v>708.2375</v>
      </c>
      <c r="H82" s="180"/>
      <c r="I82" s="8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</row>
    <row r="83" ht="17.25" customHeight="1" spans="1:17">
      <c r="A83" s="147" t="s">
        <v>26</v>
      </c>
      <c r="B83" s="124"/>
      <c r="C83" s="124"/>
      <c r="D83" s="79"/>
      <c r="E83" s="79"/>
      <c r="F83" s="80"/>
      <c r="G83" s="80"/>
      <c r="H83" s="76"/>
      <c r="I83" s="8"/>
      <c r="J83" s="153"/>
      <c r="K83" s="3"/>
      <c r="L83" s="3"/>
      <c r="M83" s="3"/>
      <c r="N83" s="3"/>
      <c r="O83" s="3"/>
      <c r="P83" s="3"/>
      <c r="Q83" s="3"/>
    </row>
    <row r="84" s="1" customFormat="1" customHeight="1" spans="1:58">
      <c r="A84" s="175"/>
      <c r="B84" s="82" t="s">
        <v>87</v>
      </c>
      <c r="C84" s="83">
        <v>250</v>
      </c>
      <c r="D84" s="84">
        <v>2.78</v>
      </c>
      <c r="E84" s="85">
        <v>3.26</v>
      </c>
      <c r="F84" s="86">
        <v>16.4</v>
      </c>
      <c r="G84" s="52">
        <f t="shared" ref="G84:G88" si="17">(D84*4)+(E84*9)+(F84*4)</f>
        <v>106.06</v>
      </c>
      <c r="H84" s="53" t="s">
        <v>88</v>
      </c>
      <c r="I84" s="8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</row>
    <row r="85" s="1" customFormat="1" customHeight="1" spans="1:58">
      <c r="A85" s="54"/>
      <c r="B85" s="55" t="s">
        <v>89</v>
      </c>
      <c r="C85" s="56">
        <v>250</v>
      </c>
      <c r="D85" s="57">
        <f>20.8/200*250</f>
        <v>26</v>
      </c>
      <c r="E85" s="58">
        <f>5.33/200*250</f>
        <v>6.6625</v>
      </c>
      <c r="F85" s="59">
        <f>18.5/200*250</f>
        <v>23.125</v>
      </c>
      <c r="G85" s="52">
        <f t="shared" si="17"/>
        <v>256.4625</v>
      </c>
      <c r="H85" s="60" t="s">
        <v>90</v>
      </c>
      <c r="I85" s="8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</row>
    <row r="86" s="1" customFormat="1" customHeight="1" spans="1:58">
      <c r="A86" s="54"/>
      <c r="B86" s="55" t="s">
        <v>91</v>
      </c>
      <c r="C86" s="56">
        <v>100</v>
      </c>
      <c r="D86" s="57">
        <f>0.34/60*100</f>
        <v>0.566666666666667</v>
      </c>
      <c r="E86" s="58">
        <f>0.04/60*100</f>
        <v>0.0666666666666667</v>
      </c>
      <c r="F86" s="59">
        <f>0.68/60*100</f>
        <v>1.13333333333333</v>
      </c>
      <c r="G86" s="52">
        <f t="shared" si="17"/>
        <v>7.4</v>
      </c>
      <c r="H86" s="60" t="s">
        <v>92</v>
      </c>
      <c r="I86" s="8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</row>
    <row r="87" s="1" customFormat="1" customHeight="1" spans="1:58">
      <c r="A87" s="54"/>
      <c r="B87" s="55" t="s">
        <v>36</v>
      </c>
      <c r="C87" s="56" t="s">
        <v>174</v>
      </c>
      <c r="D87" s="57">
        <v>2.37</v>
      </c>
      <c r="E87" s="58">
        <v>0.3</v>
      </c>
      <c r="F87" s="59">
        <v>14.5</v>
      </c>
      <c r="G87" s="52">
        <f t="shared" si="17"/>
        <v>70.18</v>
      </c>
      <c r="H87" s="60" t="s">
        <v>23</v>
      </c>
      <c r="I87" s="153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</row>
    <row r="88" s="1" customFormat="1" customHeight="1" spans="1:58">
      <c r="A88" s="181"/>
      <c r="B88" s="89" t="s">
        <v>93</v>
      </c>
      <c r="C88" s="90">
        <v>200</v>
      </c>
      <c r="D88" s="91">
        <v>0.43</v>
      </c>
      <c r="E88" s="92">
        <v>0.02</v>
      </c>
      <c r="F88" s="93">
        <v>27.6</v>
      </c>
      <c r="G88" s="52">
        <f t="shared" si="17"/>
        <v>112.3</v>
      </c>
      <c r="H88" s="179" t="s">
        <v>94</v>
      </c>
      <c r="I88" s="8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</row>
    <row r="89" s="1" customFormat="1" customHeight="1" spans="1:58">
      <c r="A89" s="126" t="s">
        <v>25</v>
      </c>
      <c r="B89" s="70"/>
      <c r="C89" s="182">
        <f>SUM(C84:C88)+100</f>
        <v>900</v>
      </c>
      <c r="D89" s="72">
        <f>SUM(D84:D88)</f>
        <v>32.1466666666667</v>
      </c>
      <c r="E89" s="73">
        <f t="shared" ref="E89:G89" si="18">SUM(E84:E88)</f>
        <v>10.3091666666667</v>
      </c>
      <c r="F89" s="74">
        <f t="shared" si="18"/>
        <v>82.7583333333333</v>
      </c>
      <c r="G89" s="75">
        <f t="shared" si="18"/>
        <v>552.4025</v>
      </c>
      <c r="H89" s="76"/>
      <c r="I89" s="8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</row>
    <row r="90" s="1" customFormat="1" customHeight="1" spans="1:58">
      <c r="A90" s="128" t="s">
        <v>40</v>
      </c>
      <c r="B90" s="129"/>
      <c r="C90" s="164">
        <f>C89+C82</f>
        <v>1540</v>
      </c>
      <c r="D90" s="96">
        <f t="shared" ref="D90:G90" si="19">D89+D82</f>
        <v>69.3191666666667</v>
      </c>
      <c r="E90" s="97">
        <f t="shared" si="19"/>
        <v>36.8566666666667</v>
      </c>
      <c r="F90" s="98">
        <f t="shared" si="19"/>
        <v>162.913333333333</v>
      </c>
      <c r="G90" s="99">
        <f t="shared" si="19"/>
        <v>1260.64</v>
      </c>
      <c r="H90" s="81"/>
      <c r="I90" s="8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</row>
    <row r="91" s="1" customFormat="1" customHeight="1" spans="1:58">
      <c r="A91" s="100"/>
      <c r="B91" s="101"/>
      <c r="C91" s="106"/>
      <c r="D91" s="171"/>
      <c r="E91" s="171"/>
      <c r="F91" s="171"/>
      <c r="G91" s="171"/>
      <c r="H91" s="76"/>
      <c r="I91" s="8" t="s">
        <v>187</v>
      </c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</row>
    <row r="92" ht="17.25" customHeight="1" spans="1:17">
      <c r="A92" s="134"/>
      <c r="B92" s="109" t="s">
        <v>95</v>
      </c>
      <c r="C92" s="109"/>
      <c r="D92" s="109"/>
      <c r="E92" s="109"/>
      <c r="F92" s="109"/>
      <c r="G92" s="109"/>
      <c r="H92" s="76"/>
      <c r="I92" s="8"/>
      <c r="J92" s="7"/>
      <c r="K92" s="3"/>
      <c r="L92" s="3"/>
      <c r="M92" s="3"/>
      <c r="N92" s="3"/>
      <c r="O92" s="3"/>
      <c r="P92" s="3"/>
      <c r="Q92" s="3"/>
    </row>
    <row r="93" ht="17.25" customHeight="1" spans="1:17">
      <c r="A93" s="183" t="s">
        <v>13</v>
      </c>
      <c r="B93" s="184"/>
      <c r="C93" s="110"/>
      <c r="D93" s="174"/>
      <c r="E93" s="174"/>
      <c r="F93" s="174"/>
      <c r="G93" s="174"/>
      <c r="H93" s="76"/>
      <c r="I93" s="8"/>
      <c r="J93" s="7"/>
      <c r="K93" s="3"/>
      <c r="L93" s="3"/>
      <c r="M93" s="3"/>
      <c r="N93" s="3"/>
      <c r="O93" s="3"/>
      <c r="P93" s="3"/>
      <c r="Q93" s="3"/>
    </row>
    <row r="94" s="1" customFormat="1" customHeight="1" spans="1:58">
      <c r="A94" s="185"/>
      <c r="B94" s="177" t="s">
        <v>188</v>
      </c>
      <c r="C94" s="83">
        <v>100</v>
      </c>
      <c r="D94" s="84">
        <f>17.02/90*100</f>
        <v>18.9111111111111</v>
      </c>
      <c r="E94" s="85">
        <f>18.74/90*100</f>
        <v>20.8222222222222</v>
      </c>
      <c r="F94" s="86">
        <f>2.41/90*100</f>
        <v>2.67777777777778</v>
      </c>
      <c r="G94" s="52">
        <f t="shared" ref="G94:G99" si="20">(D94*4)+(E94*9)+(F94*4)</f>
        <v>273.755555555556</v>
      </c>
      <c r="H94" s="186" t="s">
        <v>97</v>
      </c>
      <c r="I94" s="8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</row>
    <row r="95" s="1" customFormat="1" customHeight="1" spans="1:58">
      <c r="A95" s="115"/>
      <c r="B95" s="177" t="s">
        <v>189</v>
      </c>
      <c r="C95" s="56">
        <v>100</v>
      </c>
      <c r="D95" s="57">
        <f>0.1/60*100</f>
        <v>0.166666666666667</v>
      </c>
      <c r="E95" s="58">
        <f>0.03/60*100</f>
        <v>0.05</v>
      </c>
      <c r="F95" s="59">
        <f>1.1/60*100</f>
        <v>1.83333333333333</v>
      </c>
      <c r="G95" s="52">
        <f t="shared" si="20"/>
        <v>8.45</v>
      </c>
      <c r="H95" s="187" t="s">
        <v>65</v>
      </c>
      <c r="I95" s="8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52"/>
      <c r="AM95" s="152"/>
      <c r="AN95" s="152"/>
      <c r="AO95" s="152"/>
      <c r="AP95" s="152"/>
      <c r="AQ95" s="152"/>
      <c r="AR95" s="152"/>
      <c r="AS95" s="152"/>
      <c r="AT95" s="152"/>
      <c r="AU95" s="152"/>
      <c r="AV95" s="152"/>
      <c r="AW95" s="152"/>
      <c r="AX95" s="152"/>
      <c r="AY95" s="152"/>
      <c r="AZ95" s="152"/>
      <c r="BA95" s="152"/>
      <c r="BB95" s="152"/>
      <c r="BC95" s="152"/>
      <c r="BD95" s="152"/>
      <c r="BE95" s="152"/>
      <c r="BF95" s="152"/>
    </row>
    <row r="96" s="1" customFormat="1" customHeight="1" spans="1:58">
      <c r="A96" s="115"/>
      <c r="B96" s="177" t="s">
        <v>98</v>
      </c>
      <c r="C96" s="56">
        <v>200</v>
      </c>
      <c r="D96" s="188">
        <v>4.5</v>
      </c>
      <c r="E96" s="189">
        <v>5.1</v>
      </c>
      <c r="F96" s="190">
        <v>21.9</v>
      </c>
      <c r="G96" s="52">
        <f t="shared" si="20"/>
        <v>151.5</v>
      </c>
      <c r="H96" s="187" t="s">
        <v>99</v>
      </c>
      <c r="I96" s="7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N96" s="152"/>
      <c r="AO96" s="152"/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</row>
    <row r="97" s="1" customFormat="1" customHeight="1" spans="1:58">
      <c r="A97" s="115"/>
      <c r="B97" s="177" t="s">
        <v>68</v>
      </c>
      <c r="C97" s="56">
        <v>200</v>
      </c>
      <c r="D97" s="57">
        <f>0.06</f>
        <v>0.06</v>
      </c>
      <c r="E97" s="58">
        <f>0.01</f>
        <v>0.01</v>
      </c>
      <c r="F97" s="59">
        <f>12.19</f>
        <v>12.19</v>
      </c>
      <c r="G97" s="52">
        <f t="shared" si="20"/>
        <v>49.09</v>
      </c>
      <c r="H97" s="187" t="s">
        <v>100</v>
      </c>
      <c r="I97" s="7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  <c r="AK97" s="152"/>
      <c r="AL97" s="152"/>
      <c r="AM97" s="152"/>
      <c r="AN97" s="152"/>
      <c r="AO97" s="152"/>
      <c r="AP97" s="152"/>
      <c r="AQ97" s="152"/>
      <c r="AR97" s="152"/>
      <c r="AS97" s="152"/>
      <c r="AT97" s="152"/>
      <c r="AU97" s="152"/>
      <c r="AV97" s="152"/>
      <c r="AW97" s="152"/>
      <c r="AX97" s="152"/>
      <c r="AY97" s="152"/>
      <c r="AZ97" s="152"/>
      <c r="BA97" s="152"/>
      <c r="BB97" s="152"/>
      <c r="BC97" s="152"/>
      <c r="BD97" s="152"/>
      <c r="BE97" s="152"/>
      <c r="BF97" s="152"/>
    </row>
    <row r="98" s="1" customFormat="1" customHeight="1" spans="1:58">
      <c r="A98" s="115"/>
      <c r="B98" s="177" t="s">
        <v>22</v>
      </c>
      <c r="C98" s="191">
        <v>50</v>
      </c>
      <c r="D98" s="57">
        <f>1.58/40*50</f>
        <v>1.975</v>
      </c>
      <c r="E98" s="58">
        <f>0.2/40*50</f>
        <v>0.25</v>
      </c>
      <c r="F98" s="59">
        <f>9.66/40*50</f>
        <v>12.075</v>
      </c>
      <c r="G98" s="52">
        <f t="shared" si="20"/>
        <v>58.45</v>
      </c>
      <c r="H98" s="187" t="s">
        <v>23</v>
      </c>
      <c r="I98" s="8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  <c r="AK98" s="152"/>
      <c r="AL98" s="152"/>
      <c r="AM98" s="152"/>
      <c r="AN98" s="152"/>
      <c r="AO98" s="152"/>
      <c r="AP98" s="152"/>
      <c r="AQ98" s="152"/>
      <c r="AR98" s="152"/>
      <c r="AS98" s="152"/>
      <c r="AT98" s="152"/>
      <c r="AU98" s="152"/>
      <c r="AV98" s="152"/>
      <c r="AW98" s="152"/>
      <c r="AX98" s="152"/>
      <c r="AY98" s="152"/>
      <c r="AZ98" s="152"/>
      <c r="BA98" s="152"/>
      <c r="BB98" s="152"/>
      <c r="BC98" s="152"/>
      <c r="BD98" s="152"/>
      <c r="BE98" s="152"/>
      <c r="BF98" s="152"/>
    </row>
    <row r="99" s="1" customFormat="1" customHeight="1" spans="1:58">
      <c r="A99" s="192"/>
      <c r="B99" s="193" t="s">
        <v>190</v>
      </c>
      <c r="C99" s="194">
        <v>100</v>
      </c>
      <c r="D99" s="91">
        <f>5.45/50*100</f>
        <v>10.9</v>
      </c>
      <c r="E99" s="92">
        <f>5.73/50*100</f>
        <v>11.46</v>
      </c>
      <c r="F99" s="93">
        <f>32.28/50*100</f>
        <v>64.56</v>
      </c>
      <c r="G99" s="52">
        <f t="shared" si="20"/>
        <v>404.98</v>
      </c>
      <c r="H99" s="195" t="s">
        <v>102</v>
      </c>
      <c r="I99" s="8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  <c r="AK99" s="152"/>
      <c r="AL99" s="152"/>
      <c r="AM99" s="152"/>
      <c r="AN99" s="152"/>
      <c r="AO99" s="152"/>
      <c r="AP99" s="152"/>
      <c r="AQ99" s="152"/>
      <c r="AR99" s="152"/>
      <c r="AS99" s="152"/>
      <c r="AT99" s="152"/>
      <c r="AU99" s="152"/>
      <c r="AV99" s="152"/>
      <c r="AW99" s="152"/>
      <c r="AX99" s="152"/>
      <c r="AY99" s="152"/>
      <c r="AZ99" s="152"/>
      <c r="BA99" s="152"/>
      <c r="BB99" s="152"/>
      <c r="BC99" s="152"/>
      <c r="BD99" s="152"/>
      <c r="BE99" s="152"/>
      <c r="BF99" s="152"/>
    </row>
    <row r="100" s="1" customFormat="1" customHeight="1" spans="1:58">
      <c r="A100" s="120" t="s">
        <v>25</v>
      </c>
      <c r="B100" s="141"/>
      <c r="C100" s="48">
        <f>SUM(C94:C99)+180+15+7</f>
        <v>952</v>
      </c>
      <c r="D100" s="143">
        <f>SUM(D94:D99)</f>
        <v>36.5127777777778</v>
      </c>
      <c r="E100" s="144">
        <f t="shared" ref="E100:G100" si="21">SUM(E94:E99)</f>
        <v>37.6922222222222</v>
      </c>
      <c r="F100" s="145">
        <f t="shared" si="21"/>
        <v>115.236111111111</v>
      </c>
      <c r="G100" s="146">
        <f t="shared" si="21"/>
        <v>946.225555555556</v>
      </c>
      <c r="H100" s="41"/>
      <c r="I100" s="8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52"/>
      <c r="AY100" s="152"/>
      <c r="AZ100" s="152"/>
      <c r="BA100" s="152"/>
      <c r="BB100" s="152"/>
      <c r="BC100" s="152"/>
      <c r="BD100" s="152"/>
      <c r="BE100" s="152"/>
      <c r="BF100" s="152"/>
    </row>
    <row r="101" ht="17.25" customHeight="1" spans="1:17">
      <c r="A101" s="147" t="s">
        <v>26</v>
      </c>
      <c r="B101" s="124"/>
      <c r="C101" s="124"/>
      <c r="D101" s="79"/>
      <c r="E101" s="79"/>
      <c r="F101" s="80"/>
      <c r="G101" s="80"/>
      <c r="H101" s="76"/>
      <c r="I101" s="8"/>
      <c r="J101" s="153"/>
      <c r="K101" s="3"/>
      <c r="L101" s="3"/>
      <c r="M101" s="3"/>
      <c r="N101" s="3"/>
      <c r="O101" s="3"/>
      <c r="P101" s="3"/>
      <c r="Q101" s="3"/>
    </row>
    <row r="102" s="1" customFormat="1" customHeight="1" spans="1:58">
      <c r="A102" s="196"/>
      <c r="B102" s="82" t="s">
        <v>103</v>
      </c>
      <c r="C102" s="83">
        <v>250</v>
      </c>
      <c r="D102" s="84">
        <v>4.82</v>
      </c>
      <c r="E102" s="85">
        <v>4.9</v>
      </c>
      <c r="F102" s="86">
        <v>12.72</v>
      </c>
      <c r="G102" s="52">
        <f t="shared" ref="G102:G107" si="22">(D102*4)+(E102*9)+(F102*4)</f>
        <v>114.26</v>
      </c>
      <c r="H102" s="197" t="s">
        <v>104</v>
      </c>
      <c r="I102" s="8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52"/>
      <c r="AM102" s="152"/>
      <c r="AN102" s="152"/>
      <c r="AO102" s="152"/>
      <c r="AP102" s="152"/>
      <c r="AQ102" s="152"/>
      <c r="AR102" s="152"/>
      <c r="AS102" s="152"/>
      <c r="AT102" s="152"/>
      <c r="AU102" s="152"/>
      <c r="AV102" s="152"/>
      <c r="AW102" s="152"/>
      <c r="AX102" s="152"/>
      <c r="AY102" s="152"/>
      <c r="AZ102" s="152"/>
      <c r="BA102" s="152"/>
      <c r="BB102" s="152"/>
      <c r="BC102" s="152"/>
      <c r="BD102" s="152"/>
      <c r="BE102" s="152"/>
      <c r="BF102" s="152"/>
    </row>
    <row r="103" s="1" customFormat="1" customHeight="1" spans="1:58">
      <c r="A103" s="198"/>
      <c r="B103" s="55" t="s">
        <v>105</v>
      </c>
      <c r="C103" s="56">
        <v>110</v>
      </c>
      <c r="D103" s="57">
        <f>7.66/90*110</f>
        <v>9.36222222222222</v>
      </c>
      <c r="E103" s="58">
        <f>3.85/90*110</f>
        <v>4.70555555555556</v>
      </c>
      <c r="F103" s="59">
        <f>2.2/90*110</f>
        <v>2.68888888888889</v>
      </c>
      <c r="G103" s="52">
        <f t="shared" si="22"/>
        <v>90.5544444444444</v>
      </c>
      <c r="H103" s="199" t="s">
        <v>106</v>
      </c>
      <c r="I103" s="8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52"/>
      <c r="AM103" s="152"/>
      <c r="AN103" s="152"/>
      <c r="AO103" s="152"/>
      <c r="AP103" s="152"/>
      <c r="AQ103" s="152"/>
      <c r="AR103" s="152"/>
      <c r="AS103" s="152"/>
      <c r="AT103" s="152"/>
      <c r="AU103" s="152"/>
      <c r="AV103" s="152"/>
      <c r="AW103" s="152"/>
      <c r="AX103" s="152"/>
      <c r="AY103" s="152"/>
      <c r="AZ103" s="152"/>
      <c r="BA103" s="152"/>
      <c r="BB103" s="152"/>
      <c r="BC103" s="152"/>
      <c r="BD103" s="152"/>
      <c r="BE103" s="152"/>
      <c r="BF103" s="152"/>
    </row>
    <row r="104" s="1" customFormat="1" customHeight="1" spans="1:58">
      <c r="A104" s="115"/>
      <c r="B104" s="55" t="s">
        <v>191</v>
      </c>
      <c r="C104" s="56">
        <v>200</v>
      </c>
      <c r="D104" s="57">
        <f>3.06/150*200</f>
        <v>4.08</v>
      </c>
      <c r="E104" s="58">
        <f>4.8/150*200</f>
        <v>6.4</v>
      </c>
      <c r="F104" s="59">
        <f>20.4/150*200</f>
        <v>27.2</v>
      </c>
      <c r="G104" s="52">
        <f t="shared" si="22"/>
        <v>182.72</v>
      </c>
      <c r="H104" s="62" t="s">
        <v>64</v>
      </c>
      <c r="I104" s="8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52"/>
      <c r="AM104" s="152"/>
      <c r="AN104" s="152"/>
      <c r="AO104" s="152"/>
      <c r="AP104" s="152"/>
      <c r="AQ104" s="152"/>
      <c r="AR104" s="152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</row>
    <row r="105" s="1" customFormat="1" customHeight="1" spans="1:58">
      <c r="A105" s="61"/>
      <c r="B105" s="55" t="s">
        <v>44</v>
      </c>
      <c r="C105" s="56">
        <v>100</v>
      </c>
      <c r="D105" s="57">
        <f>0.93/60*100</f>
        <v>1.55</v>
      </c>
      <c r="E105" s="58">
        <f>0.06/60*100</f>
        <v>0.1</v>
      </c>
      <c r="F105" s="59">
        <f>1.95/60*100</f>
        <v>3.25</v>
      </c>
      <c r="G105" s="52">
        <f t="shared" si="22"/>
        <v>20.1</v>
      </c>
      <c r="H105" s="62" t="s">
        <v>45</v>
      </c>
      <c r="I105" s="153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52"/>
      <c r="AM105" s="152"/>
      <c r="AN105" s="152"/>
      <c r="AO105" s="152"/>
      <c r="AP105" s="152"/>
      <c r="AQ105" s="152"/>
      <c r="AR105" s="152"/>
      <c r="AS105" s="152"/>
      <c r="AT105" s="152"/>
      <c r="AU105" s="152"/>
      <c r="AV105" s="152"/>
      <c r="AW105" s="152"/>
      <c r="AX105" s="152"/>
      <c r="AY105" s="152"/>
      <c r="AZ105" s="152"/>
      <c r="BA105" s="152"/>
      <c r="BB105" s="152"/>
      <c r="BC105" s="152"/>
      <c r="BD105" s="152"/>
      <c r="BE105" s="152"/>
      <c r="BF105" s="152"/>
    </row>
    <row r="106" s="1" customFormat="1" customHeight="1" spans="1:58">
      <c r="A106" s="61"/>
      <c r="B106" s="55" t="s">
        <v>36</v>
      </c>
      <c r="C106" s="56" t="s">
        <v>174</v>
      </c>
      <c r="D106" s="57">
        <v>2.37</v>
      </c>
      <c r="E106" s="58">
        <f>0.4</f>
        <v>0.4</v>
      </c>
      <c r="F106" s="59">
        <v>14.49</v>
      </c>
      <c r="G106" s="52">
        <f t="shared" si="22"/>
        <v>71.04</v>
      </c>
      <c r="H106" s="62" t="s">
        <v>23</v>
      </c>
      <c r="I106" s="8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52"/>
      <c r="AQ106" s="152"/>
      <c r="AR106" s="152"/>
      <c r="AS106" s="152"/>
      <c r="AT106" s="152"/>
      <c r="AU106" s="152"/>
      <c r="AV106" s="152"/>
      <c r="AW106" s="152"/>
      <c r="AX106" s="152"/>
      <c r="AY106" s="152"/>
      <c r="AZ106" s="152"/>
      <c r="BA106" s="152"/>
      <c r="BB106" s="152"/>
      <c r="BC106" s="152"/>
      <c r="BD106" s="152"/>
      <c r="BE106" s="152"/>
      <c r="BF106" s="152"/>
    </row>
    <row r="107" s="1" customFormat="1" customHeight="1" spans="1:58">
      <c r="A107" s="88"/>
      <c r="B107" s="89" t="s">
        <v>38</v>
      </c>
      <c r="C107" s="90">
        <v>200</v>
      </c>
      <c r="D107" s="91">
        <v>0.43</v>
      </c>
      <c r="E107" s="92">
        <v>0.02</v>
      </c>
      <c r="F107" s="93">
        <v>27.6</v>
      </c>
      <c r="G107" s="52">
        <f t="shared" si="22"/>
        <v>112.3</v>
      </c>
      <c r="H107" s="68" t="s">
        <v>39</v>
      </c>
      <c r="I107" s="8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  <c r="AC107" s="152"/>
      <c r="AD107" s="152"/>
      <c r="AE107" s="152"/>
      <c r="AF107" s="152"/>
      <c r="AG107" s="152"/>
      <c r="AH107" s="152"/>
      <c r="AI107" s="152"/>
      <c r="AJ107" s="152"/>
      <c r="AK107" s="152"/>
      <c r="AL107" s="152"/>
      <c r="AM107" s="152"/>
      <c r="AN107" s="152"/>
      <c r="AO107" s="152"/>
      <c r="AP107" s="152"/>
      <c r="AQ107" s="152"/>
      <c r="AR107" s="152"/>
      <c r="AS107" s="152"/>
      <c r="AT107" s="152"/>
      <c r="AU107" s="152"/>
      <c r="AV107" s="152"/>
      <c r="AW107" s="152"/>
      <c r="AX107" s="152"/>
      <c r="AY107" s="152"/>
      <c r="AZ107" s="152"/>
      <c r="BA107" s="152"/>
      <c r="BB107" s="152"/>
      <c r="BC107" s="152"/>
      <c r="BD107" s="152"/>
      <c r="BE107" s="152"/>
      <c r="BF107" s="152"/>
    </row>
    <row r="108" s="1" customFormat="1" customHeight="1" spans="1:58">
      <c r="A108" s="126" t="s">
        <v>25</v>
      </c>
      <c r="B108" s="70"/>
      <c r="C108" s="182">
        <f>SUM(C102:C107)+100</f>
        <v>960</v>
      </c>
      <c r="D108" s="200">
        <f t="shared" ref="D108:G108" si="23">SUM(D102:D107)</f>
        <v>22.6122222222222</v>
      </c>
      <c r="E108" s="201">
        <f t="shared" si="23"/>
        <v>16.5255555555556</v>
      </c>
      <c r="F108" s="202">
        <f t="shared" si="23"/>
        <v>87.9488888888889</v>
      </c>
      <c r="G108" s="203">
        <f t="shared" si="23"/>
        <v>590.974444444445</v>
      </c>
      <c r="H108" s="81"/>
      <c r="I108" s="8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52"/>
      <c r="AM108" s="152"/>
      <c r="AN108" s="152"/>
      <c r="AO108" s="152"/>
      <c r="AP108" s="152"/>
      <c r="AQ108" s="152"/>
      <c r="AR108" s="152"/>
      <c r="AS108" s="152"/>
      <c r="AT108" s="152"/>
      <c r="AU108" s="152"/>
      <c r="AV108" s="152"/>
      <c r="AW108" s="152"/>
      <c r="AX108" s="152"/>
      <c r="AY108" s="152"/>
      <c r="AZ108" s="152"/>
      <c r="BA108" s="152"/>
      <c r="BB108" s="152"/>
      <c r="BC108" s="152"/>
      <c r="BD108" s="152"/>
      <c r="BE108" s="152"/>
      <c r="BF108" s="152"/>
    </row>
    <row r="109" s="1" customFormat="1" customHeight="1" spans="1:58">
      <c r="A109" s="128" t="s">
        <v>40</v>
      </c>
      <c r="B109" s="129"/>
      <c r="C109" s="164">
        <f>C108+C100</f>
        <v>1912</v>
      </c>
      <c r="D109" s="96">
        <f t="shared" ref="D109:G109" si="24">D108+D100</f>
        <v>59.125</v>
      </c>
      <c r="E109" s="97">
        <f t="shared" si="24"/>
        <v>54.2177777777778</v>
      </c>
      <c r="F109" s="98">
        <f t="shared" si="24"/>
        <v>203.185</v>
      </c>
      <c r="G109" s="99">
        <f t="shared" si="24"/>
        <v>1537.2</v>
      </c>
      <c r="H109" s="76"/>
      <c r="I109" s="8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</row>
    <row r="110" s="1" customFormat="1" customHeight="1" spans="1:58">
      <c r="A110" s="100"/>
      <c r="B110" s="101"/>
      <c r="C110" s="106"/>
      <c r="D110" s="171"/>
      <c r="E110" s="171"/>
      <c r="F110" s="171"/>
      <c r="G110" s="171"/>
      <c r="H110" s="76"/>
      <c r="I110" s="8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  <c r="AC110" s="152"/>
      <c r="AD110" s="152"/>
      <c r="AE110" s="152"/>
      <c r="AF110" s="152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</row>
    <row r="111" ht="17.25" customHeight="1" spans="1:17">
      <c r="A111" s="204" t="s">
        <v>108</v>
      </c>
      <c r="B111" s="205"/>
      <c r="C111" s="205"/>
      <c r="D111" s="205"/>
      <c r="E111" s="205"/>
      <c r="F111" s="205"/>
      <c r="G111" s="205"/>
      <c r="H111" s="76"/>
      <c r="I111" s="8"/>
      <c r="J111" s="7"/>
      <c r="K111" s="3"/>
      <c r="L111" s="3"/>
      <c r="M111" s="3"/>
      <c r="N111" s="3"/>
      <c r="O111" s="3"/>
      <c r="P111" s="3"/>
      <c r="Q111" s="3"/>
    </row>
    <row r="112" ht="17.25" customHeight="1" spans="1:17">
      <c r="A112" s="42"/>
      <c r="B112" s="206" t="s">
        <v>12</v>
      </c>
      <c r="C112" s="206"/>
      <c r="D112" s="206"/>
      <c r="E112" s="206"/>
      <c r="F112" s="206"/>
      <c r="G112" s="206"/>
      <c r="H112" s="76"/>
      <c r="I112" s="8"/>
      <c r="J112" s="7"/>
      <c r="K112" s="3"/>
      <c r="L112" s="3"/>
      <c r="M112" s="3"/>
      <c r="N112" s="3"/>
      <c r="O112" s="3"/>
      <c r="P112" s="3"/>
      <c r="Q112" s="3"/>
    </row>
    <row r="113" ht="17.25" customHeight="1" spans="1:17">
      <c r="A113" s="172" t="s">
        <v>13</v>
      </c>
      <c r="B113" s="173"/>
      <c r="C113" s="110"/>
      <c r="D113" s="174"/>
      <c r="E113" s="174"/>
      <c r="F113" s="174"/>
      <c r="G113" s="174"/>
      <c r="H113" s="76"/>
      <c r="I113" s="8"/>
      <c r="J113" s="152"/>
      <c r="K113" s="3"/>
      <c r="L113" s="3"/>
      <c r="M113" s="3"/>
      <c r="N113" s="3"/>
      <c r="O113" s="3"/>
      <c r="P113" s="3"/>
      <c r="Q113" s="3"/>
    </row>
    <row r="114" s="1" customFormat="1" customHeight="1" spans="1:58">
      <c r="A114" s="207"/>
      <c r="B114" s="82" t="s">
        <v>192</v>
      </c>
      <c r="C114" s="83">
        <v>100</v>
      </c>
      <c r="D114" s="84">
        <f>0.33</f>
        <v>0.33</v>
      </c>
      <c r="E114" s="85">
        <f>0.06</f>
        <v>0.06</v>
      </c>
      <c r="F114" s="86">
        <f>1.14</f>
        <v>1.14</v>
      </c>
      <c r="G114" s="52">
        <f t="shared" ref="G114:G119" si="25">(D114*4)+(E114*9)+(F114*4)</f>
        <v>6.42</v>
      </c>
      <c r="H114" s="87" t="s">
        <v>109</v>
      </c>
      <c r="I114" s="8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2"/>
      <c r="AG114" s="152"/>
      <c r="AH114" s="152"/>
      <c r="AI114" s="152"/>
      <c r="AJ114" s="152"/>
      <c r="AK114" s="152"/>
      <c r="AL114" s="152"/>
      <c r="AM114" s="152"/>
      <c r="AN114" s="152"/>
      <c r="AO114" s="152"/>
      <c r="AP114" s="152"/>
      <c r="AQ114" s="152"/>
      <c r="AR114" s="152"/>
      <c r="AS114" s="152"/>
      <c r="AT114" s="152"/>
      <c r="AU114" s="152"/>
      <c r="AV114" s="152"/>
      <c r="AW114" s="152"/>
      <c r="AX114" s="152"/>
      <c r="AY114" s="152"/>
      <c r="AZ114" s="152"/>
      <c r="BA114" s="152"/>
      <c r="BB114" s="152"/>
      <c r="BC114" s="152"/>
      <c r="BD114" s="152"/>
      <c r="BE114" s="152"/>
      <c r="BF114" s="152"/>
    </row>
    <row r="115" s="1" customFormat="1" customHeight="1" spans="1:58">
      <c r="A115" s="115"/>
      <c r="B115" s="55" t="s">
        <v>110</v>
      </c>
      <c r="C115" s="56">
        <v>100</v>
      </c>
      <c r="D115" s="57">
        <f>10.86</f>
        <v>10.86</v>
      </c>
      <c r="E115" s="58">
        <f>8.25</f>
        <v>8.25</v>
      </c>
      <c r="F115" s="59">
        <f>12.31</f>
        <v>12.31</v>
      </c>
      <c r="G115" s="52">
        <f t="shared" si="25"/>
        <v>166.93</v>
      </c>
      <c r="H115" s="187" t="s">
        <v>111</v>
      </c>
      <c r="I115" s="7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  <c r="AC115" s="152"/>
      <c r="AD115" s="152"/>
      <c r="AE115" s="152"/>
      <c r="AF115" s="152"/>
      <c r="AG115" s="152"/>
      <c r="AH115" s="152"/>
      <c r="AI115" s="152"/>
      <c r="AJ115" s="152"/>
      <c r="AK115" s="152"/>
      <c r="AL115" s="152"/>
      <c r="AM115" s="152"/>
      <c r="AN115" s="152"/>
      <c r="AO115" s="152"/>
      <c r="AP115" s="152"/>
      <c r="AQ115" s="152"/>
      <c r="AR115" s="152"/>
      <c r="AS115" s="152"/>
      <c r="AT115" s="152"/>
      <c r="AU115" s="152"/>
      <c r="AV115" s="152"/>
      <c r="AW115" s="152"/>
      <c r="AX115" s="152"/>
      <c r="AY115" s="152"/>
      <c r="AZ115" s="152"/>
      <c r="BA115" s="152"/>
      <c r="BB115" s="152"/>
      <c r="BC115" s="152"/>
      <c r="BD115" s="152"/>
      <c r="BE115" s="152"/>
      <c r="BF115" s="152"/>
    </row>
    <row r="116" s="1" customFormat="1" customHeight="1" spans="1:58">
      <c r="A116" s="115"/>
      <c r="B116" s="55" t="s">
        <v>193</v>
      </c>
      <c r="C116" s="56">
        <v>200</v>
      </c>
      <c r="D116" s="57">
        <f>3.33</f>
        <v>3.33</v>
      </c>
      <c r="E116" s="58">
        <f>3.28</f>
        <v>3.28</v>
      </c>
      <c r="F116" s="59">
        <f>22.66</f>
        <v>22.66</v>
      </c>
      <c r="G116" s="52">
        <f t="shared" si="25"/>
        <v>133.48</v>
      </c>
      <c r="H116" s="187" t="s">
        <v>64</v>
      </c>
      <c r="I116" s="7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52"/>
      <c r="AM116" s="152"/>
      <c r="AN116" s="152"/>
      <c r="AO116" s="152"/>
      <c r="AP116" s="152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2"/>
      <c r="BE116" s="152"/>
      <c r="BF116" s="152"/>
    </row>
    <row r="117" s="1" customFormat="1" customHeight="1" spans="1:58">
      <c r="A117" s="115"/>
      <c r="B117" s="55" t="s">
        <v>46</v>
      </c>
      <c r="C117" s="56">
        <v>200</v>
      </c>
      <c r="D117" s="57">
        <f>5.71</f>
        <v>5.71</v>
      </c>
      <c r="E117" s="58">
        <f>4.8</f>
        <v>4.8</v>
      </c>
      <c r="F117" s="59">
        <f>20.82</f>
        <v>20.82</v>
      </c>
      <c r="G117" s="52">
        <f t="shared" si="25"/>
        <v>149.32</v>
      </c>
      <c r="H117" s="187" t="s">
        <v>47</v>
      </c>
      <c r="I117" s="152"/>
      <c r="J117" s="152"/>
      <c r="K117" s="152"/>
      <c r="L117" s="152"/>
      <c r="M117" s="152"/>
      <c r="N117" s="152"/>
      <c r="O117" s="152"/>
      <c r="P117" s="152"/>
      <c r="Q117" s="152"/>
      <c r="R117" s="152"/>
      <c r="S117" s="152"/>
      <c r="T117" s="152"/>
      <c r="U117" s="152"/>
      <c r="V117" s="152"/>
      <c r="W117" s="152"/>
      <c r="X117" s="152"/>
      <c r="Y117" s="152"/>
      <c r="Z117" s="152"/>
      <c r="AA117" s="152"/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2"/>
      <c r="AL117" s="152"/>
      <c r="AM117" s="152"/>
      <c r="AN117" s="152"/>
      <c r="AO117" s="152"/>
      <c r="AP117" s="152"/>
      <c r="AQ117" s="152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2"/>
      <c r="BE117" s="152"/>
      <c r="BF117" s="152"/>
    </row>
    <row r="118" s="1" customFormat="1" customHeight="1" spans="1:58">
      <c r="A118" s="61"/>
      <c r="B118" s="55" t="s">
        <v>22</v>
      </c>
      <c r="C118" s="191">
        <v>50</v>
      </c>
      <c r="D118" s="57">
        <f>3.04</f>
        <v>3.04</v>
      </c>
      <c r="E118" s="58">
        <f>0.36</f>
        <v>0.36</v>
      </c>
      <c r="F118" s="59">
        <f>18.48</f>
        <v>18.48</v>
      </c>
      <c r="G118" s="52">
        <f t="shared" si="25"/>
        <v>89.32</v>
      </c>
      <c r="H118" s="62" t="s">
        <v>23</v>
      </c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</row>
    <row r="119" s="1" customFormat="1" ht="30.75" customHeight="1" spans="1:58">
      <c r="A119" s="88"/>
      <c r="B119" s="208" t="s">
        <v>194</v>
      </c>
      <c r="C119" s="90" t="s">
        <v>181</v>
      </c>
      <c r="D119" s="91">
        <v>0.08</v>
      </c>
      <c r="E119" s="92">
        <v>0</v>
      </c>
      <c r="F119" s="93">
        <f>12</f>
        <v>12</v>
      </c>
      <c r="G119" s="52">
        <f t="shared" si="25"/>
        <v>48.32</v>
      </c>
      <c r="H119" s="68" t="s">
        <v>23</v>
      </c>
      <c r="I119" s="210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</row>
    <row r="120" s="1" customFormat="1" customHeight="1" spans="1:58">
      <c r="A120" s="120" t="s">
        <v>25</v>
      </c>
      <c r="B120" s="141"/>
      <c r="C120" s="209">
        <f>SUM(C114:C119)+40</f>
        <v>690</v>
      </c>
      <c r="D120" s="143">
        <f t="shared" ref="D120:G120" si="26">D114+D115+D116+D117+D119+D118</f>
        <v>23.35</v>
      </c>
      <c r="E120" s="144">
        <f t="shared" si="26"/>
        <v>16.75</v>
      </c>
      <c r="F120" s="145">
        <f t="shared" si="26"/>
        <v>87.41</v>
      </c>
      <c r="G120" s="146">
        <f t="shared" si="26"/>
        <v>593.79</v>
      </c>
      <c r="H120" s="180"/>
      <c r="I120" s="8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</row>
    <row r="121" ht="17.25" customHeight="1" spans="1:17">
      <c r="A121" s="147" t="s">
        <v>26</v>
      </c>
      <c r="B121" s="124"/>
      <c r="C121" s="124"/>
      <c r="D121" s="79"/>
      <c r="E121" s="79"/>
      <c r="F121" s="80"/>
      <c r="G121" s="80"/>
      <c r="H121" s="180"/>
      <c r="I121" s="8"/>
      <c r="J121" s="153"/>
      <c r="K121" s="3"/>
      <c r="L121" s="3"/>
      <c r="M121" s="3"/>
      <c r="N121" s="3"/>
      <c r="O121" s="3"/>
      <c r="P121" s="3"/>
      <c r="Q121" s="3"/>
    </row>
    <row r="122" s="1" customFormat="1" ht="30.75" customHeight="1" spans="1:58">
      <c r="A122" s="207"/>
      <c r="B122" s="82" t="s">
        <v>195</v>
      </c>
      <c r="C122" s="83">
        <v>250</v>
      </c>
      <c r="D122" s="84">
        <v>3.8</v>
      </c>
      <c r="E122" s="85">
        <v>4.9</v>
      </c>
      <c r="F122" s="86">
        <v>14.3</v>
      </c>
      <c r="G122" s="52">
        <f t="shared" ref="G122:G126" si="27">(D122*4)+(E122*9)+(F122*4)</f>
        <v>116.5</v>
      </c>
      <c r="H122" s="87" t="s">
        <v>114</v>
      </c>
      <c r="I122" s="8" t="s">
        <v>196</v>
      </c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2"/>
      <c r="BE122" s="152"/>
      <c r="BF122" s="152"/>
    </row>
    <row r="123" s="1" customFormat="1" customHeight="1" spans="1:58">
      <c r="A123" s="61"/>
      <c r="B123" s="55" t="s">
        <v>115</v>
      </c>
      <c r="C123" s="56">
        <v>250</v>
      </c>
      <c r="D123" s="57">
        <v>21.47</v>
      </c>
      <c r="E123" s="58">
        <v>19.69</v>
      </c>
      <c r="F123" s="59">
        <v>35.69</v>
      </c>
      <c r="G123" s="52">
        <f t="shared" si="27"/>
        <v>405.85</v>
      </c>
      <c r="H123" s="62" t="s">
        <v>116</v>
      </c>
      <c r="I123" s="8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  <c r="BD123" s="152"/>
      <c r="BE123" s="152"/>
      <c r="BF123" s="152"/>
    </row>
    <row r="124" s="1" customFormat="1" customHeight="1" spans="1:58">
      <c r="A124" s="61"/>
      <c r="B124" s="55" t="s">
        <v>179</v>
      </c>
      <c r="C124" s="56">
        <v>100</v>
      </c>
      <c r="D124" s="57">
        <v>0.4</v>
      </c>
      <c r="E124" s="58">
        <v>0.05</v>
      </c>
      <c r="F124" s="59">
        <v>0.85</v>
      </c>
      <c r="G124" s="52">
        <f t="shared" si="27"/>
        <v>5.45</v>
      </c>
      <c r="H124" s="62" t="s">
        <v>65</v>
      </c>
      <c r="I124" s="8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52"/>
      <c r="AM124" s="152"/>
      <c r="AN124" s="152"/>
      <c r="AO124" s="152"/>
      <c r="AP124" s="152"/>
      <c r="AQ124" s="152"/>
      <c r="AR124" s="152"/>
      <c r="AS124" s="152"/>
      <c r="AT124" s="152"/>
      <c r="AU124" s="152"/>
      <c r="AV124" s="152"/>
      <c r="AW124" s="152"/>
      <c r="AX124" s="152"/>
      <c r="AY124" s="152"/>
      <c r="AZ124" s="152"/>
      <c r="BA124" s="152"/>
      <c r="BB124" s="152"/>
      <c r="BC124" s="152"/>
      <c r="BD124" s="152"/>
      <c r="BE124" s="152"/>
      <c r="BF124" s="152"/>
    </row>
    <row r="125" s="1" customFormat="1" customHeight="1" spans="1:58">
      <c r="A125" s="61"/>
      <c r="B125" s="55" t="s">
        <v>36</v>
      </c>
      <c r="C125" s="56" t="s">
        <v>174</v>
      </c>
      <c r="D125" s="57">
        <v>3.95</v>
      </c>
      <c r="E125" s="58">
        <v>0.5</v>
      </c>
      <c r="F125" s="59">
        <v>24.15</v>
      </c>
      <c r="G125" s="52">
        <f t="shared" si="27"/>
        <v>116.9</v>
      </c>
      <c r="H125" s="62" t="s">
        <v>23</v>
      </c>
      <c r="I125" s="153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2"/>
      <c r="BE125" s="152"/>
      <c r="BF125" s="152"/>
    </row>
    <row r="126" s="1" customFormat="1" customHeight="1" spans="1:58">
      <c r="A126" s="88"/>
      <c r="B126" s="89" t="s">
        <v>93</v>
      </c>
      <c r="C126" s="90">
        <v>200</v>
      </c>
      <c r="D126" s="91">
        <v>0.43</v>
      </c>
      <c r="E126" s="92">
        <v>0.02</v>
      </c>
      <c r="F126" s="93">
        <v>27.6</v>
      </c>
      <c r="G126" s="52">
        <f t="shared" si="27"/>
        <v>112.3</v>
      </c>
      <c r="H126" s="68" t="s">
        <v>117</v>
      </c>
      <c r="I126" s="8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</row>
    <row r="127" s="1" customFormat="1" customHeight="1" spans="1:58">
      <c r="A127" s="126" t="s">
        <v>25</v>
      </c>
      <c r="B127" s="70"/>
      <c r="C127" s="182">
        <f>SUM(C122:C126)+100</f>
        <v>900</v>
      </c>
      <c r="D127" s="200">
        <f t="shared" ref="D127:G127" si="28">SUM(D122:D126)</f>
        <v>30.05</v>
      </c>
      <c r="E127" s="201">
        <f t="shared" si="28"/>
        <v>25.16</v>
      </c>
      <c r="F127" s="202">
        <f t="shared" si="28"/>
        <v>102.59</v>
      </c>
      <c r="G127" s="203">
        <f t="shared" si="28"/>
        <v>757</v>
      </c>
      <c r="H127" s="76"/>
      <c r="I127" s="8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52"/>
      <c r="AM127" s="152"/>
      <c r="AN127" s="152"/>
      <c r="AO127" s="152"/>
      <c r="AP127" s="152"/>
      <c r="AQ127" s="152"/>
      <c r="AR127" s="152"/>
      <c r="AS127" s="152"/>
      <c r="AT127" s="152"/>
      <c r="AU127" s="152"/>
      <c r="AV127" s="152"/>
      <c r="AW127" s="152"/>
      <c r="AX127" s="152"/>
      <c r="AY127" s="152"/>
      <c r="AZ127" s="152"/>
      <c r="BA127" s="152"/>
      <c r="BB127" s="152"/>
      <c r="BC127" s="152"/>
      <c r="BD127" s="152"/>
      <c r="BE127" s="152"/>
      <c r="BF127" s="152"/>
    </row>
    <row r="128" s="1" customFormat="1" customHeight="1" spans="1:58">
      <c r="A128" s="128" t="s">
        <v>40</v>
      </c>
      <c r="B128" s="129"/>
      <c r="C128" s="164">
        <f>C127+C120</f>
        <v>1590</v>
      </c>
      <c r="D128" s="96">
        <f t="shared" ref="D128:G128" si="29">D127+D120</f>
        <v>53.4</v>
      </c>
      <c r="E128" s="97">
        <f t="shared" si="29"/>
        <v>41.91</v>
      </c>
      <c r="F128" s="98">
        <f t="shared" si="29"/>
        <v>190</v>
      </c>
      <c r="G128" s="99">
        <f t="shared" si="29"/>
        <v>1350.79</v>
      </c>
      <c r="H128" s="81"/>
      <c r="I128" s="8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  <c r="BD128" s="152"/>
      <c r="BE128" s="152"/>
      <c r="BF128" s="152"/>
    </row>
    <row r="129" s="1" customFormat="1" customHeight="1" spans="1:58">
      <c r="A129" s="100"/>
      <c r="B129" s="101"/>
      <c r="C129" s="106"/>
      <c r="D129" s="171"/>
      <c r="E129" s="171"/>
      <c r="F129" s="171"/>
      <c r="G129" s="171"/>
      <c r="H129" s="76"/>
      <c r="I129" s="8"/>
      <c r="J129" s="152"/>
      <c r="K129" s="152"/>
      <c r="L129" s="152"/>
      <c r="M129" s="152"/>
      <c r="N129" s="152"/>
      <c r="O129" s="152"/>
      <c r="P129" s="152"/>
      <c r="Q129" s="152"/>
      <c r="R129" s="152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  <c r="BD129" s="152"/>
      <c r="BE129" s="152"/>
      <c r="BF129" s="152"/>
    </row>
    <row r="130" ht="17.25" customHeight="1" spans="1:17">
      <c r="A130" s="134"/>
      <c r="B130" s="109" t="s">
        <v>41</v>
      </c>
      <c r="C130" s="109"/>
      <c r="D130" s="109"/>
      <c r="E130" s="109"/>
      <c r="F130" s="109"/>
      <c r="G130" s="109"/>
      <c r="H130" s="76"/>
      <c r="I130" s="8"/>
      <c r="J130" s="152"/>
      <c r="K130" s="3"/>
      <c r="L130" s="3"/>
      <c r="M130" s="3"/>
      <c r="N130" s="3"/>
      <c r="O130" s="3"/>
      <c r="P130" s="3"/>
      <c r="Q130" s="3"/>
    </row>
    <row r="131" ht="17.25" customHeight="1" spans="1:17">
      <c r="A131" s="172" t="s">
        <v>13</v>
      </c>
      <c r="B131" s="173"/>
      <c r="C131" s="110"/>
      <c r="D131" s="174"/>
      <c r="E131" s="174"/>
      <c r="F131" s="174"/>
      <c r="G131" s="174"/>
      <c r="H131" s="76"/>
      <c r="I131" s="8"/>
      <c r="J131" s="152"/>
      <c r="K131" s="3"/>
      <c r="L131" s="3"/>
      <c r="M131" s="3"/>
      <c r="N131" s="3"/>
      <c r="O131" s="3"/>
      <c r="P131" s="3"/>
      <c r="Q131" s="3"/>
    </row>
    <row r="132" s="1" customFormat="1" customHeight="1" spans="1:58">
      <c r="A132" s="175"/>
      <c r="B132" s="82" t="s">
        <v>80</v>
      </c>
      <c r="C132" s="83">
        <v>200</v>
      </c>
      <c r="D132" s="84">
        <v>21.62</v>
      </c>
      <c r="E132" s="85">
        <v>16.34</v>
      </c>
      <c r="F132" s="86">
        <v>24.19</v>
      </c>
      <c r="G132" s="52">
        <f t="shared" ref="G132:G136" si="30">(D132*4)+(E132*9)+(F132*4)</f>
        <v>330.3</v>
      </c>
      <c r="H132" s="53" t="s">
        <v>81</v>
      </c>
      <c r="I132" s="8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  <c r="BD132" s="152"/>
      <c r="BE132" s="152"/>
      <c r="BF132" s="152"/>
    </row>
    <row r="133" s="1" customFormat="1" customHeight="1" spans="1:58">
      <c r="A133" s="211"/>
      <c r="B133" s="55" t="s">
        <v>82</v>
      </c>
      <c r="C133" s="56">
        <v>30</v>
      </c>
      <c r="D133" s="57">
        <v>0.05</v>
      </c>
      <c r="E133" s="58">
        <v>0.01</v>
      </c>
      <c r="F133" s="59">
        <v>8.62</v>
      </c>
      <c r="G133" s="52">
        <f t="shared" si="30"/>
        <v>34.77</v>
      </c>
      <c r="H133" s="212" t="s">
        <v>118</v>
      </c>
      <c r="I133" s="8"/>
      <c r="J133" s="152"/>
      <c r="K133" s="152"/>
      <c r="L133" s="152"/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52"/>
      <c r="X133" s="152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</row>
    <row r="134" s="1" customFormat="1" customHeight="1" spans="1:58">
      <c r="A134" s="211"/>
      <c r="B134" s="55" t="s">
        <v>68</v>
      </c>
      <c r="C134" s="56">
        <v>200</v>
      </c>
      <c r="D134" s="57">
        <v>0.06</v>
      </c>
      <c r="E134" s="58">
        <v>0.01</v>
      </c>
      <c r="F134" s="59">
        <v>12.19</v>
      </c>
      <c r="G134" s="52">
        <f t="shared" si="30"/>
        <v>49.09</v>
      </c>
      <c r="H134" s="212" t="s">
        <v>69</v>
      </c>
      <c r="I134" s="152"/>
      <c r="J134" s="152"/>
      <c r="K134" s="152"/>
      <c r="L134" s="152"/>
      <c r="M134" s="152"/>
      <c r="N134" s="152"/>
      <c r="O134" s="152"/>
      <c r="P134" s="152"/>
      <c r="Q134" s="152"/>
      <c r="R134" s="152"/>
      <c r="S134" s="152"/>
      <c r="T134" s="152"/>
      <c r="U134" s="152"/>
      <c r="V134" s="152"/>
      <c r="W134" s="152"/>
      <c r="X134" s="152"/>
      <c r="Y134" s="152"/>
      <c r="Z134" s="152"/>
      <c r="AA134" s="152"/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  <c r="BD134" s="152"/>
      <c r="BE134" s="152"/>
      <c r="BF134" s="152"/>
    </row>
    <row r="135" s="1" customFormat="1" customHeight="1" spans="1:58">
      <c r="A135" s="211"/>
      <c r="B135" s="55" t="s">
        <v>22</v>
      </c>
      <c r="C135" s="56">
        <v>50</v>
      </c>
      <c r="D135" s="57">
        <v>3.04</v>
      </c>
      <c r="E135" s="58">
        <v>0.36</v>
      </c>
      <c r="F135" s="59">
        <v>18.48</v>
      </c>
      <c r="G135" s="52">
        <f t="shared" si="30"/>
        <v>89.32</v>
      </c>
      <c r="H135" s="212" t="s">
        <v>23</v>
      </c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</row>
    <row r="136" s="1" customFormat="1" customHeight="1" spans="1:58">
      <c r="A136" s="181"/>
      <c r="B136" s="89" t="s">
        <v>197</v>
      </c>
      <c r="C136" s="194">
        <v>150</v>
      </c>
      <c r="D136" s="91">
        <v>0.6</v>
      </c>
      <c r="E136" s="92">
        <v>0.6</v>
      </c>
      <c r="F136" s="93">
        <v>14.7</v>
      </c>
      <c r="G136" s="52">
        <f t="shared" si="30"/>
        <v>66.6</v>
      </c>
      <c r="H136" s="179" t="s">
        <v>23</v>
      </c>
      <c r="I136" s="8"/>
      <c r="J136" s="152"/>
      <c r="K136" s="152"/>
      <c r="L136" s="152"/>
      <c r="M136" s="152"/>
      <c r="N136" s="152"/>
      <c r="O136" s="152"/>
      <c r="P136" s="152"/>
      <c r="Q136" s="152"/>
      <c r="R136" s="152"/>
      <c r="S136" s="152"/>
      <c r="T136" s="152"/>
      <c r="U136" s="152"/>
      <c r="V136" s="152"/>
      <c r="W136" s="152"/>
      <c r="X136" s="152"/>
      <c r="Y136" s="152"/>
      <c r="Z136" s="152"/>
      <c r="AA136" s="152"/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  <c r="BD136" s="152"/>
      <c r="BE136" s="152"/>
      <c r="BF136" s="152"/>
    </row>
    <row r="137" s="1" customFormat="1" customHeight="1" spans="1:58">
      <c r="A137" s="120" t="s">
        <v>25</v>
      </c>
      <c r="B137" s="141"/>
      <c r="C137" s="209">
        <f>SUM(C132:C136)+200+15+7</f>
        <v>852</v>
      </c>
      <c r="D137" s="143">
        <f t="shared" ref="D137:G137" si="31">SUM(D132:D136)</f>
        <v>25.37</v>
      </c>
      <c r="E137" s="144">
        <f t="shared" si="31"/>
        <v>17.32</v>
      </c>
      <c r="F137" s="145">
        <f t="shared" si="31"/>
        <v>78.18</v>
      </c>
      <c r="G137" s="146">
        <f t="shared" si="31"/>
        <v>570.08</v>
      </c>
      <c r="H137" s="180"/>
      <c r="I137" s="8"/>
      <c r="J137" s="152"/>
      <c r="K137" s="152"/>
      <c r="L137" s="152"/>
      <c r="M137" s="152"/>
      <c r="N137" s="152"/>
      <c r="O137" s="152"/>
      <c r="P137" s="152"/>
      <c r="Q137" s="152"/>
      <c r="R137" s="152"/>
      <c r="S137" s="152"/>
      <c r="T137" s="152"/>
      <c r="U137" s="152"/>
      <c r="V137" s="152"/>
      <c r="W137" s="152"/>
      <c r="X137" s="152"/>
      <c r="Y137" s="152"/>
      <c r="Z137" s="152"/>
      <c r="AA137" s="152"/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  <c r="BD137" s="152"/>
      <c r="BE137" s="152"/>
      <c r="BF137" s="152"/>
    </row>
    <row r="138" ht="17.25" customHeight="1" spans="1:17">
      <c r="A138" s="147" t="s">
        <v>26</v>
      </c>
      <c r="B138" s="124"/>
      <c r="C138" s="124"/>
      <c r="D138" s="79"/>
      <c r="E138" s="79"/>
      <c r="F138" s="80"/>
      <c r="G138" s="80"/>
      <c r="H138" s="180"/>
      <c r="I138" s="8"/>
      <c r="J138" s="153"/>
      <c r="K138" s="3"/>
      <c r="L138" s="3"/>
      <c r="M138" s="3"/>
      <c r="N138" s="3"/>
      <c r="O138" s="3"/>
      <c r="P138" s="3"/>
      <c r="Q138" s="3"/>
    </row>
    <row r="139" s="1" customFormat="1" customHeight="1" spans="1:58">
      <c r="A139" s="207"/>
      <c r="B139" s="82" t="s">
        <v>119</v>
      </c>
      <c r="C139" s="83">
        <v>250</v>
      </c>
      <c r="D139" s="84">
        <v>3.1</v>
      </c>
      <c r="E139" s="85">
        <v>4.5</v>
      </c>
      <c r="F139" s="86">
        <v>20.1</v>
      </c>
      <c r="G139" s="52">
        <f t="shared" ref="G139:G144" si="32">(D139*4)+(E139*9)+(F139*4)</f>
        <v>133.3</v>
      </c>
      <c r="H139" s="87" t="s">
        <v>120</v>
      </c>
      <c r="I139" s="8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W139" s="152"/>
      <c r="X139" s="152"/>
      <c r="Y139" s="152"/>
      <c r="Z139" s="152"/>
      <c r="AA139" s="152"/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  <c r="BD139" s="152"/>
      <c r="BE139" s="152"/>
      <c r="BF139" s="152"/>
    </row>
    <row r="140" s="1" customFormat="1" customHeight="1" spans="1:58">
      <c r="A140" s="61"/>
      <c r="B140" s="55" t="s">
        <v>198</v>
      </c>
      <c r="C140" s="56">
        <v>100</v>
      </c>
      <c r="D140" s="57">
        <v>11.2</v>
      </c>
      <c r="E140" s="58">
        <v>9.4</v>
      </c>
      <c r="F140" s="59">
        <v>7.3</v>
      </c>
      <c r="G140" s="52">
        <f t="shared" si="32"/>
        <v>158.6</v>
      </c>
      <c r="H140" s="62" t="s">
        <v>122</v>
      </c>
      <c r="I140" s="8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W140" s="152"/>
      <c r="X140" s="152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  <c r="BD140" s="152"/>
      <c r="BE140" s="152"/>
      <c r="BF140" s="152"/>
    </row>
    <row r="141" s="1" customFormat="1" customHeight="1" spans="1:58">
      <c r="A141" s="61"/>
      <c r="B141" s="55" t="s">
        <v>52</v>
      </c>
      <c r="C141" s="56">
        <v>200</v>
      </c>
      <c r="D141" s="57">
        <v>6.5</v>
      </c>
      <c r="E141" s="58">
        <v>4.8</v>
      </c>
      <c r="F141" s="59">
        <v>38.8</v>
      </c>
      <c r="G141" s="52">
        <f t="shared" si="32"/>
        <v>224.4</v>
      </c>
      <c r="H141" s="62" t="s">
        <v>99</v>
      </c>
      <c r="I141" s="8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W141" s="152"/>
      <c r="X141" s="152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  <c r="BD141" s="152"/>
      <c r="BE141" s="152"/>
      <c r="BF141" s="152"/>
    </row>
    <row r="142" s="1" customFormat="1" customHeight="1" spans="1:58">
      <c r="A142" s="61"/>
      <c r="B142" s="55" t="s">
        <v>44</v>
      </c>
      <c r="C142" s="56">
        <v>100</v>
      </c>
      <c r="D142" s="57">
        <v>0.93</v>
      </c>
      <c r="E142" s="58">
        <v>0.06</v>
      </c>
      <c r="F142" s="59">
        <v>1.95</v>
      </c>
      <c r="G142" s="52">
        <f t="shared" si="32"/>
        <v>12.06</v>
      </c>
      <c r="H142" s="62" t="s">
        <v>45</v>
      </c>
      <c r="I142" s="153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W142" s="152"/>
      <c r="X142" s="152"/>
      <c r="Y142" s="152"/>
      <c r="Z142" s="152"/>
      <c r="AA142" s="152"/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  <c r="BD142" s="152"/>
      <c r="BE142" s="152"/>
      <c r="BF142" s="152"/>
    </row>
    <row r="143" s="1" customFormat="1" customHeight="1" spans="1:58">
      <c r="A143" s="61"/>
      <c r="B143" s="55" t="s">
        <v>36</v>
      </c>
      <c r="C143" s="56" t="s">
        <v>174</v>
      </c>
      <c r="D143" s="57">
        <v>2.37</v>
      </c>
      <c r="E143" s="58">
        <v>0.3</v>
      </c>
      <c r="F143" s="59">
        <v>14.49</v>
      </c>
      <c r="G143" s="52">
        <f t="shared" si="32"/>
        <v>70.14</v>
      </c>
      <c r="H143" s="62" t="s">
        <v>23</v>
      </c>
      <c r="I143" s="8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W143" s="152"/>
      <c r="X143" s="152"/>
      <c r="Y143" s="152"/>
      <c r="Z143" s="152"/>
      <c r="AA143" s="152"/>
      <c r="AB143" s="152"/>
      <c r="AC143" s="152"/>
      <c r="AD143" s="152"/>
      <c r="AE143" s="152"/>
      <c r="AF143" s="152"/>
      <c r="AG143" s="152"/>
      <c r="AH143" s="152"/>
      <c r="AI143" s="152"/>
      <c r="AJ143" s="152"/>
      <c r="AK143" s="152"/>
      <c r="AL143" s="152"/>
      <c r="AM143" s="152"/>
      <c r="AN143" s="152"/>
      <c r="AO143" s="152"/>
      <c r="AP143" s="152"/>
      <c r="AQ143" s="152"/>
      <c r="AR143" s="152"/>
      <c r="AS143" s="152"/>
      <c r="AT143" s="152"/>
      <c r="AU143" s="152"/>
      <c r="AV143" s="152"/>
      <c r="AW143" s="152"/>
      <c r="AX143" s="152"/>
      <c r="AY143" s="152"/>
      <c r="AZ143" s="152"/>
      <c r="BA143" s="152"/>
      <c r="BB143" s="152"/>
      <c r="BC143" s="152"/>
      <c r="BD143" s="152"/>
      <c r="BE143" s="152"/>
      <c r="BF143" s="152"/>
    </row>
    <row r="144" s="1" customFormat="1" customHeight="1" spans="1:58">
      <c r="A144" s="88"/>
      <c r="B144" s="89" t="s">
        <v>38</v>
      </c>
      <c r="C144" s="90">
        <v>200</v>
      </c>
      <c r="D144" s="91">
        <v>0.4</v>
      </c>
      <c r="E144" s="92">
        <v>0.02</v>
      </c>
      <c r="F144" s="93">
        <v>22.9</v>
      </c>
      <c r="G144" s="52">
        <f t="shared" si="32"/>
        <v>93.38</v>
      </c>
      <c r="H144" s="68" t="s">
        <v>123</v>
      </c>
      <c r="I144" s="8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W144" s="152"/>
      <c r="X144" s="152"/>
      <c r="Y144" s="152"/>
      <c r="Z144" s="152"/>
      <c r="AA144" s="152"/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  <c r="BD144" s="152"/>
      <c r="BE144" s="152"/>
      <c r="BF144" s="152"/>
    </row>
    <row r="145" s="1" customFormat="1" customHeight="1" spans="1:58">
      <c r="A145" s="126" t="s">
        <v>25</v>
      </c>
      <c r="B145" s="70"/>
      <c r="C145" s="182">
        <f>SUM(C139:C144)+100</f>
        <v>950</v>
      </c>
      <c r="D145" s="200">
        <f t="shared" ref="D145:G145" si="33">SUM(D139:D144)</f>
        <v>24.5</v>
      </c>
      <c r="E145" s="201">
        <f t="shared" si="33"/>
        <v>19.08</v>
      </c>
      <c r="F145" s="202">
        <f t="shared" si="33"/>
        <v>105.54</v>
      </c>
      <c r="G145" s="203">
        <f t="shared" si="33"/>
        <v>691.88</v>
      </c>
      <c r="H145" s="81"/>
      <c r="I145" s="8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W145" s="152"/>
      <c r="X145" s="152"/>
      <c r="Y145" s="152"/>
      <c r="Z145" s="152"/>
      <c r="AA145" s="152"/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  <c r="BD145" s="152"/>
      <c r="BE145" s="152"/>
      <c r="BF145" s="152"/>
    </row>
    <row r="146" s="1" customFormat="1" customHeight="1" spans="1:58">
      <c r="A146" s="128" t="s">
        <v>40</v>
      </c>
      <c r="B146" s="129"/>
      <c r="C146" s="95">
        <f>C145+C137</f>
        <v>1802</v>
      </c>
      <c r="D146" s="96">
        <f t="shared" ref="D146:G146" si="34">D145+D137</f>
        <v>49.87</v>
      </c>
      <c r="E146" s="97">
        <f t="shared" si="34"/>
        <v>36.4</v>
      </c>
      <c r="F146" s="98">
        <f t="shared" si="34"/>
        <v>183.72</v>
      </c>
      <c r="G146" s="99">
        <f t="shared" si="34"/>
        <v>1261.96</v>
      </c>
      <c r="H146" s="76"/>
      <c r="I146" s="8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52"/>
      <c r="AM146" s="152"/>
      <c r="AN146" s="152"/>
      <c r="AO146" s="152"/>
      <c r="AP146" s="152"/>
      <c r="AQ146" s="152"/>
      <c r="AR146" s="152"/>
      <c r="AS146" s="152"/>
      <c r="AT146" s="152"/>
      <c r="AU146" s="152"/>
      <c r="AV146" s="152"/>
      <c r="AW146" s="152"/>
      <c r="AX146" s="152"/>
      <c r="AY146" s="152"/>
      <c r="AZ146" s="152"/>
      <c r="BA146" s="152"/>
      <c r="BB146" s="152"/>
      <c r="BC146" s="152"/>
      <c r="BD146" s="152"/>
      <c r="BE146" s="152"/>
      <c r="BF146" s="152"/>
    </row>
    <row r="147" s="1" customFormat="1" customHeight="1" spans="1:58">
      <c r="A147" s="100"/>
      <c r="B147" s="101"/>
      <c r="C147" s="106"/>
      <c r="D147" s="171"/>
      <c r="E147" s="171"/>
      <c r="F147" s="171"/>
      <c r="G147" s="171"/>
      <c r="H147" s="76"/>
      <c r="I147" s="8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W147" s="152"/>
      <c r="X147" s="152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  <c r="BD147" s="152"/>
      <c r="BE147" s="152"/>
      <c r="BF147" s="152"/>
    </row>
    <row r="148" ht="17.25" customHeight="1" spans="1:17">
      <c r="A148" s="213"/>
      <c r="B148" s="109" t="s">
        <v>58</v>
      </c>
      <c r="C148" s="109"/>
      <c r="D148" s="109"/>
      <c r="E148" s="109"/>
      <c r="F148" s="109"/>
      <c r="G148" s="109"/>
      <c r="H148" s="76"/>
      <c r="I148" s="8"/>
      <c r="J148" s="7"/>
      <c r="K148" s="3"/>
      <c r="L148" s="3"/>
      <c r="M148" s="3"/>
      <c r="N148" s="3"/>
      <c r="O148" s="3"/>
      <c r="P148" s="3"/>
      <c r="Q148" s="3"/>
    </row>
    <row r="149" ht="17.25" customHeight="1" spans="1:17">
      <c r="A149" s="172" t="s">
        <v>13</v>
      </c>
      <c r="B149" s="173"/>
      <c r="C149" s="110"/>
      <c r="D149" s="174"/>
      <c r="E149" s="174"/>
      <c r="F149" s="174"/>
      <c r="G149" s="174"/>
      <c r="H149" s="76"/>
      <c r="I149" s="8"/>
      <c r="J149" s="7"/>
      <c r="K149" s="3"/>
      <c r="L149" s="3"/>
      <c r="M149" s="3"/>
      <c r="N149" s="3"/>
      <c r="O149" s="3"/>
      <c r="P149" s="3"/>
      <c r="Q149" s="3"/>
    </row>
    <row r="150" s="1" customFormat="1" customHeight="1" spans="1:58">
      <c r="A150" s="196"/>
      <c r="B150" s="176" t="s">
        <v>199</v>
      </c>
      <c r="C150" s="83">
        <v>100</v>
      </c>
      <c r="D150" s="84">
        <v>0.1</v>
      </c>
      <c r="E150" s="85">
        <v>0.03</v>
      </c>
      <c r="F150" s="86">
        <v>1.1</v>
      </c>
      <c r="G150" s="52">
        <f t="shared" ref="G150:G154" si="35">(D150*4)+(E150*9)+(F150*4)</f>
        <v>5.07</v>
      </c>
      <c r="H150" s="197" t="s">
        <v>65</v>
      </c>
      <c r="I150" s="8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  <c r="BD150" s="152"/>
      <c r="BE150" s="152"/>
      <c r="BF150" s="152"/>
    </row>
    <row r="151" s="1" customFormat="1" customHeight="1" spans="1:58">
      <c r="A151" s="61"/>
      <c r="B151" s="55" t="s">
        <v>200</v>
      </c>
      <c r="C151" s="56">
        <v>200</v>
      </c>
      <c r="D151" s="57">
        <v>21.58</v>
      </c>
      <c r="E151" s="58">
        <v>8.71</v>
      </c>
      <c r="F151" s="59">
        <v>38.57</v>
      </c>
      <c r="G151" s="52">
        <f t="shared" si="35"/>
        <v>318.99</v>
      </c>
      <c r="H151" s="62" t="s">
        <v>125</v>
      </c>
      <c r="I151" s="8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52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  <c r="BD151" s="152"/>
      <c r="BE151" s="152"/>
      <c r="BF151" s="152"/>
    </row>
    <row r="152" s="1" customFormat="1" customHeight="1" spans="1:58">
      <c r="A152" s="61"/>
      <c r="B152" s="177" t="s">
        <v>201</v>
      </c>
      <c r="C152" s="56">
        <v>30</v>
      </c>
      <c r="D152" s="57">
        <v>0.57</v>
      </c>
      <c r="E152" s="58">
        <v>1.23</v>
      </c>
      <c r="F152" s="59">
        <v>2.26</v>
      </c>
      <c r="G152" s="52">
        <f t="shared" si="35"/>
        <v>22.39</v>
      </c>
      <c r="H152" s="62" t="s">
        <v>202</v>
      </c>
      <c r="I152" s="8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  <c r="BD152" s="152"/>
      <c r="BE152" s="152"/>
      <c r="BF152" s="152"/>
    </row>
    <row r="153" s="1" customFormat="1" customHeight="1" spans="1:58">
      <c r="A153" s="61"/>
      <c r="B153" s="177" t="s">
        <v>84</v>
      </c>
      <c r="C153" s="56">
        <v>200</v>
      </c>
      <c r="D153" s="57">
        <v>5.71</v>
      </c>
      <c r="E153" s="58">
        <v>4.8</v>
      </c>
      <c r="F153" s="59">
        <v>20.82</v>
      </c>
      <c r="G153" s="52">
        <f t="shared" si="35"/>
        <v>149.32</v>
      </c>
      <c r="H153" s="62" t="s">
        <v>127</v>
      </c>
      <c r="I153" s="8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52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  <c r="BD153" s="152"/>
      <c r="BE153" s="152"/>
      <c r="BF153" s="152"/>
    </row>
    <row r="154" s="1" customFormat="1" customHeight="1" spans="1:58">
      <c r="A154" s="88"/>
      <c r="B154" s="178" t="s">
        <v>22</v>
      </c>
      <c r="C154" s="194">
        <v>50</v>
      </c>
      <c r="D154" s="91">
        <v>1.58</v>
      </c>
      <c r="E154" s="92">
        <v>0.2</v>
      </c>
      <c r="F154" s="93">
        <v>9.66</v>
      </c>
      <c r="G154" s="52">
        <f t="shared" si="35"/>
        <v>46.76</v>
      </c>
      <c r="H154" s="68" t="s">
        <v>23</v>
      </c>
      <c r="I154" s="8" t="s">
        <v>128</v>
      </c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W154" s="152"/>
      <c r="X154" s="152"/>
      <c r="Y154" s="152"/>
      <c r="Z154" s="152"/>
      <c r="AA154" s="152"/>
      <c r="AB154" s="152"/>
      <c r="AC154" s="152"/>
      <c r="AD154" s="152"/>
      <c r="AE154" s="152"/>
      <c r="AF154" s="152"/>
      <c r="AG154" s="152"/>
      <c r="AH154" s="152"/>
      <c r="AI154" s="152"/>
      <c r="AJ154" s="152"/>
      <c r="AK154" s="152"/>
      <c r="AL154" s="152"/>
      <c r="AM154" s="152"/>
      <c r="AN154" s="152"/>
      <c r="AO154" s="152"/>
      <c r="AP154" s="152"/>
      <c r="AQ154" s="152"/>
      <c r="AR154" s="152"/>
      <c r="AS154" s="152"/>
      <c r="AT154" s="152"/>
      <c r="AU154" s="152"/>
      <c r="AV154" s="152"/>
      <c r="AW154" s="152"/>
      <c r="AX154" s="152"/>
      <c r="AY154" s="152"/>
      <c r="AZ154" s="152"/>
      <c r="BA154" s="152"/>
      <c r="BB154" s="152"/>
      <c r="BC154" s="152"/>
      <c r="BD154" s="152"/>
      <c r="BE154" s="152"/>
      <c r="BF154" s="152"/>
    </row>
    <row r="155" s="1" customFormat="1" customHeight="1" spans="1:58">
      <c r="A155" s="120" t="s">
        <v>25</v>
      </c>
      <c r="B155" s="141"/>
      <c r="C155" s="209">
        <f>SUM(C150:C154)+40</f>
        <v>620</v>
      </c>
      <c r="D155" s="143">
        <f t="shared" ref="D155:G155" si="36">SUM(D150:D154)</f>
        <v>29.54</v>
      </c>
      <c r="E155" s="144">
        <f t="shared" si="36"/>
        <v>14.97</v>
      </c>
      <c r="F155" s="145">
        <f t="shared" si="36"/>
        <v>72.41</v>
      </c>
      <c r="G155" s="146">
        <f t="shared" si="36"/>
        <v>542.53</v>
      </c>
      <c r="H155" s="76"/>
      <c r="I155" s="7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W155" s="152"/>
      <c r="X155" s="152"/>
      <c r="Y155" s="152"/>
      <c r="Z155" s="152"/>
      <c r="AA155" s="152"/>
      <c r="AB155" s="152"/>
      <c r="AC155" s="152"/>
      <c r="AD155" s="152"/>
      <c r="AE155" s="152"/>
      <c r="AF155" s="152"/>
      <c r="AG155" s="152"/>
      <c r="AH155" s="152"/>
      <c r="AI155" s="152"/>
      <c r="AJ155" s="152"/>
      <c r="AK155" s="152"/>
      <c r="AL155" s="152"/>
      <c r="AM155" s="152"/>
      <c r="AN155" s="152"/>
      <c r="AO155" s="152"/>
      <c r="AP155" s="152"/>
      <c r="AQ155" s="152"/>
      <c r="AR155" s="152"/>
      <c r="AS155" s="152"/>
      <c r="AT155" s="152"/>
      <c r="AU155" s="15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</row>
    <row r="156" ht="17.25" customHeight="1" spans="1:17">
      <c r="A156" s="147" t="s">
        <v>26</v>
      </c>
      <c r="B156" s="124"/>
      <c r="C156" s="124"/>
      <c r="D156" s="79"/>
      <c r="E156" s="79"/>
      <c r="F156" s="80"/>
      <c r="G156" s="80"/>
      <c r="H156" s="76"/>
      <c r="I156" s="7"/>
      <c r="J156" s="153"/>
      <c r="K156" s="3"/>
      <c r="L156" s="3"/>
      <c r="M156" s="3"/>
      <c r="N156" s="3"/>
      <c r="O156" s="3"/>
      <c r="P156" s="3"/>
      <c r="Q156" s="3"/>
    </row>
    <row r="157" s="1" customFormat="1" customHeight="1" spans="1:58">
      <c r="A157" s="207"/>
      <c r="B157" s="82" t="s">
        <v>203</v>
      </c>
      <c r="C157" s="83">
        <v>250</v>
      </c>
      <c r="D157" s="84">
        <v>5.47</v>
      </c>
      <c r="E157" s="85">
        <v>5.25</v>
      </c>
      <c r="F157" s="86">
        <v>16.28</v>
      </c>
      <c r="G157" s="52">
        <f t="shared" ref="G157:G161" si="37">(D157*4)+(E157*9)+(F157*4)</f>
        <v>134.25</v>
      </c>
      <c r="H157" s="87" t="s">
        <v>130</v>
      </c>
      <c r="I157" s="8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W157" s="152"/>
      <c r="X157" s="152"/>
      <c r="Y157" s="152"/>
      <c r="Z157" s="152"/>
      <c r="AA157" s="152"/>
      <c r="AB157" s="152"/>
      <c r="AC157" s="152"/>
      <c r="AD157" s="152"/>
      <c r="AE157" s="152"/>
      <c r="AF157" s="152"/>
      <c r="AG157" s="152"/>
      <c r="AH157" s="152"/>
      <c r="AI157" s="152"/>
      <c r="AJ157" s="152"/>
      <c r="AK157" s="152"/>
      <c r="AL157" s="152"/>
      <c r="AM157" s="152"/>
      <c r="AN157" s="152"/>
      <c r="AO157" s="152"/>
      <c r="AP157" s="152"/>
      <c r="AQ157" s="152"/>
      <c r="AR157" s="152"/>
      <c r="AS157" s="152"/>
      <c r="AT157" s="152"/>
      <c r="AU157" s="152"/>
      <c r="AV157" s="152"/>
      <c r="AW157" s="152"/>
      <c r="AX157" s="152"/>
      <c r="AY157" s="152"/>
      <c r="AZ157" s="152"/>
      <c r="BA157" s="152"/>
      <c r="BB157" s="152"/>
      <c r="BC157" s="152"/>
      <c r="BD157" s="152"/>
      <c r="BE157" s="152"/>
      <c r="BF157" s="152"/>
    </row>
    <row r="158" s="1" customFormat="1" customHeight="1" spans="1:58">
      <c r="A158" s="61"/>
      <c r="B158" s="55" t="s">
        <v>131</v>
      </c>
      <c r="C158" s="56">
        <v>100</v>
      </c>
      <c r="D158" s="57">
        <v>7.61</v>
      </c>
      <c r="E158" s="58">
        <v>2.45</v>
      </c>
      <c r="F158" s="59">
        <v>5.33</v>
      </c>
      <c r="G158" s="52">
        <f t="shared" si="37"/>
        <v>73.81</v>
      </c>
      <c r="H158" s="62" t="s">
        <v>132</v>
      </c>
      <c r="I158" s="8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W158" s="152"/>
      <c r="X158" s="152"/>
      <c r="Y158" s="152"/>
      <c r="Z158" s="152"/>
      <c r="AA158" s="152"/>
      <c r="AB158" s="152"/>
      <c r="AC158" s="152"/>
      <c r="AD158" s="152"/>
      <c r="AE158" s="152"/>
      <c r="AF158" s="152"/>
      <c r="AG158" s="152"/>
      <c r="AH158" s="152"/>
      <c r="AI158" s="152"/>
      <c r="AJ158" s="152"/>
      <c r="AK158" s="152"/>
      <c r="AL158" s="152"/>
      <c r="AM158" s="152"/>
      <c r="AN158" s="152"/>
      <c r="AO158" s="152"/>
      <c r="AP158" s="152"/>
      <c r="AQ158" s="152"/>
      <c r="AR158" s="152"/>
      <c r="AS158" s="152"/>
      <c r="AT158" s="152"/>
      <c r="AU158" s="152"/>
      <c r="AV158" s="152"/>
      <c r="AW158" s="152"/>
      <c r="AX158" s="152"/>
      <c r="AY158" s="152"/>
      <c r="AZ158" s="152"/>
      <c r="BA158" s="152"/>
      <c r="BB158" s="152"/>
      <c r="BC158" s="152"/>
      <c r="BD158" s="152"/>
      <c r="BE158" s="152"/>
      <c r="BF158" s="152"/>
    </row>
    <row r="159" s="1" customFormat="1" customHeight="1" spans="1:58">
      <c r="A159" s="61"/>
      <c r="B159" s="55" t="s">
        <v>133</v>
      </c>
      <c r="C159" s="56">
        <v>200</v>
      </c>
      <c r="D159" s="57">
        <v>3.05</v>
      </c>
      <c r="E159" s="58">
        <v>4.17</v>
      </c>
      <c r="F159" s="59">
        <v>24.8</v>
      </c>
      <c r="G159" s="52">
        <f t="shared" si="37"/>
        <v>148.93</v>
      </c>
      <c r="H159" s="62" t="s">
        <v>134</v>
      </c>
      <c r="I159" s="8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W159" s="152"/>
      <c r="X159" s="152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52"/>
      <c r="AM159" s="152"/>
      <c r="AN159" s="152"/>
      <c r="AO159" s="152"/>
      <c r="AP159" s="152"/>
      <c r="AQ159" s="152"/>
      <c r="AR159" s="152"/>
      <c r="AS159" s="152"/>
      <c r="AT159" s="152"/>
      <c r="AU159" s="152"/>
      <c r="AV159" s="152"/>
      <c r="AW159" s="152"/>
      <c r="AX159" s="152"/>
      <c r="AY159" s="152"/>
      <c r="AZ159" s="152"/>
      <c r="BA159" s="152"/>
      <c r="BB159" s="152"/>
      <c r="BC159" s="152"/>
      <c r="BD159" s="152"/>
      <c r="BE159" s="152"/>
      <c r="BF159" s="152"/>
    </row>
    <row r="160" s="1" customFormat="1" customHeight="1" spans="1:58">
      <c r="A160" s="54"/>
      <c r="B160" s="55" t="s">
        <v>91</v>
      </c>
      <c r="C160" s="56">
        <v>100</v>
      </c>
      <c r="D160" s="57">
        <v>0.34</v>
      </c>
      <c r="E160" s="58">
        <v>0.04</v>
      </c>
      <c r="F160" s="59">
        <v>0.68</v>
      </c>
      <c r="G160" s="52">
        <f t="shared" si="37"/>
        <v>4.44</v>
      </c>
      <c r="H160" s="60" t="s">
        <v>92</v>
      </c>
      <c r="I160" s="8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52"/>
      <c r="AM160" s="152"/>
      <c r="AN160" s="152"/>
      <c r="AO160" s="152"/>
      <c r="AP160" s="152"/>
      <c r="AQ160" s="152"/>
      <c r="AR160" s="152"/>
      <c r="AS160" s="152"/>
      <c r="AT160" s="152"/>
      <c r="AU160" s="152"/>
      <c r="AV160" s="152"/>
      <c r="AW160" s="152"/>
      <c r="AX160" s="152"/>
      <c r="AY160" s="152"/>
      <c r="AZ160" s="152"/>
      <c r="BA160" s="152"/>
      <c r="BB160" s="152"/>
      <c r="BC160" s="152"/>
      <c r="BD160" s="152"/>
      <c r="BE160" s="152"/>
      <c r="BF160" s="152"/>
    </row>
    <row r="161" s="1" customFormat="1" customHeight="1" spans="1:58">
      <c r="A161" s="88"/>
      <c r="B161" s="89" t="s">
        <v>38</v>
      </c>
      <c r="C161" s="90">
        <v>200</v>
      </c>
      <c r="D161" s="91">
        <v>0.13</v>
      </c>
      <c r="E161" s="92">
        <v>0.04</v>
      </c>
      <c r="F161" s="93">
        <v>27.3</v>
      </c>
      <c r="G161" s="52">
        <f t="shared" si="37"/>
        <v>110.08</v>
      </c>
      <c r="H161" s="68" t="s">
        <v>123</v>
      </c>
      <c r="I161" s="8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W161" s="152"/>
      <c r="X161" s="152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2"/>
      <c r="AY161" s="152"/>
      <c r="AZ161" s="152"/>
      <c r="BA161" s="152"/>
      <c r="BB161" s="152"/>
      <c r="BC161" s="152"/>
      <c r="BD161" s="152"/>
      <c r="BE161" s="152"/>
      <c r="BF161" s="152"/>
    </row>
    <row r="162" s="1" customFormat="1" customHeight="1" spans="1:58">
      <c r="A162" s="126" t="s">
        <v>25</v>
      </c>
      <c r="B162" s="70"/>
      <c r="C162" s="214">
        <f>SUM(C157:C161)</f>
        <v>850</v>
      </c>
      <c r="D162" s="200">
        <f t="shared" ref="D162:G162" si="38">SUM(D157:D161)</f>
        <v>16.6</v>
      </c>
      <c r="E162" s="201">
        <f t="shared" si="38"/>
        <v>11.95</v>
      </c>
      <c r="F162" s="202">
        <f t="shared" si="38"/>
        <v>74.39</v>
      </c>
      <c r="G162" s="203">
        <f t="shared" si="38"/>
        <v>471.51</v>
      </c>
      <c r="H162" s="76"/>
      <c r="I162" s="8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W162" s="152"/>
      <c r="X162" s="152"/>
      <c r="Y162" s="152"/>
      <c r="Z162" s="152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  <c r="BD162" s="152"/>
      <c r="BE162" s="152"/>
      <c r="BF162" s="152"/>
    </row>
    <row r="163" s="1" customFormat="1" customHeight="1" spans="1:58">
      <c r="A163" s="128" t="s">
        <v>40</v>
      </c>
      <c r="B163" s="129"/>
      <c r="C163" s="215">
        <f>C162+C155</f>
        <v>1470</v>
      </c>
      <c r="D163" s="96">
        <f t="shared" ref="D163:G163" si="39">D162+D155</f>
        <v>46.14</v>
      </c>
      <c r="E163" s="97">
        <f t="shared" si="39"/>
        <v>26.92</v>
      </c>
      <c r="F163" s="98">
        <f t="shared" si="39"/>
        <v>146.8</v>
      </c>
      <c r="G163" s="99">
        <f t="shared" si="39"/>
        <v>1014.04</v>
      </c>
      <c r="H163" s="76"/>
      <c r="I163" s="153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W163" s="152"/>
      <c r="X163" s="152"/>
      <c r="Y163" s="152"/>
      <c r="Z163" s="152"/>
      <c r="AA163" s="152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  <c r="BD163" s="152"/>
      <c r="BE163" s="152"/>
      <c r="BF163" s="152"/>
    </row>
    <row r="164" s="1" customFormat="1" customHeight="1" spans="1:58">
      <c r="A164" s="100"/>
      <c r="B164" s="101"/>
      <c r="C164" s="106"/>
      <c r="D164" s="171"/>
      <c r="E164" s="171"/>
      <c r="F164" s="171"/>
      <c r="G164" s="171"/>
      <c r="H164" s="76"/>
      <c r="I164" s="8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  <c r="BD164" s="152"/>
      <c r="BE164" s="152"/>
      <c r="BF164" s="152"/>
    </row>
    <row r="165" ht="17.25" customHeight="1" spans="1:17">
      <c r="A165" s="134"/>
      <c r="B165" s="109" t="s">
        <v>79</v>
      </c>
      <c r="C165" s="109"/>
      <c r="D165" s="109"/>
      <c r="E165" s="109"/>
      <c r="F165" s="109"/>
      <c r="G165" s="109"/>
      <c r="H165" s="76"/>
      <c r="I165" s="8"/>
      <c r="J165" s="7"/>
      <c r="K165" s="3"/>
      <c r="L165" s="3"/>
      <c r="M165" s="3"/>
      <c r="N165" s="3"/>
      <c r="O165" s="3"/>
      <c r="P165" s="3"/>
      <c r="Q165" s="3"/>
    </row>
    <row r="166" ht="17.25" customHeight="1" spans="1:17">
      <c r="A166" s="172" t="s">
        <v>13</v>
      </c>
      <c r="B166" s="173"/>
      <c r="C166" s="110"/>
      <c r="D166" s="174"/>
      <c r="E166" s="174"/>
      <c r="F166" s="174"/>
      <c r="G166" s="174"/>
      <c r="H166" s="81"/>
      <c r="I166" s="8"/>
      <c r="J166" s="7"/>
      <c r="K166" s="3"/>
      <c r="L166" s="3"/>
      <c r="M166" s="3"/>
      <c r="N166" s="3"/>
      <c r="O166" s="3"/>
      <c r="P166" s="3"/>
      <c r="Q166" s="3"/>
    </row>
    <row r="167" s="1" customFormat="1" customHeight="1" spans="1:58">
      <c r="A167" s="196"/>
      <c r="B167" s="176" t="s">
        <v>199</v>
      </c>
      <c r="C167" s="83">
        <v>100</v>
      </c>
      <c r="D167" s="84">
        <v>0.1</v>
      </c>
      <c r="E167" s="85">
        <v>0.03</v>
      </c>
      <c r="F167" s="86">
        <v>1.1</v>
      </c>
      <c r="G167" s="52">
        <f t="shared" ref="G167:G172" si="40">(D167*4)+(E167*9)+(F167*4)</f>
        <v>5.07</v>
      </c>
      <c r="H167" s="197" t="s">
        <v>65</v>
      </c>
      <c r="I167" s="8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  <c r="W167" s="152"/>
      <c r="X167" s="152"/>
      <c r="Y167" s="152"/>
      <c r="Z167" s="152"/>
      <c r="AA167" s="152"/>
      <c r="AB167" s="152"/>
      <c r="AC167" s="152"/>
      <c r="AD167" s="152"/>
      <c r="AE167" s="152"/>
      <c r="AF167" s="152"/>
      <c r="AG167" s="152"/>
      <c r="AH167" s="152"/>
      <c r="AI167" s="152"/>
      <c r="AJ167" s="152"/>
      <c r="AK167" s="152"/>
      <c r="AL167" s="152"/>
      <c r="AM167" s="152"/>
      <c r="AN167" s="152"/>
      <c r="AO167" s="152"/>
      <c r="AP167" s="152"/>
      <c r="AQ167" s="152"/>
      <c r="AR167" s="152"/>
      <c r="AS167" s="152"/>
      <c r="AT167" s="152"/>
      <c r="AU167" s="152"/>
      <c r="AV167" s="152"/>
      <c r="AW167" s="152"/>
      <c r="AX167" s="152"/>
      <c r="AY167" s="152"/>
      <c r="AZ167" s="152"/>
      <c r="BA167" s="152"/>
      <c r="BB167" s="152"/>
      <c r="BC167" s="152"/>
      <c r="BD167" s="152"/>
      <c r="BE167" s="152"/>
      <c r="BF167" s="152"/>
    </row>
    <row r="168" s="1" customFormat="1" customHeight="1" spans="1:58">
      <c r="A168" s="61"/>
      <c r="B168" s="55" t="s">
        <v>204</v>
      </c>
      <c r="C168" s="56">
        <v>100</v>
      </c>
      <c r="D168" s="57">
        <v>12.27</v>
      </c>
      <c r="E168" s="58">
        <v>12.81</v>
      </c>
      <c r="F168" s="59">
        <v>11.97</v>
      </c>
      <c r="G168" s="52">
        <f t="shared" si="40"/>
        <v>212.25</v>
      </c>
      <c r="H168" s="62" t="s">
        <v>137</v>
      </c>
      <c r="I168" s="8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  <c r="W168" s="152"/>
      <c r="X168" s="152"/>
      <c r="Y168" s="152"/>
      <c r="Z168" s="152"/>
      <c r="AA168" s="152"/>
      <c r="AB168" s="152"/>
      <c r="AC168" s="152"/>
      <c r="AD168" s="152"/>
      <c r="AE168" s="152"/>
      <c r="AF168" s="152"/>
      <c r="AG168" s="152"/>
      <c r="AH168" s="152"/>
      <c r="AI168" s="152"/>
      <c r="AJ168" s="152"/>
      <c r="AK168" s="152"/>
      <c r="AL168" s="152"/>
      <c r="AM168" s="152"/>
      <c r="AN168" s="152"/>
      <c r="AO168" s="152"/>
      <c r="AP168" s="152"/>
      <c r="AQ168" s="152"/>
      <c r="AR168" s="152"/>
      <c r="AS168" s="152"/>
      <c r="AT168" s="152"/>
      <c r="AU168" s="152"/>
      <c r="AV168" s="152"/>
      <c r="AW168" s="152"/>
      <c r="AX168" s="152"/>
      <c r="AY168" s="152"/>
      <c r="AZ168" s="152"/>
      <c r="BA168" s="152"/>
      <c r="BB168" s="152"/>
      <c r="BC168" s="152"/>
      <c r="BD168" s="152"/>
      <c r="BE168" s="152"/>
      <c r="BF168" s="152"/>
    </row>
    <row r="169" s="1" customFormat="1" customHeight="1" spans="1:58">
      <c r="A169" s="61"/>
      <c r="B169" s="55" t="s">
        <v>98</v>
      </c>
      <c r="C169" s="56">
        <v>200</v>
      </c>
      <c r="D169" s="57">
        <v>8.69</v>
      </c>
      <c r="E169" s="58">
        <v>2.28</v>
      </c>
      <c r="F169" s="59">
        <v>39.4</v>
      </c>
      <c r="G169" s="52">
        <f t="shared" si="40"/>
        <v>212.88</v>
      </c>
      <c r="H169" s="62" t="s">
        <v>99</v>
      </c>
      <c r="I169" s="8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2"/>
      <c r="V169" s="152"/>
      <c r="W169" s="152"/>
      <c r="X169" s="152"/>
      <c r="Y169" s="152"/>
      <c r="Z169" s="152"/>
      <c r="AA169" s="152"/>
      <c r="AB169" s="152"/>
      <c r="AC169" s="152"/>
      <c r="AD169" s="152"/>
      <c r="AE169" s="152"/>
      <c r="AF169" s="152"/>
      <c r="AG169" s="152"/>
      <c r="AH169" s="152"/>
      <c r="AI169" s="152"/>
      <c r="AJ169" s="152"/>
      <c r="AK169" s="152"/>
      <c r="AL169" s="152"/>
      <c r="AM169" s="152"/>
      <c r="AN169" s="152"/>
      <c r="AO169" s="152"/>
      <c r="AP169" s="152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2"/>
      <c r="BE169" s="152"/>
      <c r="BF169" s="152"/>
    </row>
    <row r="170" s="1" customFormat="1" customHeight="1" spans="1:58">
      <c r="A170" s="61"/>
      <c r="B170" s="55" t="s">
        <v>84</v>
      </c>
      <c r="C170" s="56">
        <v>200</v>
      </c>
      <c r="D170" s="57">
        <v>3.9</v>
      </c>
      <c r="E170" s="58">
        <v>3</v>
      </c>
      <c r="F170" s="59">
        <v>17.28</v>
      </c>
      <c r="G170" s="52">
        <f t="shared" si="40"/>
        <v>111.72</v>
      </c>
      <c r="H170" s="62" t="s">
        <v>127</v>
      </c>
      <c r="I170" s="8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  <c r="AD170" s="152"/>
      <c r="AE170" s="152"/>
      <c r="AF170" s="152"/>
      <c r="AG170" s="152"/>
      <c r="AH170" s="152"/>
      <c r="AI170" s="152"/>
      <c r="AJ170" s="152"/>
      <c r="AK170" s="152"/>
      <c r="AL170" s="152"/>
      <c r="AM170" s="152"/>
      <c r="AN170" s="152"/>
      <c r="AO170" s="152"/>
      <c r="AP170" s="152"/>
      <c r="AQ170" s="152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2"/>
      <c r="BE170" s="152"/>
      <c r="BF170" s="152"/>
    </row>
    <row r="171" s="1" customFormat="1" ht="27.75" customHeight="1" spans="1:58">
      <c r="A171" s="61"/>
      <c r="B171" s="137" t="s">
        <v>180</v>
      </c>
      <c r="C171" s="56" t="s">
        <v>181</v>
      </c>
      <c r="D171" s="57">
        <v>0.08</v>
      </c>
      <c r="E171" s="58">
        <v>0</v>
      </c>
      <c r="F171" s="59">
        <v>12</v>
      </c>
      <c r="G171" s="52">
        <f t="shared" si="40"/>
        <v>48.32</v>
      </c>
      <c r="H171" s="62" t="s">
        <v>23</v>
      </c>
      <c r="I171" s="8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2"/>
      <c r="V171" s="152"/>
      <c r="W171" s="152"/>
      <c r="X171" s="152"/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52"/>
      <c r="AK171" s="152"/>
      <c r="AL171" s="152"/>
      <c r="AM171" s="152"/>
      <c r="AN171" s="152"/>
      <c r="AO171" s="152"/>
      <c r="AP171" s="152"/>
      <c r="AQ171" s="152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2"/>
      <c r="BE171" s="152"/>
      <c r="BF171" s="152"/>
    </row>
    <row r="172" s="1" customFormat="1" customHeight="1" spans="1:58">
      <c r="A172" s="88"/>
      <c r="B172" s="89" t="s">
        <v>22</v>
      </c>
      <c r="C172" s="194">
        <v>50</v>
      </c>
      <c r="D172" s="91">
        <v>3.04</v>
      </c>
      <c r="E172" s="92">
        <v>0.36</v>
      </c>
      <c r="F172" s="93">
        <v>18.48</v>
      </c>
      <c r="G172" s="52">
        <f t="shared" si="40"/>
        <v>89.32</v>
      </c>
      <c r="H172" s="68" t="s">
        <v>23</v>
      </c>
      <c r="I172" s="7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  <c r="W172" s="152"/>
      <c r="X172" s="152"/>
      <c r="Y172" s="152"/>
      <c r="Z172" s="152"/>
      <c r="AA172" s="152"/>
      <c r="AB172" s="152"/>
      <c r="AC172" s="152"/>
      <c r="AD172" s="152"/>
      <c r="AE172" s="152"/>
      <c r="AF172" s="152"/>
      <c r="AG172" s="152"/>
      <c r="AH172" s="152"/>
      <c r="AI172" s="152"/>
      <c r="AJ172" s="152"/>
      <c r="AK172" s="152"/>
      <c r="AL172" s="152"/>
      <c r="AM172" s="152"/>
      <c r="AN172" s="152"/>
      <c r="AO172" s="152"/>
      <c r="AP172" s="152"/>
      <c r="AQ172" s="152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2"/>
      <c r="BE172" s="152"/>
      <c r="BF172" s="152"/>
    </row>
    <row r="173" s="1" customFormat="1" customHeight="1" spans="1:58">
      <c r="A173" s="120" t="s">
        <v>25</v>
      </c>
      <c r="B173" s="141"/>
      <c r="C173" s="209">
        <f>SUM(C167:C172)+40</f>
        <v>690</v>
      </c>
      <c r="D173" s="143">
        <f t="shared" ref="D173:G173" si="41">SUM(D167:D172)</f>
        <v>28.08</v>
      </c>
      <c r="E173" s="144">
        <f t="shared" si="41"/>
        <v>18.48</v>
      </c>
      <c r="F173" s="145">
        <f t="shared" si="41"/>
        <v>100.23</v>
      </c>
      <c r="G173" s="146">
        <f t="shared" si="41"/>
        <v>679.56</v>
      </c>
      <c r="H173" s="76"/>
      <c r="I173" s="153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2"/>
      <c r="V173" s="152"/>
      <c r="W173" s="152"/>
      <c r="X173" s="152"/>
      <c r="Y173" s="152"/>
      <c r="Z173" s="152"/>
      <c r="AA173" s="152"/>
      <c r="AB173" s="152"/>
      <c r="AC173" s="152"/>
      <c r="AD173" s="152"/>
      <c r="AE173" s="152"/>
      <c r="AF173" s="152"/>
      <c r="AG173" s="152"/>
      <c r="AH173" s="152"/>
      <c r="AI173" s="152"/>
      <c r="AJ173" s="152"/>
      <c r="AK173" s="152"/>
      <c r="AL173" s="152"/>
      <c r="AM173" s="152"/>
      <c r="AN173" s="152"/>
      <c r="AO173" s="152"/>
      <c r="AP173" s="152"/>
      <c r="AQ173" s="152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2"/>
      <c r="BE173" s="152"/>
      <c r="BF173" s="152"/>
    </row>
    <row r="174" ht="17.25" customHeight="1" spans="1:17">
      <c r="A174" s="147" t="s">
        <v>26</v>
      </c>
      <c r="B174" s="124"/>
      <c r="C174" s="124"/>
      <c r="D174" s="79"/>
      <c r="E174" s="79"/>
      <c r="F174" s="80"/>
      <c r="G174" s="80"/>
      <c r="H174" s="76"/>
      <c r="I174" s="8"/>
      <c r="J174" s="153"/>
      <c r="K174" s="3"/>
      <c r="L174" s="3"/>
      <c r="M174" s="3"/>
      <c r="N174" s="3"/>
      <c r="O174" s="3"/>
      <c r="P174" s="3"/>
      <c r="Q174" s="3"/>
    </row>
    <row r="175" s="1" customFormat="1" customHeight="1" spans="1:58">
      <c r="A175" s="196"/>
      <c r="B175" s="82" t="s">
        <v>103</v>
      </c>
      <c r="C175" s="83">
        <v>250</v>
      </c>
      <c r="D175" s="84">
        <v>4.82</v>
      </c>
      <c r="E175" s="85">
        <v>4.9</v>
      </c>
      <c r="F175" s="86">
        <v>12.72</v>
      </c>
      <c r="G175" s="52">
        <f t="shared" ref="G175:G179" si="42">(D175*4)+(E175*9)+(F175*4)</f>
        <v>114.26</v>
      </c>
      <c r="H175" s="197" t="s">
        <v>104</v>
      </c>
      <c r="I175" s="8" t="s">
        <v>205</v>
      </c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52"/>
      <c r="AI175" s="152"/>
      <c r="AJ175" s="152"/>
      <c r="AK175" s="152"/>
      <c r="AL175" s="152"/>
      <c r="AM175" s="152"/>
      <c r="AN175" s="152"/>
      <c r="AO175" s="152"/>
      <c r="AP175" s="152"/>
      <c r="AQ175" s="152"/>
      <c r="AR175" s="152"/>
      <c r="AS175" s="152"/>
      <c r="AT175" s="152"/>
      <c r="AU175" s="152"/>
      <c r="AV175" s="152"/>
      <c r="AW175" s="152"/>
      <c r="AX175" s="152"/>
      <c r="AY175" s="152"/>
      <c r="AZ175" s="152"/>
      <c r="BA175" s="152"/>
      <c r="BB175" s="152"/>
      <c r="BC175" s="152"/>
      <c r="BD175" s="152"/>
      <c r="BE175" s="152"/>
      <c r="BF175" s="152"/>
    </row>
    <row r="176" s="1" customFormat="1" customHeight="1" spans="1:58">
      <c r="A176" s="61"/>
      <c r="B176" s="55" t="s">
        <v>206</v>
      </c>
      <c r="C176" s="56">
        <v>250</v>
      </c>
      <c r="D176" s="57">
        <v>12.6</v>
      </c>
      <c r="E176" s="58">
        <v>10.3</v>
      </c>
      <c r="F176" s="59">
        <v>20.37</v>
      </c>
      <c r="G176" s="52">
        <f t="shared" si="42"/>
        <v>224.58</v>
      </c>
      <c r="H176" s="62" t="s">
        <v>140</v>
      </c>
      <c r="I176" s="8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2"/>
      <c r="V176" s="152"/>
      <c r="W176" s="152"/>
      <c r="X176" s="152"/>
      <c r="Y176" s="152"/>
      <c r="Z176" s="152"/>
      <c r="AA176" s="152"/>
      <c r="AB176" s="152"/>
      <c r="AC176" s="152"/>
      <c r="AD176" s="152"/>
      <c r="AE176" s="152"/>
      <c r="AF176" s="152"/>
      <c r="AG176" s="152"/>
      <c r="AH176" s="152"/>
      <c r="AI176" s="152"/>
      <c r="AJ176" s="152"/>
      <c r="AK176" s="152"/>
      <c r="AL176" s="152"/>
      <c r="AM176" s="152"/>
      <c r="AN176" s="152"/>
      <c r="AO176" s="152"/>
      <c r="AP176" s="152"/>
      <c r="AQ176" s="152"/>
      <c r="AR176" s="152"/>
      <c r="AS176" s="152"/>
      <c r="AT176" s="152"/>
      <c r="AU176" s="152"/>
      <c r="AV176" s="152"/>
      <c r="AW176" s="152"/>
      <c r="AX176" s="152"/>
      <c r="AY176" s="152"/>
      <c r="AZ176" s="152"/>
      <c r="BA176" s="152"/>
      <c r="BB176" s="152"/>
      <c r="BC176" s="152"/>
      <c r="BD176" s="152"/>
      <c r="BE176" s="152"/>
      <c r="BF176" s="152"/>
    </row>
    <row r="177" s="1" customFormat="1" customHeight="1" spans="1:58">
      <c r="A177" s="61"/>
      <c r="B177" s="55" t="s">
        <v>179</v>
      </c>
      <c r="C177" s="56">
        <v>100</v>
      </c>
      <c r="D177" s="57">
        <v>0.8</v>
      </c>
      <c r="E177" s="58">
        <v>0.05</v>
      </c>
      <c r="F177" s="59">
        <v>0.85</v>
      </c>
      <c r="G177" s="52">
        <f t="shared" si="42"/>
        <v>7.05</v>
      </c>
      <c r="H177" s="62" t="s">
        <v>65</v>
      </c>
      <c r="I177" s="8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2"/>
      <c r="V177" s="152"/>
      <c r="W177" s="152"/>
      <c r="X177" s="152"/>
      <c r="Y177" s="152"/>
      <c r="Z177" s="152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2"/>
      <c r="AY177" s="152"/>
      <c r="AZ177" s="152"/>
      <c r="BA177" s="152"/>
      <c r="BB177" s="152"/>
      <c r="BC177" s="152"/>
      <c r="BD177" s="152"/>
      <c r="BE177" s="152"/>
      <c r="BF177" s="152"/>
    </row>
    <row r="178" s="1" customFormat="1" customHeight="1" spans="1:58">
      <c r="A178" s="61"/>
      <c r="B178" s="55" t="s">
        <v>36</v>
      </c>
      <c r="C178" s="56" t="s">
        <v>174</v>
      </c>
      <c r="D178" s="57">
        <v>3.16</v>
      </c>
      <c r="E178" s="58">
        <v>0.4</v>
      </c>
      <c r="F178" s="59">
        <v>19.6</v>
      </c>
      <c r="G178" s="52">
        <f t="shared" si="42"/>
        <v>94.64</v>
      </c>
      <c r="H178" s="62" t="s">
        <v>23</v>
      </c>
      <c r="I178" s="8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2"/>
      <c r="V178" s="152"/>
      <c r="W178" s="152"/>
      <c r="X178" s="152"/>
      <c r="Y178" s="152"/>
      <c r="Z178" s="152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2"/>
      <c r="AY178" s="152"/>
      <c r="AZ178" s="152"/>
      <c r="BA178" s="152"/>
      <c r="BB178" s="152"/>
      <c r="BC178" s="152"/>
      <c r="BD178" s="152"/>
      <c r="BE178" s="152"/>
      <c r="BF178" s="152"/>
    </row>
    <row r="179" s="1" customFormat="1" customHeight="1" spans="1:58">
      <c r="A179" s="88"/>
      <c r="B179" s="89" t="s">
        <v>207</v>
      </c>
      <c r="C179" s="90">
        <v>200</v>
      </c>
      <c r="D179" s="91">
        <v>0.43</v>
      </c>
      <c r="E179" s="92">
        <v>0.02</v>
      </c>
      <c r="F179" s="93">
        <v>27.6</v>
      </c>
      <c r="G179" s="52">
        <f t="shared" si="42"/>
        <v>112.3</v>
      </c>
      <c r="H179" s="68" t="s">
        <v>141</v>
      </c>
      <c r="I179" s="8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2"/>
      <c r="V179" s="152"/>
      <c r="W179" s="152"/>
      <c r="X179" s="152"/>
      <c r="Y179" s="152"/>
      <c r="Z179" s="152"/>
      <c r="AA179" s="152"/>
      <c r="AB179" s="152"/>
      <c r="AC179" s="152"/>
      <c r="AD179" s="152"/>
      <c r="AE179" s="152"/>
      <c r="AF179" s="152"/>
      <c r="AG179" s="152"/>
      <c r="AH179" s="152"/>
      <c r="AI179" s="152"/>
      <c r="AJ179" s="152"/>
      <c r="AK179" s="152"/>
      <c r="AL179" s="152"/>
      <c r="AM179" s="152"/>
      <c r="AN179" s="152"/>
      <c r="AO179" s="152"/>
      <c r="AP179" s="152"/>
      <c r="AQ179" s="152"/>
      <c r="AR179" s="152"/>
      <c r="AS179" s="152"/>
      <c r="AT179" s="152"/>
      <c r="AU179" s="152"/>
      <c r="AV179" s="152"/>
      <c r="AW179" s="152"/>
      <c r="AX179" s="152"/>
      <c r="AY179" s="152"/>
      <c r="AZ179" s="152"/>
      <c r="BA179" s="152"/>
      <c r="BB179" s="152"/>
      <c r="BC179" s="152"/>
      <c r="BD179" s="152"/>
      <c r="BE179" s="152"/>
      <c r="BF179" s="152"/>
    </row>
    <row r="180" s="1" customFormat="1" customHeight="1" spans="1:58">
      <c r="A180" s="126" t="s">
        <v>25</v>
      </c>
      <c r="B180" s="70"/>
      <c r="C180" s="182">
        <f>SUM(C175:C179)+100</f>
        <v>900</v>
      </c>
      <c r="D180" s="72">
        <f t="shared" ref="D180:G180" si="43">SUM(D175:D179)</f>
        <v>21.81</v>
      </c>
      <c r="E180" s="73">
        <f t="shared" si="43"/>
        <v>15.67</v>
      </c>
      <c r="F180" s="74">
        <f t="shared" si="43"/>
        <v>81.14</v>
      </c>
      <c r="G180" s="75">
        <f t="shared" si="43"/>
        <v>552.83</v>
      </c>
      <c r="H180" s="76"/>
      <c r="I180" s="8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2"/>
      <c r="V180" s="152"/>
      <c r="W180" s="152"/>
      <c r="X180" s="152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52"/>
      <c r="AM180" s="152"/>
      <c r="AN180" s="152"/>
      <c r="AO180" s="152"/>
      <c r="AP180" s="152"/>
      <c r="AQ180" s="152"/>
      <c r="AR180" s="152"/>
      <c r="AS180" s="152"/>
      <c r="AT180" s="152"/>
      <c r="AU180" s="152"/>
      <c r="AV180" s="152"/>
      <c r="AW180" s="152"/>
      <c r="AX180" s="152"/>
      <c r="AY180" s="152"/>
      <c r="AZ180" s="152"/>
      <c r="BA180" s="152"/>
      <c r="BB180" s="152"/>
      <c r="BC180" s="152"/>
      <c r="BD180" s="152"/>
      <c r="BE180" s="152"/>
      <c r="BF180" s="152"/>
    </row>
    <row r="181" s="1" customFormat="1" customHeight="1" spans="1:58">
      <c r="A181" s="128" t="s">
        <v>40</v>
      </c>
      <c r="B181" s="129"/>
      <c r="C181" s="95">
        <f>C180+C173</f>
        <v>1590</v>
      </c>
      <c r="D181" s="96">
        <f t="shared" ref="D181:G181" si="44">D180+D173</f>
        <v>49.89</v>
      </c>
      <c r="E181" s="97">
        <f t="shared" si="44"/>
        <v>34.15</v>
      </c>
      <c r="F181" s="98">
        <f t="shared" si="44"/>
        <v>181.37</v>
      </c>
      <c r="G181" s="99">
        <f t="shared" si="44"/>
        <v>1232.39</v>
      </c>
      <c r="H181" s="76"/>
      <c r="I181" s="8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2"/>
      <c r="V181" s="152"/>
      <c r="W181" s="152"/>
      <c r="X181" s="152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52"/>
      <c r="AM181" s="152"/>
      <c r="AN181" s="152"/>
      <c r="AO181" s="152"/>
      <c r="AP181" s="152"/>
      <c r="AQ181" s="152"/>
      <c r="AR181" s="152"/>
      <c r="AS181" s="152"/>
      <c r="AT181" s="152"/>
      <c r="AU181" s="152"/>
      <c r="AV181" s="152"/>
      <c r="AW181" s="152"/>
      <c r="AX181" s="152"/>
      <c r="AY181" s="152"/>
      <c r="AZ181" s="152"/>
      <c r="BA181" s="152"/>
      <c r="BB181" s="152"/>
      <c r="BC181" s="152"/>
      <c r="BD181" s="152"/>
      <c r="BE181" s="152"/>
      <c r="BF181" s="152"/>
    </row>
    <row r="182" s="1" customFormat="1" customHeight="1" spans="1:58">
      <c r="A182" s="100"/>
      <c r="B182" s="101"/>
      <c r="C182" s="106"/>
      <c r="D182" s="171"/>
      <c r="E182" s="171"/>
      <c r="F182" s="171"/>
      <c r="G182" s="171"/>
      <c r="H182" s="76"/>
      <c r="I182" s="7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2"/>
      <c r="V182" s="152"/>
      <c r="W182" s="152"/>
      <c r="X182" s="152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52"/>
      <c r="AM182" s="152"/>
      <c r="AN182" s="152"/>
      <c r="AO182" s="152"/>
      <c r="AP182" s="152"/>
      <c r="AQ182" s="152"/>
      <c r="AR182" s="152"/>
      <c r="AS182" s="152"/>
      <c r="AT182" s="152"/>
      <c r="AU182" s="152"/>
      <c r="AV182" s="152"/>
      <c r="AW182" s="152"/>
      <c r="AX182" s="152"/>
      <c r="AY182" s="152"/>
      <c r="AZ182" s="152"/>
      <c r="BA182" s="152"/>
      <c r="BB182" s="152"/>
      <c r="BC182" s="152"/>
      <c r="BD182" s="152"/>
      <c r="BE182" s="152"/>
      <c r="BF182" s="152"/>
    </row>
    <row r="183" ht="17.25" customHeight="1" spans="1:17">
      <c r="A183" s="134"/>
      <c r="B183" s="109" t="s">
        <v>95</v>
      </c>
      <c r="C183" s="109"/>
      <c r="D183" s="109"/>
      <c r="E183" s="109"/>
      <c r="F183" s="109"/>
      <c r="G183" s="109"/>
      <c r="H183" s="76"/>
      <c r="I183" s="7"/>
      <c r="J183" s="7"/>
      <c r="K183" s="3"/>
      <c r="L183" s="3"/>
      <c r="M183" s="3"/>
      <c r="N183" s="3"/>
      <c r="O183" s="3"/>
      <c r="P183" s="3"/>
      <c r="Q183" s="3"/>
    </row>
    <row r="184" ht="17.25" customHeight="1" spans="1:17">
      <c r="A184" s="172" t="s">
        <v>13</v>
      </c>
      <c r="B184" s="173"/>
      <c r="C184" s="110"/>
      <c r="D184" s="174"/>
      <c r="E184" s="174"/>
      <c r="F184" s="174"/>
      <c r="G184" s="174"/>
      <c r="H184" s="76"/>
      <c r="I184" s="8"/>
      <c r="J184" s="7"/>
      <c r="K184" s="3"/>
      <c r="L184" s="3"/>
      <c r="M184" s="3"/>
      <c r="N184" s="3"/>
      <c r="O184" s="3"/>
      <c r="P184" s="3"/>
      <c r="Q184" s="3"/>
    </row>
    <row r="185" s="1" customFormat="1" customHeight="1" spans="1:58">
      <c r="A185" s="207"/>
      <c r="B185" s="82" t="s">
        <v>142</v>
      </c>
      <c r="C185" s="83">
        <v>205</v>
      </c>
      <c r="D185" s="84">
        <v>7.56</v>
      </c>
      <c r="E185" s="85">
        <v>8.14</v>
      </c>
      <c r="F185" s="86">
        <v>34.25</v>
      </c>
      <c r="G185" s="52">
        <f t="shared" ref="G185:G190" si="45">(D185*4)+(E185*9)+(F185*4)</f>
        <v>240.5</v>
      </c>
      <c r="H185" s="87" t="s">
        <v>143</v>
      </c>
      <c r="I185" s="8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2"/>
      <c r="V185" s="152"/>
      <c r="W185" s="152"/>
      <c r="X185" s="152"/>
      <c r="Y185" s="152"/>
      <c r="Z185" s="152"/>
      <c r="AA185" s="152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  <c r="AS185" s="152"/>
      <c r="AT185" s="152"/>
      <c r="AU185" s="152"/>
      <c r="AV185" s="152"/>
      <c r="AW185" s="152"/>
      <c r="AX185" s="152"/>
      <c r="AY185" s="152"/>
      <c r="AZ185" s="152"/>
      <c r="BA185" s="152"/>
      <c r="BB185" s="152"/>
      <c r="BC185" s="152"/>
      <c r="BD185" s="152"/>
      <c r="BE185" s="152"/>
      <c r="BF185" s="152"/>
    </row>
    <row r="186" s="1" customFormat="1" customHeight="1" spans="1:58">
      <c r="A186" s="61"/>
      <c r="B186" s="55" t="s">
        <v>144</v>
      </c>
      <c r="C186" s="56">
        <v>200</v>
      </c>
      <c r="D186" s="57">
        <v>0</v>
      </c>
      <c r="E186" s="58">
        <v>0</v>
      </c>
      <c r="F186" s="59">
        <v>11.98</v>
      </c>
      <c r="G186" s="52">
        <f t="shared" si="45"/>
        <v>47.92</v>
      </c>
      <c r="H186" s="62" t="s">
        <v>145</v>
      </c>
      <c r="I186" s="8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  <c r="AS186" s="152"/>
      <c r="AT186" s="152"/>
      <c r="AU186" s="152"/>
      <c r="AV186" s="152"/>
      <c r="AW186" s="152"/>
      <c r="AX186" s="152"/>
      <c r="AY186" s="152"/>
      <c r="AZ186" s="152"/>
      <c r="BA186" s="152"/>
      <c r="BB186" s="152"/>
      <c r="BC186" s="152"/>
      <c r="BD186" s="152"/>
      <c r="BE186" s="152"/>
      <c r="BF186" s="152"/>
    </row>
    <row r="187" s="1" customFormat="1" customHeight="1" spans="1:58">
      <c r="A187" s="61"/>
      <c r="B187" s="55" t="s">
        <v>20</v>
      </c>
      <c r="C187" s="56">
        <v>10</v>
      </c>
      <c r="D187" s="57">
        <v>0.08</v>
      </c>
      <c r="E187" s="58">
        <v>7.25</v>
      </c>
      <c r="F187" s="59">
        <v>0.13</v>
      </c>
      <c r="G187" s="52">
        <f t="shared" si="45"/>
        <v>66.09</v>
      </c>
      <c r="H187" s="62" t="s">
        <v>146</v>
      </c>
      <c r="I187" s="8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52"/>
      <c r="W187" s="152"/>
      <c r="X187" s="152"/>
      <c r="Y187" s="152"/>
      <c r="Z187" s="152"/>
      <c r="AA187" s="152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  <c r="BD187" s="152"/>
      <c r="BE187" s="152"/>
      <c r="BF187" s="152"/>
    </row>
    <row r="188" s="1" customFormat="1" customHeight="1" spans="1:58">
      <c r="A188" s="61"/>
      <c r="B188" s="55" t="s">
        <v>18</v>
      </c>
      <c r="C188" s="56">
        <v>10</v>
      </c>
      <c r="D188" s="57">
        <v>4.09</v>
      </c>
      <c r="E188" s="58">
        <v>4.6</v>
      </c>
      <c r="F188" s="59">
        <v>0.49</v>
      </c>
      <c r="G188" s="52">
        <f t="shared" si="45"/>
        <v>59.72</v>
      </c>
      <c r="H188" s="62" t="s">
        <v>147</v>
      </c>
      <c r="I188" s="8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52"/>
      <c r="X188" s="152"/>
      <c r="Y188" s="152"/>
      <c r="Z188" s="152"/>
      <c r="AA188" s="152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</row>
    <row r="189" s="1" customFormat="1" customHeight="1" spans="1:58">
      <c r="A189" s="61"/>
      <c r="B189" s="55" t="s">
        <v>22</v>
      </c>
      <c r="C189" s="191">
        <v>50</v>
      </c>
      <c r="D189" s="57">
        <v>3.04</v>
      </c>
      <c r="E189" s="58">
        <v>0.36</v>
      </c>
      <c r="F189" s="59">
        <v>18.48</v>
      </c>
      <c r="G189" s="52">
        <f t="shared" si="45"/>
        <v>89.32</v>
      </c>
      <c r="H189" s="62" t="s">
        <v>23</v>
      </c>
      <c r="I189" s="8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2"/>
      <c r="V189" s="152"/>
      <c r="W189" s="152"/>
      <c r="X189" s="152"/>
      <c r="Y189" s="152"/>
      <c r="Z189" s="152"/>
      <c r="AA189" s="152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  <c r="BD189" s="152"/>
      <c r="BE189" s="152"/>
      <c r="BF189" s="152"/>
    </row>
    <row r="190" s="1" customFormat="1" customHeight="1" spans="1:58">
      <c r="A190" s="181"/>
      <c r="B190" s="89" t="s">
        <v>24</v>
      </c>
      <c r="C190" s="90">
        <v>150</v>
      </c>
      <c r="D190" s="91">
        <v>0.6</v>
      </c>
      <c r="E190" s="92">
        <v>0.6</v>
      </c>
      <c r="F190" s="93">
        <v>14.7</v>
      </c>
      <c r="G190" s="52">
        <f t="shared" si="45"/>
        <v>66.6</v>
      </c>
      <c r="H190" s="179" t="s">
        <v>23</v>
      </c>
      <c r="I190" s="8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2"/>
      <c r="V190" s="152"/>
      <c r="W190" s="152"/>
      <c r="X190" s="152"/>
      <c r="Y190" s="152"/>
      <c r="Z190" s="152"/>
      <c r="AA190" s="152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  <c r="BD190" s="152"/>
      <c r="BE190" s="152"/>
      <c r="BF190" s="152"/>
    </row>
    <row r="191" s="1" customFormat="1" customHeight="1" spans="1:58">
      <c r="A191" s="120" t="s">
        <v>25</v>
      </c>
      <c r="B191" s="141"/>
      <c r="C191" s="209">
        <f>SUM(C185:C190)</f>
        <v>625</v>
      </c>
      <c r="D191" s="143">
        <f t="shared" ref="D191:G191" si="46">SUM(D185:D190)</f>
        <v>15.37</v>
      </c>
      <c r="E191" s="144">
        <f t="shared" si="46"/>
        <v>20.95</v>
      </c>
      <c r="F191" s="145">
        <f t="shared" si="46"/>
        <v>80.03</v>
      </c>
      <c r="G191" s="146">
        <f t="shared" si="46"/>
        <v>570.15</v>
      </c>
      <c r="H191" s="76"/>
      <c r="I191" s="153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2"/>
      <c r="V191" s="152"/>
      <c r="W191" s="152"/>
      <c r="X191" s="152"/>
      <c r="Y191" s="152"/>
      <c r="Z191" s="152"/>
      <c r="AA191" s="152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  <c r="BD191" s="152"/>
      <c r="BE191" s="152"/>
      <c r="BF191" s="152"/>
    </row>
    <row r="192" ht="17.25" customHeight="1" spans="1:17">
      <c r="A192" s="147" t="s">
        <v>26</v>
      </c>
      <c r="B192" s="124"/>
      <c r="C192" s="124"/>
      <c r="D192" s="79"/>
      <c r="E192" s="79"/>
      <c r="F192" s="80"/>
      <c r="G192" s="80"/>
      <c r="H192" s="76"/>
      <c r="I192" s="8"/>
      <c r="J192" s="153"/>
      <c r="K192" s="3"/>
      <c r="L192" s="3"/>
      <c r="M192" s="3"/>
      <c r="N192" s="3"/>
      <c r="O192" s="3"/>
      <c r="P192" s="3"/>
      <c r="Q192" s="3"/>
    </row>
    <row r="193" s="1" customFormat="1" customHeight="1" spans="1:58">
      <c r="A193" s="207"/>
      <c r="B193" s="82" t="s">
        <v>208</v>
      </c>
      <c r="C193" s="83">
        <v>250</v>
      </c>
      <c r="D193" s="84">
        <v>4.82</v>
      </c>
      <c r="E193" s="85">
        <v>4.9</v>
      </c>
      <c r="F193" s="86">
        <v>12.72</v>
      </c>
      <c r="G193" s="52">
        <f t="shared" ref="G193:G198" si="47">(D193*4)+(E193*9)+(F193*4)</f>
        <v>114.26</v>
      </c>
      <c r="H193" s="87" t="s">
        <v>71</v>
      </c>
      <c r="I193" s="8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2"/>
      <c r="V193" s="152"/>
      <c r="W193" s="152"/>
      <c r="X193" s="152"/>
      <c r="Y193" s="152"/>
      <c r="Z193" s="152"/>
      <c r="AA193" s="152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  <c r="BD193" s="152"/>
      <c r="BE193" s="152"/>
      <c r="BF193" s="152"/>
    </row>
    <row r="194" s="1" customFormat="1" customHeight="1" spans="1:58">
      <c r="A194" s="61"/>
      <c r="B194" s="55" t="s">
        <v>209</v>
      </c>
      <c r="C194" s="56">
        <v>100</v>
      </c>
      <c r="D194" s="57">
        <v>5.52</v>
      </c>
      <c r="E194" s="58">
        <v>5.27</v>
      </c>
      <c r="F194" s="59">
        <v>6.01</v>
      </c>
      <c r="G194" s="52">
        <f t="shared" si="47"/>
        <v>93.55</v>
      </c>
      <c r="H194" s="62" t="s">
        <v>151</v>
      </c>
      <c r="I194" s="8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2"/>
      <c r="V194" s="152"/>
      <c r="W194" s="152"/>
      <c r="X194" s="152"/>
      <c r="Y194" s="152"/>
      <c r="Z194" s="152"/>
      <c r="AA194" s="152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  <c r="BD194" s="152"/>
      <c r="BE194" s="152"/>
      <c r="BF194" s="152"/>
    </row>
    <row r="195" s="1" customFormat="1" customHeight="1" spans="1:58">
      <c r="A195" s="61"/>
      <c r="B195" s="55" t="s">
        <v>152</v>
      </c>
      <c r="C195" s="56">
        <v>200</v>
      </c>
      <c r="D195" s="57">
        <v>10.2</v>
      </c>
      <c r="E195" s="58">
        <v>7.3</v>
      </c>
      <c r="F195" s="59">
        <v>46.3</v>
      </c>
      <c r="G195" s="52">
        <f t="shared" si="47"/>
        <v>291.7</v>
      </c>
      <c r="H195" s="62" t="s">
        <v>99</v>
      </c>
      <c r="I195" s="8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2"/>
      <c r="V195" s="152"/>
      <c r="W195" s="152"/>
      <c r="X195" s="152"/>
      <c r="Y195" s="152"/>
      <c r="Z195" s="152"/>
      <c r="AA195" s="152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  <c r="BD195" s="152"/>
      <c r="BE195" s="152"/>
      <c r="BF195" s="152"/>
    </row>
    <row r="196" s="1" customFormat="1" customHeight="1" spans="1:58">
      <c r="A196" s="61"/>
      <c r="B196" s="55" t="s">
        <v>34</v>
      </c>
      <c r="C196" s="56">
        <v>100</v>
      </c>
      <c r="D196" s="57">
        <v>1</v>
      </c>
      <c r="E196" s="58">
        <v>4.5</v>
      </c>
      <c r="F196" s="59">
        <v>4.25</v>
      </c>
      <c r="G196" s="52">
        <f t="shared" si="47"/>
        <v>61.5</v>
      </c>
      <c r="H196" s="62" t="s">
        <v>153</v>
      </c>
      <c r="I196" s="8"/>
      <c r="J196" s="152"/>
      <c r="K196" s="152"/>
      <c r="L196" s="152"/>
      <c r="M196" s="152"/>
      <c r="N196" s="152"/>
      <c r="O196" s="152"/>
      <c r="P196" s="152"/>
      <c r="Q196" s="152"/>
      <c r="R196" s="152"/>
      <c r="S196" s="152"/>
      <c r="T196" s="152"/>
      <c r="U196" s="152"/>
      <c r="V196" s="152"/>
      <c r="W196" s="152"/>
      <c r="X196" s="152"/>
      <c r="Y196" s="152"/>
      <c r="Z196" s="152"/>
      <c r="AA196" s="152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  <c r="BD196" s="152"/>
      <c r="BE196" s="152"/>
      <c r="BF196" s="152"/>
    </row>
    <row r="197" s="1" customFormat="1" customHeight="1" spans="1:58">
      <c r="A197" s="61"/>
      <c r="B197" s="55" t="s">
        <v>36</v>
      </c>
      <c r="C197" s="56" t="s">
        <v>174</v>
      </c>
      <c r="D197" s="57">
        <v>3.95</v>
      </c>
      <c r="E197" s="58">
        <v>0.5</v>
      </c>
      <c r="F197" s="59">
        <v>24.15</v>
      </c>
      <c r="G197" s="52">
        <f t="shared" si="47"/>
        <v>116.9</v>
      </c>
      <c r="H197" s="62" t="s">
        <v>23</v>
      </c>
      <c r="I197" s="8"/>
      <c r="J197" s="152"/>
      <c r="K197" s="152"/>
      <c r="L197" s="152"/>
      <c r="M197" s="152"/>
      <c r="N197" s="152"/>
      <c r="O197" s="152"/>
      <c r="P197" s="152"/>
      <c r="Q197" s="152"/>
      <c r="R197" s="152"/>
      <c r="S197" s="152"/>
      <c r="T197" s="152"/>
      <c r="U197" s="152"/>
      <c r="V197" s="152"/>
      <c r="W197" s="152"/>
      <c r="X197" s="152"/>
      <c r="Y197" s="152"/>
      <c r="Z197" s="152"/>
      <c r="AA197" s="152"/>
      <c r="AB197" s="152"/>
      <c r="AC197" s="152"/>
      <c r="AD197" s="152"/>
      <c r="AE197" s="152"/>
      <c r="AF197" s="152"/>
      <c r="AG197" s="152"/>
      <c r="AH197" s="152"/>
      <c r="AI197" s="152"/>
      <c r="AJ197" s="152"/>
      <c r="AK197" s="152"/>
      <c r="AL197" s="152"/>
      <c r="AM197" s="152"/>
      <c r="AN197" s="152"/>
      <c r="AO197" s="152"/>
      <c r="AP197" s="152"/>
      <c r="AQ197" s="152"/>
      <c r="AR197" s="152"/>
      <c r="AS197" s="152"/>
      <c r="AT197" s="152"/>
      <c r="AU197" s="152"/>
      <c r="AV197" s="152"/>
      <c r="AW197" s="152"/>
      <c r="AX197" s="152"/>
      <c r="AY197" s="152"/>
      <c r="AZ197" s="152"/>
      <c r="BA197" s="152"/>
      <c r="BB197" s="152"/>
      <c r="BC197" s="152"/>
      <c r="BD197" s="152"/>
      <c r="BE197" s="152"/>
      <c r="BF197" s="152"/>
    </row>
    <row r="198" s="1" customFormat="1" customHeight="1" spans="1:58">
      <c r="A198" s="88"/>
      <c r="B198" s="89" t="s">
        <v>93</v>
      </c>
      <c r="C198" s="90">
        <v>200</v>
      </c>
      <c r="D198" s="91">
        <v>0.14</v>
      </c>
      <c r="E198" s="92">
        <v>0.04</v>
      </c>
      <c r="F198" s="93">
        <v>27.3</v>
      </c>
      <c r="G198" s="52">
        <f t="shared" si="47"/>
        <v>110.12</v>
      </c>
      <c r="H198" s="68" t="s">
        <v>154</v>
      </c>
      <c r="I198" s="8"/>
      <c r="J198" s="152"/>
      <c r="K198" s="152"/>
      <c r="L198" s="152"/>
      <c r="M198" s="152"/>
      <c r="N198" s="152"/>
      <c r="O198" s="152"/>
      <c r="P198" s="152"/>
      <c r="Q198" s="152"/>
      <c r="R198" s="152"/>
      <c r="S198" s="152"/>
      <c r="T198" s="152"/>
      <c r="U198" s="152"/>
      <c r="V198" s="152"/>
      <c r="W198" s="152"/>
      <c r="X198" s="152"/>
      <c r="Y198" s="152"/>
      <c r="Z198" s="152"/>
      <c r="AA198" s="152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  <c r="BD198" s="152"/>
      <c r="BE198" s="152"/>
      <c r="BF198" s="152"/>
    </row>
    <row r="199" s="1" customFormat="1" customHeight="1" spans="1:58">
      <c r="A199" s="126" t="s">
        <v>25</v>
      </c>
      <c r="B199" s="70"/>
      <c r="C199" s="182">
        <f>SUM(C193:C198)+100</f>
        <v>950</v>
      </c>
      <c r="D199" s="200">
        <f>SUM(D193:D198)</f>
        <v>25.63</v>
      </c>
      <c r="E199" s="201">
        <f t="shared" ref="E199:G199" si="48">SUM(E193:E198)</f>
        <v>22.51</v>
      </c>
      <c r="F199" s="202">
        <f t="shared" si="48"/>
        <v>120.73</v>
      </c>
      <c r="G199" s="203">
        <f t="shared" si="48"/>
        <v>788.03</v>
      </c>
      <c r="H199" s="76"/>
      <c r="I199" s="8"/>
      <c r="J199" s="152"/>
      <c r="K199" s="152"/>
      <c r="L199" s="152"/>
      <c r="M199" s="152"/>
      <c r="N199" s="152"/>
      <c r="O199" s="152"/>
      <c r="P199" s="152"/>
      <c r="Q199" s="152"/>
      <c r="R199" s="152"/>
      <c r="S199" s="152"/>
      <c r="T199" s="152"/>
      <c r="U199" s="152"/>
      <c r="V199" s="152"/>
      <c r="W199" s="152"/>
      <c r="X199" s="152"/>
      <c r="Y199" s="152"/>
      <c r="Z199" s="152"/>
      <c r="AA199" s="152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  <c r="BD199" s="152"/>
      <c r="BE199" s="152"/>
      <c r="BF199" s="152"/>
    </row>
    <row r="200" s="1" customFormat="1" customHeight="1" spans="1:58">
      <c r="A200" s="128" t="s">
        <v>40</v>
      </c>
      <c r="B200" s="129"/>
      <c r="C200" s="95">
        <f>C199+C191</f>
        <v>1575</v>
      </c>
      <c r="D200" s="96">
        <f t="shared" ref="D200:G200" si="49">D199+D191</f>
        <v>41</v>
      </c>
      <c r="E200" s="97">
        <f t="shared" si="49"/>
        <v>43.46</v>
      </c>
      <c r="F200" s="98">
        <f t="shared" si="49"/>
        <v>200.76</v>
      </c>
      <c r="G200" s="99">
        <f t="shared" si="49"/>
        <v>1358.18</v>
      </c>
      <c r="H200" s="76"/>
      <c r="I200" s="8"/>
      <c r="J200" s="152"/>
      <c r="K200" s="152"/>
      <c r="L200" s="152"/>
      <c r="M200" s="152"/>
      <c r="N200" s="152"/>
      <c r="O200" s="152"/>
      <c r="P200" s="152"/>
      <c r="Q200" s="152"/>
      <c r="R200" s="152"/>
      <c r="S200" s="152"/>
      <c r="T200" s="152"/>
      <c r="U200" s="152"/>
      <c r="V200" s="152"/>
      <c r="W200" s="152"/>
      <c r="X200" s="152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52"/>
      <c r="AM200" s="152"/>
      <c r="AN200" s="152"/>
      <c r="AO200" s="152"/>
      <c r="AP200" s="152"/>
      <c r="AQ200" s="152"/>
      <c r="AR200" s="152"/>
      <c r="AS200" s="152"/>
      <c r="AT200" s="152"/>
      <c r="AU200" s="152"/>
      <c r="AV200" s="152"/>
      <c r="AW200" s="152"/>
      <c r="AX200" s="152"/>
      <c r="AY200" s="152"/>
      <c r="AZ200" s="152"/>
      <c r="BA200" s="152"/>
      <c r="BB200" s="152"/>
      <c r="BC200" s="152"/>
      <c r="BD200" s="152"/>
      <c r="BE200" s="152"/>
      <c r="BF200" s="152"/>
    </row>
    <row r="201" s="1" customFormat="1" customHeight="1" spans="1:58">
      <c r="A201" s="100"/>
      <c r="B201" s="101"/>
      <c r="C201" s="106"/>
      <c r="D201" s="171"/>
      <c r="E201" s="171"/>
      <c r="F201" s="171"/>
      <c r="G201" s="171"/>
      <c r="H201" s="76"/>
      <c r="I201" s="8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  <c r="T201" s="152"/>
      <c r="U201" s="152"/>
      <c r="V201" s="152"/>
      <c r="W201" s="152"/>
      <c r="X201" s="152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52"/>
      <c r="BD201" s="152"/>
      <c r="BE201" s="152"/>
      <c r="BF201" s="152"/>
    </row>
    <row r="202" s="1" customFormat="1" customHeight="1" spans="1:65">
      <c r="A202" s="216" t="s">
        <v>155</v>
      </c>
      <c r="B202" s="110"/>
      <c r="C202" s="217"/>
      <c r="D202" s="218">
        <f t="shared" ref="D202:F202" si="50">D200+D181+D163+D146+D128+D109+D90+D72+D52+D34</f>
        <v>565.351166666667</v>
      </c>
      <c r="E202" s="218">
        <f t="shared" si="50"/>
        <v>462.355</v>
      </c>
      <c r="F202" s="218">
        <f t="shared" si="50"/>
        <v>2699.94875</v>
      </c>
      <c r="G202" s="219">
        <f t="shared" ref="G202" si="51">(D202*4)+(E202*9)+(F202*4)</f>
        <v>17222.3946666667</v>
      </c>
      <c r="H202" s="220"/>
      <c r="I202" s="223"/>
      <c r="J202" s="223"/>
      <c r="K202" s="223"/>
      <c r="L202" s="223"/>
      <c r="M202" s="223"/>
      <c r="N202" s="223"/>
      <c r="O202" s="223"/>
      <c r="P202" s="8"/>
      <c r="Q202" s="152"/>
      <c r="R202" s="152"/>
      <c r="S202" s="152"/>
      <c r="T202" s="152"/>
      <c r="U202" s="152"/>
      <c r="V202" s="152"/>
      <c r="W202" s="152"/>
      <c r="X202" s="152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  <c r="AS202" s="152"/>
      <c r="AT202" s="152"/>
      <c r="AU202" s="152"/>
      <c r="AV202" s="152"/>
      <c r="AW202" s="152"/>
      <c r="AX202" s="152"/>
      <c r="AY202" s="152"/>
      <c r="AZ202" s="152"/>
      <c r="BA202" s="152"/>
      <c r="BB202" s="152"/>
      <c r="BC202" s="152"/>
      <c r="BD202" s="152"/>
      <c r="BE202" s="152"/>
      <c r="BF202" s="152"/>
      <c r="BG202" s="152"/>
      <c r="BH202" s="152"/>
      <c r="BI202" s="152"/>
      <c r="BJ202" s="152"/>
      <c r="BK202" s="152"/>
      <c r="BL202" s="152"/>
      <c r="BM202" s="152"/>
    </row>
    <row r="203" s="1" customFormat="1" ht="7.5" customHeight="1" spans="1:65">
      <c r="A203" s="221"/>
      <c r="B203" s="136"/>
      <c r="C203" s="136"/>
      <c r="D203" s="222"/>
      <c r="E203" s="222"/>
      <c r="F203" s="222"/>
      <c r="G203" s="222"/>
      <c r="H203" s="223"/>
      <c r="I203" s="223"/>
      <c r="J203" s="223"/>
      <c r="K203" s="223"/>
      <c r="L203" s="223"/>
      <c r="M203" s="223"/>
      <c r="N203" s="223"/>
      <c r="O203" s="223"/>
      <c r="P203" s="8"/>
      <c r="Q203" s="152"/>
      <c r="R203" s="152"/>
      <c r="S203" s="152"/>
      <c r="T203" s="152"/>
      <c r="U203" s="152"/>
      <c r="V203" s="152"/>
      <c r="W203" s="152"/>
      <c r="X203" s="152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  <c r="AS203" s="152"/>
      <c r="AT203" s="152"/>
      <c r="AU203" s="152"/>
      <c r="AV203" s="152"/>
      <c r="AW203" s="152"/>
      <c r="AX203" s="152"/>
      <c r="AY203" s="152"/>
      <c r="AZ203" s="152"/>
      <c r="BA203" s="152"/>
      <c r="BB203" s="152"/>
      <c r="BC203" s="152"/>
      <c r="BD203" s="152"/>
      <c r="BE203" s="152"/>
      <c r="BF203" s="152"/>
      <c r="BG203" s="152"/>
      <c r="BH203" s="152"/>
      <c r="BI203" s="152"/>
      <c r="BJ203" s="152"/>
      <c r="BK203" s="152"/>
      <c r="BL203" s="152"/>
      <c r="BM203" s="152"/>
    </row>
    <row r="204" s="1" customFormat="1" ht="14.25" customHeight="1" spans="1:65">
      <c r="A204" s="224" t="s">
        <v>156</v>
      </c>
      <c r="B204" s="225"/>
      <c r="C204" s="226"/>
      <c r="D204" s="227"/>
      <c r="E204" s="227"/>
      <c r="F204" s="227"/>
      <c r="G204" s="227"/>
      <c r="H204" s="223"/>
      <c r="I204" s="223"/>
      <c r="J204" s="223"/>
      <c r="K204" s="223"/>
      <c r="L204" s="223"/>
      <c r="M204" s="223"/>
      <c r="N204" s="223"/>
      <c r="O204" s="223"/>
      <c r="P204" s="8"/>
      <c r="Q204" s="152"/>
      <c r="R204" s="152"/>
      <c r="S204" s="152"/>
      <c r="T204" s="152"/>
      <c r="U204" s="152"/>
      <c r="V204" s="152"/>
      <c r="W204" s="152"/>
      <c r="X204" s="152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52"/>
      <c r="AU204" s="152"/>
      <c r="AV204" s="152"/>
      <c r="AW204" s="152"/>
      <c r="AX204" s="152"/>
      <c r="AY204" s="152"/>
      <c r="AZ204" s="152"/>
      <c r="BA204" s="152"/>
      <c r="BB204" s="152"/>
      <c r="BC204" s="152"/>
      <c r="BD204" s="152"/>
      <c r="BE204" s="152"/>
      <c r="BF204" s="152"/>
      <c r="BG204" s="152"/>
      <c r="BH204" s="152"/>
      <c r="BI204" s="152"/>
      <c r="BJ204" s="152"/>
      <c r="BK204" s="152"/>
      <c r="BL204" s="152"/>
      <c r="BM204" s="152"/>
    </row>
    <row r="205" s="1" customFormat="1" ht="14.25" customHeight="1" spans="1:65">
      <c r="A205" s="224" t="s">
        <v>157</v>
      </c>
      <c r="B205" s="225"/>
      <c r="C205" s="226"/>
      <c r="D205" s="227"/>
      <c r="E205" s="227"/>
      <c r="F205" s="227"/>
      <c r="G205" s="227"/>
      <c r="H205" s="223"/>
      <c r="I205" s="223"/>
      <c r="J205" s="223"/>
      <c r="K205" s="223"/>
      <c r="L205" s="223"/>
      <c r="M205" s="223"/>
      <c r="N205" s="223"/>
      <c r="O205" s="223"/>
      <c r="P205" s="8"/>
      <c r="Q205" s="152"/>
      <c r="R205" s="152"/>
      <c r="S205" s="152"/>
      <c r="T205" s="152"/>
      <c r="U205" s="152"/>
      <c r="V205" s="152"/>
      <c r="W205" s="152"/>
      <c r="X205" s="152"/>
      <c r="Y205" s="152"/>
      <c r="Z205" s="152"/>
      <c r="AA205" s="152"/>
      <c r="AB205" s="152"/>
      <c r="AC205" s="152"/>
      <c r="AD205" s="152"/>
      <c r="AE205" s="152"/>
      <c r="AF205" s="152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52"/>
      <c r="AQ205" s="152"/>
      <c r="AR205" s="152"/>
      <c r="AS205" s="152"/>
      <c r="AT205" s="152"/>
      <c r="AU205" s="152"/>
      <c r="AV205" s="152"/>
      <c r="AW205" s="152"/>
      <c r="AX205" s="152"/>
      <c r="AY205" s="152"/>
      <c r="AZ205" s="152"/>
      <c r="BA205" s="152"/>
      <c r="BB205" s="152"/>
      <c r="BC205" s="152"/>
      <c r="BD205" s="152"/>
      <c r="BE205" s="152"/>
      <c r="BF205" s="152"/>
      <c r="BG205" s="152"/>
      <c r="BH205" s="152"/>
      <c r="BI205" s="152"/>
      <c r="BJ205" s="152"/>
      <c r="BK205" s="152"/>
      <c r="BL205" s="152"/>
      <c r="BM205" s="152"/>
    </row>
    <row r="206" s="1" customFormat="1" ht="14.25" customHeight="1" spans="1:65">
      <c r="A206" s="224" t="s">
        <v>158</v>
      </c>
      <c r="B206" s="225"/>
      <c r="C206" s="226"/>
      <c r="D206" s="227"/>
      <c r="E206" s="227"/>
      <c r="F206" s="227"/>
      <c r="G206" s="227"/>
      <c r="H206" s="223"/>
      <c r="I206" s="223"/>
      <c r="J206" s="223"/>
      <c r="K206" s="223"/>
      <c r="L206" s="223"/>
      <c r="M206" s="223"/>
      <c r="N206" s="223"/>
      <c r="O206" s="223"/>
      <c r="P206" s="8"/>
      <c r="Q206" s="152"/>
      <c r="R206" s="152"/>
      <c r="S206" s="152"/>
      <c r="T206" s="152"/>
      <c r="U206" s="152"/>
      <c r="V206" s="152"/>
      <c r="W206" s="152"/>
      <c r="X206" s="152"/>
      <c r="Y206" s="152"/>
      <c r="Z206" s="152"/>
      <c r="AA206" s="152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52"/>
      <c r="AU206" s="152"/>
      <c r="AV206" s="152"/>
      <c r="AW206" s="152"/>
      <c r="AX206" s="152"/>
      <c r="AY206" s="152"/>
      <c r="AZ206" s="152"/>
      <c r="BA206" s="152"/>
      <c r="BB206" s="152"/>
      <c r="BC206" s="152"/>
      <c r="BD206" s="152"/>
      <c r="BE206" s="152"/>
      <c r="BF206" s="152"/>
      <c r="BG206" s="152"/>
      <c r="BH206" s="152"/>
      <c r="BI206" s="152"/>
      <c r="BJ206" s="152"/>
      <c r="BK206" s="152"/>
      <c r="BL206" s="152"/>
      <c r="BM206" s="152"/>
    </row>
    <row r="207" s="1" customFormat="1" ht="14.25" customHeight="1" spans="1:65">
      <c r="A207" s="224" t="s">
        <v>159</v>
      </c>
      <c r="B207" s="225"/>
      <c r="C207" s="226"/>
      <c r="D207" s="227"/>
      <c r="E207" s="227"/>
      <c r="F207" s="227"/>
      <c r="G207" s="227"/>
      <c r="H207" s="223"/>
      <c r="I207" s="223"/>
      <c r="J207" s="223"/>
      <c r="K207" s="223"/>
      <c r="L207" s="223"/>
      <c r="M207" s="223"/>
      <c r="N207" s="223"/>
      <c r="O207" s="223"/>
      <c r="P207" s="8"/>
      <c r="Q207" s="152"/>
      <c r="R207" s="152"/>
      <c r="S207" s="152"/>
      <c r="T207" s="152"/>
      <c r="U207" s="152"/>
      <c r="V207" s="152"/>
      <c r="W207" s="152"/>
      <c r="X207" s="152"/>
      <c r="Y207" s="152"/>
      <c r="Z207" s="152"/>
      <c r="AA207" s="152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  <c r="BD207" s="152"/>
      <c r="BE207" s="152"/>
      <c r="BF207" s="152"/>
      <c r="BG207" s="152"/>
      <c r="BH207" s="152"/>
      <c r="BI207" s="152"/>
      <c r="BJ207" s="152"/>
      <c r="BK207" s="152"/>
      <c r="BL207" s="152"/>
      <c r="BM207" s="152"/>
    </row>
    <row r="208" s="1" customFormat="1" ht="14.25" customHeight="1" spans="1:65">
      <c r="A208" s="224" t="s">
        <v>160</v>
      </c>
      <c r="B208" s="225"/>
      <c r="C208" s="226"/>
      <c r="D208" s="227"/>
      <c r="E208" s="227"/>
      <c r="F208" s="227"/>
      <c r="G208" s="227"/>
      <c r="H208" s="6"/>
      <c r="I208" s="6"/>
      <c r="J208" s="6"/>
      <c r="K208" s="6"/>
      <c r="L208" s="6"/>
      <c r="M208" s="6"/>
      <c r="N208" s="6"/>
      <c r="O208" s="6"/>
      <c r="P208" s="8"/>
      <c r="Q208" s="152"/>
      <c r="R208" s="152"/>
      <c r="S208" s="152"/>
      <c r="T208" s="152"/>
      <c r="U208" s="152"/>
      <c r="V208" s="152"/>
      <c r="W208" s="152"/>
      <c r="X208" s="152"/>
      <c r="Y208" s="152"/>
      <c r="Z208" s="152"/>
      <c r="AA208" s="152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52"/>
      <c r="AU208" s="152"/>
      <c r="AV208" s="152"/>
      <c r="AW208" s="152"/>
      <c r="AX208" s="152"/>
      <c r="AY208" s="152"/>
      <c r="AZ208" s="152"/>
      <c r="BA208" s="152"/>
      <c r="BB208" s="152"/>
      <c r="BC208" s="152"/>
      <c r="BD208" s="152"/>
      <c r="BE208" s="152"/>
      <c r="BF208" s="152"/>
      <c r="BG208" s="152"/>
      <c r="BH208" s="152"/>
      <c r="BI208" s="152"/>
      <c r="BJ208" s="152"/>
      <c r="BK208" s="152"/>
      <c r="BL208" s="152"/>
      <c r="BM208" s="152"/>
    </row>
    <row r="209" s="1" customFormat="1" ht="14.25" customHeight="1" spans="1:65">
      <c r="A209" s="224" t="s">
        <v>161</v>
      </c>
      <c r="B209" s="225"/>
      <c r="C209" s="226"/>
      <c r="D209" s="227"/>
      <c r="E209" s="227"/>
      <c r="F209" s="227"/>
      <c r="G209" s="227"/>
      <c r="H209" s="6"/>
      <c r="I209" s="6"/>
      <c r="J209" s="6"/>
      <c r="K209" s="6"/>
      <c r="L209" s="6"/>
      <c r="M209" s="6"/>
      <c r="N209" s="6"/>
      <c r="O209" s="6"/>
      <c r="P209" s="8" t="s">
        <v>162</v>
      </c>
      <c r="Q209" s="152"/>
      <c r="R209" s="152"/>
      <c r="S209" s="152"/>
      <c r="T209" s="152"/>
      <c r="U209" s="152"/>
      <c r="V209" s="152"/>
      <c r="W209" s="152"/>
      <c r="X209" s="152"/>
      <c r="Y209" s="152"/>
      <c r="Z209" s="152"/>
      <c r="AA209" s="152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152"/>
      <c r="BG209" s="152"/>
      <c r="BH209" s="152"/>
      <c r="BI209" s="152"/>
      <c r="BJ209" s="152"/>
      <c r="BK209" s="152"/>
      <c r="BL209" s="152"/>
      <c r="BM209" s="152"/>
    </row>
    <row r="210" customHeight="1" spans="16:16">
      <c r="P210" s="8"/>
    </row>
    <row r="211" customHeight="1" spans="16:16">
      <c r="P211" s="8"/>
    </row>
    <row r="212" customHeight="1" spans="16:16">
      <c r="P212" s="8"/>
    </row>
  </sheetData>
  <mergeCells count="53">
    <mergeCell ref="K2:P2"/>
    <mergeCell ref="J3:P3"/>
    <mergeCell ref="J4:P4"/>
    <mergeCell ref="J5:P5"/>
    <mergeCell ref="A9:P9"/>
    <mergeCell ref="A10:P10"/>
    <mergeCell ref="A11:P11"/>
    <mergeCell ref="B12:N12"/>
    <mergeCell ref="D14:F14"/>
    <mergeCell ref="A25:B25"/>
    <mergeCell ref="A33:B33"/>
    <mergeCell ref="A34:B34"/>
    <mergeCell ref="A35:C35"/>
    <mergeCell ref="A43:B43"/>
    <mergeCell ref="A51:B51"/>
    <mergeCell ref="A52:B52"/>
    <mergeCell ref="A53:C53"/>
    <mergeCell ref="A63:B63"/>
    <mergeCell ref="A71:B71"/>
    <mergeCell ref="A72:B72"/>
    <mergeCell ref="A73:C73"/>
    <mergeCell ref="A82:B82"/>
    <mergeCell ref="A89:B89"/>
    <mergeCell ref="A90:B90"/>
    <mergeCell ref="A91:C91"/>
    <mergeCell ref="A100:B100"/>
    <mergeCell ref="A108:B108"/>
    <mergeCell ref="A109:B109"/>
    <mergeCell ref="A110:C110"/>
    <mergeCell ref="A120:B120"/>
    <mergeCell ref="A127:B127"/>
    <mergeCell ref="A128:B128"/>
    <mergeCell ref="A129:C129"/>
    <mergeCell ref="A137:B137"/>
    <mergeCell ref="A145:B145"/>
    <mergeCell ref="A146:B146"/>
    <mergeCell ref="A147:C147"/>
    <mergeCell ref="A155:B155"/>
    <mergeCell ref="A162:B162"/>
    <mergeCell ref="A163:B163"/>
    <mergeCell ref="A164:C164"/>
    <mergeCell ref="A173:B173"/>
    <mergeCell ref="A180:B180"/>
    <mergeCell ref="A181:B181"/>
    <mergeCell ref="A182:C182"/>
    <mergeCell ref="A191:B191"/>
    <mergeCell ref="A199:B199"/>
    <mergeCell ref="A200:B200"/>
    <mergeCell ref="A201:C201"/>
    <mergeCell ref="A202:C202"/>
    <mergeCell ref="B14:B15"/>
    <mergeCell ref="C14:C15"/>
    <mergeCell ref="G14:G15"/>
  </mergeCells>
  <pageMargins left="0.25" right="0.25" top="0.75" bottom="0.75" header="0.3" footer="0.3"/>
  <pageSetup paperSize="9" scale="82" orientation="landscape"/>
  <headerFooter/>
  <rowBreaks count="1" manualBreakCount="1">
    <brk id="175" max="15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7-11</vt:lpstr>
      <vt:lpstr>11 и ст.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2006-09-28T05:33:00Z</dcterms:created>
  <dcterms:modified xsi:type="dcterms:W3CDTF">2022-09-11T11:29:00Z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ACE83AA1257A4B938D8ECB560E30908E</vt:lpwstr>
  </property>
  <property fmtid="{D5CDD505-2E9C-101B-9397-08002B2CF9AE}" pid="3" name="KSOProductBuildVer">
    <vt:lpwstr>1049-11.2.0.11306</vt:lpwstr>
  </property>
</Properties>
</file>