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 tabRatio="945"/>
  </bookViews>
  <sheets>
    <sheet name="7-11" sheetId="40" r:id="rId1"/>
    <sheet name="11 и ст." sheetId="41" r:id="rId2"/>
  </sheets>
  <definedNames>
    <definedName name="_xlnm.Print_Area" localSheetId="0">'7-11'!$A$1:$H$203</definedName>
    <definedName name="_xlnm.Print_Area" localSheetId="1">'11 и ст.'!$A$1:$H$209</definedName>
  </definedNames>
  <calcPr calcId="144525"/>
</workbook>
</file>

<file path=xl/sharedStrings.xml><?xml version="1.0" encoding="utf-8"?>
<sst xmlns="http://schemas.openxmlformats.org/spreadsheetml/2006/main" count="639" uniqueCount="204">
  <si>
    <t>Примерное 2-х недельное меню завтраков и обедов</t>
  </si>
  <si>
    <t>для организации горячего питания учащихся</t>
  </si>
  <si>
    <t>осенне-зимний период 2022-2023гг.</t>
  </si>
  <si>
    <t>с 11 лет</t>
  </si>
  <si>
    <t>наименование блюд</t>
  </si>
  <si>
    <t>масса порции</t>
  </si>
  <si>
    <t>пищевые вещества</t>
  </si>
  <si>
    <t>энергитическая ценность</t>
  </si>
  <si>
    <t>№ Рецептуры</t>
  </si>
  <si>
    <t>б</t>
  </si>
  <si>
    <t>ж</t>
  </si>
  <si>
    <t>у</t>
  </si>
  <si>
    <t>1-я неделя</t>
  </si>
  <si>
    <t>ПОНЕДЕЛЬНИК</t>
  </si>
  <si>
    <t>ЗАВТРАК</t>
  </si>
  <si>
    <t>Суп молочный с макаронными изделиями</t>
  </si>
  <si>
    <t>№160 СРШП 2004г.</t>
  </si>
  <si>
    <t xml:space="preserve">Чай с сахаром </t>
  </si>
  <si>
    <t>№ 685 СРШП 2004г.</t>
  </si>
  <si>
    <t>Сыр твердый порциями</t>
  </si>
  <si>
    <t>№ 97 СРШП 2004г.</t>
  </si>
  <si>
    <t>Масло сливочное</t>
  </si>
  <si>
    <t>№ 96 СРШП 2004г.</t>
  </si>
  <si>
    <t>Хлеб пшеничный</t>
  </si>
  <si>
    <t>технологическая карта табл.</t>
  </si>
  <si>
    <t>Итого за прием пищи</t>
  </si>
  <si>
    <t>ОБЕД</t>
  </si>
  <si>
    <t>Щи из  свежей капусты с картофелем</t>
  </si>
  <si>
    <t>250</t>
  </si>
  <si>
    <t>№ 124  СРШП 2004г.</t>
  </si>
  <si>
    <t>Котлеты (биточки) рыбные</t>
  </si>
  <si>
    <t>№388 СРШП 2004г.</t>
  </si>
  <si>
    <t>Рис отварной</t>
  </si>
  <si>
    <t>№ 511 СРШП 2004г.</t>
  </si>
  <si>
    <t>Икра кабачковая</t>
  </si>
  <si>
    <t>№ 11 СРШП 2004г.</t>
  </si>
  <si>
    <t>Хлеб пшеничный; хлеб ржаной</t>
  </si>
  <si>
    <t>40/40</t>
  </si>
  <si>
    <t>Компот из свежих фруктов</t>
  </si>
  <si>
    <t>№631 СРШП 2004г.</t>
  </si>
  <si>
    <t>ИТОГО В ДЕНЬ</t>
  </si>
  <si>
    <t>ВТОРНИК</t>
  </si>
  <si>
    <t>Омлет натуральный запеченый с сыром</t>
  </si>
  <si>
    <t>№ 342 СРШП 2004г.</t>
  </si>
  <si>
    <t>Горошек зеленый консервированный</t>
  </si>
  <si>
    <t>№22 СРШП под ред. В.Р. Кучмы 2016г.</t>
  </si>
  <si>
    <t>Какао с молоком</t>
  </si>
  <si>
    <t>№ 693 СРШП 2004г.</t>
  </si>
  <si>
    <t>Суп гороховый на к/б</t>
  </si>
  <si>
    <t>№ 139 СРШП 2004г.</t>
  </si>
  <si>
    <t>Куры отварные тушёные в соусе</t>
  </si>
  <si>
    <t>№ 488 СРШП 2004</t>
  </si>
  <si>
    <t>Каша пшеничная</t>
  </si>
  <si>
    <t>№ 297 СРШП 2004</t>
  </si>
  <si>
    <t>Соленья в ассортименте</t>
  </si>
  <si>
    <t>№101 СРШП 2004г.</t>
  </si>
  <si>
    <t>Компот из смеси  сухофруктов</t>
  </si>
  <si>
    <t>№ 639 СРШП 2004</t>
  </si>
  <si>
    <t>СРЕДА</t>
  </si>
  <si>
    <t xml:space="preserve">Шницель рубленый </t>
  </si>
  <si>
    <t>№450 СРШП 2004г.</t>
  </si>
  <si>
    <t>Пюре картофельное</t>
  </si>
  <si>
    <t>№ 520 СРШП 2004г.</t>
  </si>
  <si>
    <t>№ 101 СРШП 2004г.</t>
  </si>
  <si>
    <t>Чай с сахаром, лимоном</t>
  </si>
  <si>
    <t>№386 СРШП 2004г.</t>
  </si>
  <si>
    <t>Суп крестьянский с курицей</t>
  </si>
  <si>
    <t>№ 134 СРШП 2004г.</t>
  </si>
  <si>
    <t>Котлета куриная</t>
  </si>
  <si>
    <t>№ 498 СРШП 2004г.</t>
  </si>
  <si>
    <t>Макаронные изделия, отварные с маслом</t>
  </si>
  <si>
    <t>№ 332 СРШП 2004г.</t>
  </si>
  <si>
    <t>25/25</t>
  </si>
  <si>
    <t>Кисель фруктовый</t>
  </si>
  <si>
    <t>№642 СРШП 2004</t>
  </si>
  <si>
    <t>ЧЕТВЕРГ</t>
  </si>
  <si>
    <t>Запеканка морковная с творогом</t>
  </si>
  <si>
    <t>№238 СРШП под ред. В.Р. Кучмы 2016г.</t>
  </si>
  <si>
    <t>Соус сметанный</t>
  </si>
  <si>
    <t>№ 600 СРШП 2004</t>
  </si>
  <si>
    <t>Кофейный напиток с молоком</t>
  </si>
  <si>
    <t>№ 692 СРШП 2004г.</t>
  </si>
  <si>
    <t>Суп картофельный с рисом</t>
  </si>
  <si>
    <t>№ 138 СРШП 2004г.</t>
  </si>
  <si>
    <t>Жаркое по-домашнему</t>
  </si>
  <si>
    <t>№ 436 СРШП 2004г.</t>
  </si>
  <si>
    <t>Салат из квашеной капусты</t>
  </si>
  <si>
    <t>№ 45 СРШП 2004г.</t>
  </si>
  <si>
    <t>Компот из смеси сухофруктов</t>
  </si>
  <si>
    <t>№ 639 СРШП 2004г.</t>
  </si>
  <si>
    <t>ПЯТНИЦА</t>
  </si>
  <si>
    <t>Гуляш из говядины</t>
  </si>
  <si>
    <t>№ 437 СРШП 2004г.</t>
  </si>
  <si>
    <t>Каша гречневая рассыпчатая</t>
  </si>
  <si>
    <t>№ 297 СРШП 2004г.</t>
  </si>
  <si>
    <t>№ 386 СРШП 2004г.</t>
  </si>
  <si>
    <t>Борщ с капустой и картофелем</t>
  </si>
  <si>
    <t>№ 110 СРШП 2004г.</t>
  </si>
  <si>
    <t>Рыба тушеная в томате с овощами</t>
  </si>
  <si>
    <t>№ 374 СРШП 2004г.</t>
  </si>
  <si>
    <t>№ 511 СРШП 2004</t>
  </si>
  <si>
    <t>2-я неделя</t>
  </si>
  <si>
    <t>№38 СРШП под ред. В.Р. Кучмы 2016г.</t>
  </si>
  <si>
    <t>Тефтели рыбные</t>
  </si>
  <si>
    <t>№ 394 СРШП 2004г.</t>
  </si>
  <si>
    <t>Капуста тушёная</t>
  </si>
  <si>
    <t>Суп картофельный с макаронами изделиями на к/б</t>
  </si>
  <si>
    <t>№ 140 СРШП 2004г.</t>
  </si>
  <si>
    <t>Плов из птицы</t>
  </si>
  <si>
    <t>№ 492 СРШП 2004г.</t>
  </si>
  <si>
    <t>№639 СРШП 2004г.</t>
  </si>
  <si>
    <t>Запеканка с творогом</t>
  </si>
  <si>
    <t>№600 СРШП 2004г.</t>
  </si>
  <si>
    <t>Рассольник ленинградский</t>
  </si>
  <si>
    <t>№ 132 СРШП 2004</t>
  </si>
  <si>
    <t>Гуляш из отварной птицы</t>
  </si>
  <si>
    <t>№ 437 СРШП 2004</t>
  </si>
  <si>
    <t>№ 631 СРШП 2004</t>
  </si>
  <si>
    <t>Печень тушёная</t>
  </si>
  <si>
    <t>№162 СРШП под ред. В.Р. Кучмы 2016г.</t>
  </si>
  <si>
    <t>№692 СРШП 2004г.</t>
  </si>
  <si>
    <t>5</t>
  </si>
  <si>
    <t xml:space="preserve">Суп гороховый картофельный </t>
  </si>
  <si>
    <t>№ 139 СРШП 2004</t>
  </si>
  <si>
    <t>Биточки рыбные</t>
  </si>
  <si>
    <t>№ 388 СРШП 2004</t>
  </si>
  <si>
    <t>Картофель отварной</t>
  </si>
  <si>
    <t>№ 203 СРШП 2004г.</t>
  </si>
  <si>
    <t>850</t>
  </si>
  <si>
    <t xml:space="preserve">Тефтели </t>
  </si>
  <si>
    <t>№462 СРШП 2004г.</t>
  </si>
  <si>
    <t xml:space="preserve">Борщ с капустой и картофелем </t>
  </si>
  <si>
    <t>Рагу из птицы</t>
  </si>
  <si>
    <t>№ 489 СРШП 2004г.</t>
  </si>
  <si>
    <t>№640 СРШП 2004</t>
  </si>
  <si>
    <t>Каша "Дружба" с маслом, сахаром</t>
  </si>
  <si>
    <t>№192 СРШП под ред. В.Р. Кучмы 2016г.</t>
  </si>
  <si>
    <t>Чай с сахаром</t>
  </si>
  <si>
    <t>№685 СРШП 2004г.</t>
  </si>
  <si>
    <t>№96 СРШП 2004г.</t>
  </si>
  <si>
    <t>№97 СРШП 2004г.</t>
  </si>
  <si>
    <t>Суп крестьянский с крупой на к/б</t>
  </si>
  <si>
    <t>Тефтели из птицы с рисом, с соусом</t>
  </si>
  <si>
    <t>№ 465 СРШП 2004г.</t>
  </si>
  <si>
    <t>Каша пшенная</t>
  </si>
  <si>
    <t>№11 СРШП под ред. В.Р. Кучмы 2016г.</t>
  </si>
  <si>
    <t>№639 СРШП 2004</t>
  </si>
  <si>
    <t>Итого за 10ДНЕЙ</t>
  </si>
  <si>
    <t>1.Сборник технологических нормативов под редакцией В.Т.Лапшиной,2004г.Хлебпродинформ.</t>
  </si>
  <si>
    <t>2.Сборник технологических документов под редакцией Л.Е.Галунова, СРШП 2004г..Т.Лабзина, 2008г.Санкт-Петербург</t>
  </si>
  <si>
    <t>3.Сборник рецептур СРШП 2004г.учных кондитерских булочных изделий для ПОП 1986г. СРШП 2004г.осква</t>
  </si>
  <si>
    <t>4.Диетическое питание справочник под ред.В.А.Доценко, Е.В.Литвинова, Ю.Н.зубцова,2002 г.Москва</t>
  </si>
  <si>
    <t>5.Химический состав пищевых продуктов под редакцией И.М.Скурихина, В.А.Шатерникова,1984г.Москва</t>
  </si>
  <si>
    <t>6.Таблицы химического состава и калорийности российских продуктов питания под ред.И.М.скурихина, В.А.Тутельян, 2008г.Москва</t>
  </si>
  <si>
    <t>7</t>
  </si>
  <si>
    <t>Утверждаю:</t>
  </si>
  <si>
    <t>Организатор питания ИП Комарова А.А.</t>
  </si>
  <si>
    <t>_________________________________</t>
  </si>
  <si>
    <t>"____"_____________  2021г.</t>
  </si>
  <si>
    <t xml:space="preserve">Примерное 2-х недельное меню завтраков и обедов </t>
  </si>
  <si>
    <t>осенне-зимний период 2021-2022г.</t>
  </si>
  <si>
    <t>с 12 лет и старше</t>
  </si>
  <si>
    <t>Сборник</t>
  </si>
  <si>
    <t>Фрукты свежие (сезонные)</t>
  </si>
  <si>
    <t>Щи из капусты свежей с картофелем</t>
  </si>
  <si>
    <t>№ 124 СРШП 2004г.</t>
  </si>
  <si>
    <t>50/50</t>
  </si>
  <si>
    <t>Суп картофельный с горохом, с курицей</t>
  </si>
  <si>
    <t>250/25</t>
  </si>
  <si>
    <t>Куры тушенные в соусе</t>
  </si>
  <si>
    <t>№488 СРШП 2004г.</t>
  </si>
  <si>
    <t>Шницель рубленый мясной</t>
  </si>
  <si>
    <t>Соус красный основной</t>
  </si>
  <si>
    <t>№ 587 СРШП 2004г.</t>
  </si>
  <si>
    <t>Кондитерские изделия</t>
  </si>
  <si>
    <t>40/1шт</t>
  </si>
  <si>
    <t>2</t>
  </si>
  <si>
    <t>Котлеты по хлыновски</t>
  </si>
  <si>
    <t>Овощи свежие или соленые порционные</t>
  </si>
  <si>
    <t>Кисель из яблок</t>
  </si>
  <si>
    <t>Фрукты свежие</t>
  </si>
  <si>
    <t>3</t>
  </si>
  <si>
    <t xml:space="preserve">Огурцы консервированные </t>
  </si>
  <si>
    <t>Булочка молочная</t>
  </si>
  <si>
    <t>№ 779 СРШП 2004г.</t>
  </si>
  <si>
    <t>Рис</t>
  </si>
  <si>
    <t>Помидоры соленые</t>
  </si>
  <si>
    <t>Капуста тушеная</t>
  </si>
  <si>
    <t>Кексы, обогащенные витаминно-минеральным премиксом</t>
  </si>
  <si>
    <t>Суп картофельный с макаронами на курином бульоне</t>
  </si>
  <si>
    <t>4</t>
  </si>
  <si>
    <t>Яблоки свежие</t>
  </si>
  <si>
    <t>Гуляш с соусом</t>
  </si>
  <si>
    <t xml:space="preserve">Огурцы соленые </t>
  </si>
  <si>
    <t>Запеканка картофельная с печенью</t>
  </si>
  <si>
    <t>Соус белый</t>
  </si>
  <si>
    <t>№582 СРШП 2004г.</t>
  </si>
  <si>
    <t>Суп картофельный с бобовыми</t>
  </si>
  <si>
    <t>Тефтели (2 вариант)</t>
  </si>
  <si>
    <t>6</t>
  </si>
  <si>
    <t>Рагу из курицы</t>
  </si>
  <si>
    <t>Кисель из плодов или ягод свежих</t>
  </si>
  <si>
    <t>Суп крестьянский с крупой</t>
  </si>
  <si>
    <t>Тефтели из печени с рисом, с соусом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</si>
</sst>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0.0"/>
  </numFmts>
  <fonts count="34">
    <font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name val="Calibri"/>
      <charset val="204"/>
      <scheme val="minor"/>
    </font>
    <font>
      <u/>
      <sz val="1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9"/>
      <color theme="1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i/>
      <sz val="14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sz val="9"/>
      <name val="Calibri"/>
      <charset val="204"/>
      <scheme val="minor"/>
    </font>
    <font>
      <sz val="14"/>
      <color theme="1"/>
      <name val="Calibri"/>
      <charset val="20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8" fillId="6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6" applyNumberFormat="0" applyFill="0" applyAlignment="0" applyProtection="0">
      <alignment vertical="center"/>
    </xf>
    <xf numFmtId="0" fontId="23" fillId="17" borderId="5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4" borderId="5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0" applyNumberFormat="0" applyFill="0" applyAlignment="0" applyProtection="0">
      <alignment vertical="center"/>
    </xf>
    <xf numFmtId="0" fontId="29" fillId="0" borderId="60" applyNumberFormat="0" applyFill="0" applyAlignment="0" applyProtection="0">
      <alignment vertical="center"/>
    </xf>
    <xf numFmtId="0" fontId="30" fillId="0" borderId="6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" borderId="55" applyNumberFormat="0" applyAlignment="0" applyProtection="0">
      <alignment vertical="center"/>
    </xf>
    <xf numFmtId="0" fontId="31" fillId="26" borderId="62" applyNumberFormat="0" applyAlignment="0" applyProtection="0">
      <alignment vertical="center"/>
    </xf>
    <xf numFmtId="0" fontId="33" fillId="17" borderId="55" applyNumberFormat="0" applyAlignment="0" applyProtection="0">
      <alignment vertical="center"/>
    </xf>
    <xf numFmtId="0" fontId="24" fillId="0" borderId="5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331">
    <xf numFmtId="0" fontId="0" fillId="0" borderId="0" xfId="0"/>
    <xf numFmtId="0" fontId="0" fillId="0" borderId="0" xfId="0" applyFont="1" applyFill="1"/>
    <xf numFmtId="49" fontId="1" fillId="0" borderId="0" xfId="0" applyNumberFormat="1" applyFont="1" applyFill="1"/>
    <xf numFmtId="49" fontId="0" fillId="0" borderId="0" xfId="0" applyNumberFormat="1" applyFill="1"/>
    <xf numFmtId="49" fontId="0" fillId="0" borderId="0" xfId="0" applyNumberFormat="1" applyFill="1" applyAlignment="1">
      <alignment horizontal="right" wrapText="1"/>
    </xf>
    <xf numFmtId="2" fontId="2" fillId="0" borderId="0" xfId="0" applyNumberFormat="1" applyFont="1" applyFill="1"/>
    <xf numFmtId="2" fontId="0" fillId="0" borderId="0" xfId="0" applyNumberFormat="1" applyFill="1"/>
    <xf numFmtId="0" fontId="0" fillId="0" borderId="0" xfId="0" applyNumberFormat="1" applyFill="1"/>
    <xf numFmtId="49" fontId="0" fillId="0" borderId="0" xfId="0" applyNumberFormat="1" applyFill="1" applyAlignment="1">
      <alignment horizontal="right"/>
    </xf>
    <xf numFmtId="49" fontId="3" fillId="0" borderId="0" xfId="0" applyNumberFormat="1" applyFont="1" applyFill="1"/>
    <xf numFmtId="49" fontId="0" fillId="0" borderId="0" xfId="0" applyNumberFormat="1" applyFont="1" applyFill="1" applyAlignment="1"/>
    <xf numFmtId="49" fontId="0" fillId="0" borderId="0" xfId="0" applyNumberFormat="1" applyFill="1" applyAlignment="1"/>
    <xf numFmtId="2" fontId="4" fillId="0" borderId="0" xfId="0" applyNumberFormat="1" applyFont="1" applyFill="1"/>
    <xf numFmtId="0" fontId="3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/>
    <xf numFmtId="0" fontId="0" fillId="0" borderId="0" xfId="0" applyNumberFormat="1" applyFill="1" applyAlignment="1">
      <alignment horizontal="left"/>
    </xf>
    <xf numFmtId="49" fontId="0" fillId="0" borderId="0" xfId="0" applyNumberFormat="1" applyFont="1" applyFill="1"/>
    <xf numFmtId="2" fontId="5" fillId="0" borderId="0" xfId="0" applyNumberFormat="1" applyFont="1" applyFill="1" applyAlignment="1"/>
    <xf numFmtId="49" fontId="6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/>
    <xf numFmtId="49" fontId="7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0" fillId="0" borderId="1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right"/>
    </xf>
    <xf numFmtId="49" fontId="9" fillId="0" borderId="12" xfId="0" applyNumberFormat="1" applyFont="1" applyFill="1" applyBorder="1"/>
    <xf numFmtId="49" fontId="0" fillId="0" borderId="13" xfId="0" applyNumberFormat="1" applyFill="1" applyBorder="1"/>
    <xf numFmtId="49" fontId="0" fillId="0" borderId="13" xfId="0" applyNumberFormat="1" applyFill="1" applyBorder="1" applyAlignment="1">
      <alignment horizontal="right"/>
    </xf>
    <xf numFmtId="2" fontId="2" fillId="0" borderId="13" xfId="0" applyNumberFormat="1" applyFont="1" applyFill="1" applyBorder="1"/>
    <xf numFmtId="0" fontId="0" fillId="0" borderId="14" xfId="0" applyNumberFormat="1" applyFill="1" applyBorder="1"/>
    <xf numFmtId="49" fontId="0" fillId="0" borderId="15" xfId="0" applyNumberFormat="1" applyFill="1" applyBorder="1"/>
    <xf numFmtId="49" fontId="10" fillId="0" borderId="0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vertical="center"/>
    </xf>
    <xf numFmtId="49" fontId="3" fillId="0" borderId="17" xfId="0" applyNumberFormat="1" applyFont="1" applyFill="1" applyBorder="1" applyAlignment="1">
      <alignment horizontal="left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center" vertical="center"/>
    </xf>
    <xf numFmtId="2" fontId="2" fillId="0" borderId="24" xfId="0" applyNumberFormat="1" applyFont="1" applyFill="1" applyBorder="1" applyAlignment="1">
      <alignment horizontal="center" vertical="center"/>
    </xf>
    <xf numFmtId="2" fontId="2" fillId="0" borderId="25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horizontal="left" vertical="center"/>
    </xf>
    <xf numFmtId="49" fontId="1" fillId="0" borderId="23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 wrapText="1"/>
    </xf>
    <xf numFmtId="0" fontId="3" fillId="0" borderId="26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left" vertical="center"/>
    </xf>
    <xf numFmtId="49" fontId="3" fillId="0" borderId="27" xfId="0" applyNumberFormat="1" applyFont="1" applyFill="1" applyBorder="1" applyAlignment="1">
      <alignment horizontal="right" vertical="center"/>
    </xf>
    <xf numFmtId="49" fontId="3" fillId="0" borderId="13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right"/>
    </xf>
    <xf numFmtId="49" fontId="10" fillId="0" borderId="15" xfId="0" applyNumberFormat="1" applyFont="1" applyFill="1" applyBorder="1" applyAlignment="1">
      <alignment horizontal="right" vertical="center" wrapText="1"/>
    </xf>
    <xf numFmtId="49" fontId="1" fillId="0" borderId="30" xfId="0" applyNumberFormat="1" applyFont="1" applyFill="1" applyBorder="1" applyAlignment="1">
      <alignment horizontal="right" vertical="center" wrapText="1"/>
    </xf>
    <xf numFmtId="2" fontId="11" fillId="0" borderId="30" xfId="0" applyNumberFormat="1" applyFont="1" applyFill="1" applyBorder="1" applyAlignment="1">
      <alignment horizontal="right" vertical="center"/>
    </xf>
    <xf numFmtId="2" fontId="4" fillId="0" borderId="30" xfId="0" applyNumberFormat="1" applyFont="1" applyFill="1" applyBorder="1" applyAlignment="1">
      <alignment horizontal="right" vertical="center"/>
    </xf>
    <xf numFmtId="0" fontId="3" fillId="0" borderId="14" xfId="0" applyNumberFormat="1" applyFont="1" applyFill="1" applyBorder="1" applyAlignment="1">
      <alignment horizontal="right" vertical="center"/>
    </xf>
    <xf numFmtId="49" fontId="3" fillId="0" borderId="31" xfId="0" applyNumberFormat="1" applyFont="1" applyFill="1" applyBorder="1" applyAlignment="1">
      <alignment horizontal="left" vertical="center" wrapText="1"/>
    </xf>
    <xf numFmtId="0" fontId="3" fillId="0" borderId="32" xfId="0" applyNumberFormat="1" applyFont="1" applyFill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/>
    </xf>
    <xf numFmtId="2" fontId="2" fillId="0" borderId="34" xfId="0" applyNumberFormat="1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left" vertical="center"/>
    </xf>
    <xf numFmtId="49" fontId="1" fillId="0" borderId="35" xfId="0" applyNumberFormat="1" applyFont="1" applyFill="1" applyBorder="1" applyAlignment="1">
      <alignment horizontal="left" vertical="center"/>
    </xf>
    <xf numFmtId="49" fontId="3" fillId="0" borderId="36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6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right" vertical="center"/>
    </xf>
    <xf numFmtId="0" fontId="3" fillId="0" borderId="40" xfId="0" applyNumberFormat="1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2" fontId="4" fillId="0" borderId="42" xfId="0" applyNumberFormat="1" applyFont="1" applyFill="1" applyBorder="1" applyAlignment="1">
      <alignment horizontal="center" vertical="center"/>
    </xf>
    <xf numFmtId="2" fontId="4" fillId="0" borderId="43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right" vertical="center" wrapText="1"/>
    </xf>
    <xf numFmtId="49" fontId="3" fillId="0" borderId="45" xfId="0" applyNumberFormat="1" applyFont="1" applyFill="1" applyBorder="1" applyAlignment="1">
      <alignment horizontal="right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5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right" vertical="center" wrapText="1"/>
    </xf>
    <xf numFmtId="2" fontId="4" fillId="0" borderId="47" xfId="0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horizontal="right" vertic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3" fillId="0" borderId="48" xfId="0" applyNumberFormat="1" applyFont="1" applyFill="1" applyBorder="1" applyAlignment="1">
      <alignment horizontal="right" vertical="center" wrapText="1"/>
    </xf>
    <xf numFmtId="2" fontId="4" fillId="0" borderId="48" xfId="0" applyNumberFormat="1" applyFont="1" applyFill="1" applyBorder="1" applyAlignment="1">
      <alignment horizontal="right" vertical="center" wrapText="1"/>
    </xf>
    <xf numFmtId="49" fontId="0" fillId="0" borderId="25" xfId="0" applyNumberFormat="1" applyFill="1" applyBorder="1" applyAlignment="1">
      <alignment horizontal="right"/>
    </xf>
    <xf numFmtId="2" fontId="0" fillId="0" borderId="49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left" vertical="center"/>
    </xf>
    <xf numFmtId="49" fontId="1" fillId="0" borderId="21" xfId="0" applyNumberFormat="1" applyFont="1" applyFill="1" applyBorder="1" applyAlignment="1">
      <alignment horizontal="left"/>
    </xf>
    <xf numFmtId="49" fontId="1" fillId="0" borderId="25" xfId="0" applyNumberFormat="1" applyFont="1" applyFill="1" applyBorder="1" applyAlignment="1">
      <alignment horizontal="left"/>
    </xf>
    <xf numFmtId="0" fontId="1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/>
    </xf>
    <xf numFmtId="49" fontId="3" fillId="0" borderId="49" xfId="0" applyNumberFormat="1" applyFont="1" applyFill="1" applyBorder="1" applyAlignment="1">
      <alignment horizontal="right" vertical="center"/>
    </xf>
    <xf numFmtId="49" fontId="3" fillId="0" borderId="50" xfId="0" applyNumberFormat="1" applyFont="1" applyFill="1" applyBorder="1" applyAlignment="1">
      <alignment horizontal="right" vertical="center"/>
    </xf>
    <xf numFmtId="49" fontId="10" fillId="0" borderId="15" xfId="0" applyNumberFormat="1" applyFont="1" applyFill="1" applyBorder="1" applyAlignment="1">
      <alignment horizontal="right" vertical="center"/>
    </xf>
    <xf numFmtId="49" fontId="0" fillId="0" borderId="48" xfId="0" applyNumberFormat="1" applyFill="1" applyBorder="1" applyAlignment="1">
      <alignment horizontal="right" vertical="center"/>
    </xf>
    <xf numFmtId="49" fontId="0" fillId="0" borderId="30" xfId="0" applyNumberFormat="1" applyFill="1" applyBorder="1" applyAlignment="1">
      <alignment horizontal="right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right" vertical="center" wrapText="1"/>
    </xf>
    <xf numFmtId="49" fontId="3" fillId="0" borderId="39" xfId="0" applyNumberFormat="1" applyFont="1" applyFill="1" applyBorder="1" applyAlignment="1">
      <alignment horizontal="right" vertical="center" wrapText="1"/>
    </xf>
    <xf numFmtId="1" fontId="3" fillId="0" borderId="40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49" fontId="0" fillId="0" borderId="12" xfId="0" applyNumberFormat="1" applyFill="1" applyBorder="1"/>
    <xf numFmtId="49" fontId="10" fillId="0" borderId="1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49" fontId="3" fillId="0" borderId="22" xfId="0" applyNumberFormat="1" applyFont="1" applyFill="1" applyBorder="1" applyAlignment="1">
      <alignment horizontal="left" vertical="top" wrapText="1"/>
    </xf>
    <xf numFmtId="2" fontId="0" fillId="0" borderId="24" xfId="0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 vertical="center"/>
    </xf>
    <xf numFmtId="2" fontId="0" fillId="0" borderId="2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right" vertical="center"/>
    </xf>
    <xf numFmtId="1" fontId="3" fillId="0" borderId="18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49" fontId="10" fillId="0" borderId="51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2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1" fontId="3" fillId="0" borderId="40" xfId="0" applyNumberFormat="1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horizontal="center"/>
    </xf>
    <xf numFmtId="2" fontId="4" fillId="0" borderId="43" xfId="0" applyNumberFormat="1" applyFont="1" applyFill="1" applyBorder="1" applyAlignment="1">
      <alignment horizontal="center"/>
    </xf>
    <xf numFmtId="2" fontId="4" fillId="0" borderId="40" xfId="0" applyNumberFormat="1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/>
    <xf numFmtId="49" fontId="10" fillId="0" borderId="53" xfId="0" applyNumberFormat="1" applyFont="1" applyFill="1" applyBorder="1" applyAlignment="1">
      <alignment horizontal="left"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vertical="center"/>
    </xf>
    <xf numFmtId="49" fontId="3" fillId="0" borderId="31" xfId="0" applyNumberFormat="1" applyFont="1" applyFill="1" applyBorder="1" applyAlignment="1">
      <alignment vertical="center" wrapText="1"/>
    </xf>
    <xf numFmtId="49" fontId="3" fillId="0" borderId="22" xfId="0" applyNumberFormat="1" applyFont="1" applyFill="1" applyBorder="1" applyAlignment="1">
      <alignment vertical="center" wrapText="1"/>
    </xf>
    <xf numFmtId="49" fontId="3" fillId="0" borderId="36" xfId="0" applyNumberFormat="1" applyFont="1" applyFill="1" applyBorder="1" applyAlignment="1">
      <alignment vertical="center" wrapText="1"/>
    </xf>
    <xf numFmtId="49" fontId="1" fillId="0" borderId="26" xfId="0" applyNumberFormat="1" applyFont="1" applyFill="1" applyBorder="1" applyAlignment="1">
      <alignment vertical="center"/>
    </xf>
    <xf numFmtId="0" fontId="0" fillId="0" borderId="14" xfId="0" applyFill="1" applyBorder="1"/>
    <xf numFmtId="49" fontId="1" fillId="0" borderId="35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left"/>
    </xf>
    <xf numFmtId="49" fontId="12" fillId="0" borderId="18" xfId="0" applyNumberFormat="1" applyFont="1" applyFill="1" applyBorder="1" applyAlignment="1">
      <alignment horizontal="left"/>
    </xf>
    <xf numFmtId="49" fontId="1" fillId="0" borderId="23" xfId="0" applyNumberFormat="1" applyFont="1" applyFill="1" applyBorder="1" applyAlignment="1">
      <alignment horizontal="left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left"/>
    </xf>
    <xf numFmtId="49" fontId="3" fillId="0" borderId="36" xfId="0" applyNumberFormat="1" applyFont="1" applyFill="1" applyBorder="1" applyAlignment="1">
      <alignment vertical="top" wrapText="1"/>
    </xf>
    <xf numFmtId="0" fontId="3" fillId="0" borderId="11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left"/>
    </xf>
    <xf numFmtId="49" fontId="1" fillId="0" borderId="52" xfId="0" applyNumberFormat="1" applyFont="1" applyFill="1" applyBorder="1" applyAlignment="1">
      <alignment horizontal="left"/>
    </xf>
    <xf numFmtId="49" fontId="1" fillId="0" borderId="18" xfId="0" applyNumberFormat="1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2" fontId="4" fillId="0" borderId="28" xfId="0" applyNumberFormat="1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horizontal="left" vertical="center"/>
    </xf>
    <xf numFmtId="49" fontId="3" fillId="0" borderId="36" xfId="0" applyNumberFormat="1" applyFont="1" applyFill="1" applyBorder="1" applyAlignment="1">
      <alignment horizontal="left" vertical="top" wrapText="1"/>
    </xf>
    <xf numFmtId="0" fontId="3" fillId="0" borderId="18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right"/>
    </xf>
    <xf numFmtId="49" fontId="1" fillId="0" borderId="21" xfId="0" applyNumberFormat="1" applyFont="1" applyFill="1" applyBorder="1" applyAlignment="1"/>
    <xf numFmtId="49" fontId="1" fillId="0" borderId="23" xfId="0" applyNumberFormat="1" applyFont="1" applyFill="1" applyBorder="1" applyAlignment="1"/>
    <xf numFmtId="49" fontId="13" fillId="0" borderId="12" xfId="0" applyNumberFormat="1" applyFont="1" applyFill="1" applyBorder="1"/>
    <xf numFmtId="49" fontId="3" fillId="0" borderId="3" xfId="0" applyNumberFormat="1" applyFont="1" applyFill="1" applyBorder="1" applyAlignment="1">
      <alignment horizontal="center"/>
    </xf>
    <xf numFmtId="49" fontId="3" fillId="0" borderId="40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right" vertical="center" wrapText="1"/>
    </xf>
    <xf numFmtId="49" fontId="3" fillId="0" borderId="33" xfId="0" applyNumberFormat="1" applyFont="1" applyFill="1" applyBorder="1" applyAlignment="1">
      <alignment horizontal="right" vertical="center" wrapText="1"/>
    </xf>
    <xf numFmtId="2" fontId="4" fillId="0" borderId="34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/>
    <xf numFmtId="2" fontId="0" fillId="0" borderId="0" xfId="0" applyNumberFormat="1" applyFont="1" applyFill="1" applyBorder="1"/>
    <xf numFmtId="49" fontId="1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49" fontId="0" fillId="0" borderId="0" xfId="0" applyNumberFormat="1" applyFill="1" applyAlignment="1">
      <alignment wrapText="1"/>
    </xf>
    <xf numFmtId="0" fontId="3" fillId="0" borderId="0" xfId="0" applyNumberFormat="1" applyFont="1" applyFill="1"/>
    <xf numFmtId="0" fontId="0" fillId="0" borderId="0" xfId="0" applyNumberFormat="1" applyFill="1" applyAlignment="1"/>
    <xf numFmtId="49" fontId="6" fillId="0" borderId="0" xfId="0" applyNumberFormat="1" applyFont="1" applyFill="1" applyAlignment="1"/>
    <xf numFmtId="49" fontId="0" fillId="0" borderId="2" xfId="0" applyNumberFormat="1" applyFont="1" applyFill="1" applyBorder="1" applyAlignment="1">
      <alignment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12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vertical="center" wrapText="1"/>
    </xf>
    <xf numFmtId="2" fontId="0" fillId="0" borderId="8" xfId="0" applyNumberFormat="1" applyFont="1" applyFill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2" fontId="0" fillId="0" borderId="44" xfId="0" applyNumberFormat="1" applyFon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wrapText="1"/>
    </xf>
    <xf numFmtId="0" fontId="0" fillId="0" borderId="13" xfId="0" applyNumberFormat="1" applyFill="1" applyBorder="1"/>
    <xf numFmtId="2" fontId="0" fillId="0" borderId="19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 wrapText="1"/>
    </xf>
    <xf numFmtId="2" fontId="3" fillId="0" borderId="28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49" fontId="10" fillId="0" borderId="51" xfId="0" applyNumberFormat="1" applyFont="1" applyFill="1" applyBorder="1" applyAlignment="1">
      <alignment horizontal="right" vertical="center" wrapText="1"/>
    </xf>
    <xf numFmtId="49" fontId="7" fillId="0" borderId="30" xfId="0" applyNumberFormat="1" applyFont="1" applyFill="1" applyBorder="1" applyAlignment="1">
      <alignment horizontal="right" vertical="center"/>
    </xf>
    <xf numFmtId="0" fontId="3" fillId="0" borderId="30" xfId="0" applyNumberFormat="1" applyFont="1" applyFill="1" applyBorder="1" applyAlignment="1">
      <alignment horizontal="right" vertical="center"/>
    </xf>
    <xf numFmtId="2" fontId="0" fillId="0" borderId="33" xfId="0" applyNumberFormat="1" applyFont="1" applyFill="1" applyBorder="1" applyAlignment="1">
      <alignment horizontal="center" vertical="center"/>
    </xf>
    <xf numFmtId="2" fontId="0" fillId="0" borderId="34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2" fontId="0" fillId="0" borderId="53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vertical="center"/>
    </xf>
    <xf numFmtId="49" fontId="3" fillId="0" borderId="39" xfId="0" applyNumberFormat="1" applyFont="1" applyFill="1" applyBorder="1" applyAlignment="1">
      <alignment vertical="center" wrapText="1"/>
    </xf>
    <xf numFmtId="2" fontId="3" fillId="0" borderId="41" xfId="0" applyNumberFormat="1" applyFont="1" applyFill="1" applyBorder="1" applyAlignment="1">
      <alignment horizontal="center" vertical="center"/>
    </xf>
    <xf numFmtId="2" fontId="3" fillId="0" borderId="42" xfId="0" applyNumberFormat="1" applyFont="1" applyFill="1" applyBorder="1" applyAlignment="1">
      <alignment horizontal="center" vertical="center"/>
    </xf>
    <xf numFmtId="2" fontId="3" fillId="0" borderId="43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vertical="center" wrapText="1"/>
    </xf>
    <xf numFmtId="2" fontId="3" fillId="0" borderId="46" xfId="0" applyNumberFormat="1" applyFont="1" applyFill="1" applyBorder="1" applyAlignment="1">
      <alignment horizontal="center" vertical="center" wrapText="1"/>
    </xf>
    <xf numFmtId="2" fontId="3" fillId="0" borderId="45" xfId="0" applyNumberFormat="1" applyFont="1" applyFill="1" applyBorder="1" applyAlignment="1">
      <alignment horizontal="center" vertical="center" wrapText="1"/>
    </xf>
    <xf numFmtId="2" fontId="3" fillId="0" borderId="44" xfId="0" applyNumberFormat="1" applyFont="1" applyFill="1" applyBorder="1" applyAlignment="1">
      <alignment horizontal="center" vertical="center" wrapText="1"/>
    </xf>
    <xf numFmtId="2" fontId="3" fillId="0" borderId="47" xfId="0" applyNumberFormat="1" applyFont="1" applyFill="1" applyBorder="1" applyAlignment="1">
      <alignment horizontal="right" vertical="center"/>
    </xf>
    <xf numFmtId="2" fontId="3" fillId="0" borderId="6" xfId="0" applyNumberFormat="1" applyFont="1" applyFill="1" applyBorder="1" applyAlignment="1">
      <alignment horizontal="right" vertical="center"/>
    </xf>
    <xf numFmtId="0" fontId="3" fillId="0" borderId="48" xfId="0" applyNumberFormat="1" applyFont="1" applyFill="1" applyBorder="1" applyAlignment="1">
      <alignment horizontal="right" vertical="center" wrapText="1"/>
    </xf>
    <xf numFmtId="0" fontId="1" fillId="0" borderId="23" xfId="0" applyFont="1" applyFill="1" applyBorder="1" applyAlignment="1">
      <alignment horizontal="left" vertical="center"/>
    </xf>
    <xf numFmtId="49" fontId="3" fillId="0" borderId="49" xfId="0" applyNumberFormat="1" applyFont="1" applyFill="1" applyBorder="1" applyAlignment="1">
      <alignment vertical="center"/>
    </xf>
    <xf numFmtId="49" fontId="3" fillId="0" borderId="50" xfId="0" applyNumberFormat="1" applyFont="1" applyFill="1" applyBorder="1" applyAlignment="1">
      <alignment vertical="center" wrapText="1"/>
    </xf>
    <xf numFmtId="49" fontId="0" fillId="0" borderId="48" xfId="0" applyNumberFormat="1" applyFill="1" applyBorder="1" applyAlignment="1">
      <alignment horizontal="right" vertical="center" wrapText="1"/>
    </xf>
    <xf numFmtId="180" fontId="3" fillId="0" borderId="41" xfId="0" applyNumberFormat="1" applyFont="1" applyFill="1" applyBorder="1" applyAlignment="1">
      <alignment horizontal="center" vertical="center" wrapText="1"/>
    </xf>
    <xf numFmtId="180" fontId="3" fillId="0" borderId="39" xfId="0" applyNumberFormat="1" applyFont="1" applyFill="1" applyBorder="1" applyAlignment="1">
      <alignment horizontal="center" vertical="center" wrapText="1"/>
    </xf>
    <xf numFmtId="180" fontId="3" fillId="0" borderId="27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49" xfId="0" applyNumberFormat="1" applyFon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right" vertical="center" wrapText="1"/>
    </xf>
    <xf numFmtId="2" fontId="3" fillId="0" borderId="41" xfId="0" applyNumberFormat="1" applyFont="1" applyFill="1" applyBorder="1" applyAlignment="1">
      <alignment horizontal="center"/>
    </xf>
    <xf numFmtId="2" fontId="3" fillId="0" borderId="42" xfId="0" applyNumberFormat="1" applyFont="1" applyFill="1" applyBorder="1" applyAlignment="1">
      <alignment horizontal="center"/>
    </xf>
    <xf numFmtId="2" fontId="3" fillId="0" borderId="43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center"/>
    </xf>
    <xf numFmtId="180" fontId="3" fillId="0" borderId="42" xfId="0" applyNumberFormat="1" applyFont="1" applyFill="1" applyBorder="1" applyAlignment="1">
      <alignment horizontal="center" vertical="center" wrapText="1"/>
    </xf>
    <xf numFmtId="180" fontId="3" fillId="0" borderId="43" xfId="0" applyNumberFormat="1" applyFont="1" applyFill="1" applyBorder="1" applyAlignment="1">
      <alignment horizontal="center" vertical="center" wrapText="1"/>
    </xf>
    <xf numFmtId="2" fontId="3" fillId="0" borderId="47" xfId="0" applyNumberFormat="1" applyFont="1" applyFill="1" applyBorder="1"/>
    <xf numFmtId="2" fontId="3" fillId="0" borderId="6" xfId="0" applyNumberFormat="1" applyFont="1" applyFill="1" applyBorder="1"/>
    <xf numFmtId="0" fontId="3" fillId="0" borderId="48" xfId="0" applyNumberFormat="1" applyFont="1" applyFill="1" applyBorder="1" applyAlignment="1">
      <alignment horizontal="center" vertical="center" wrapText="1"/>
    </xf>
    <xf numFmtId="0" fontId="0" fillId="0" borderId="33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3" fillId="0" borderId="43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1" fontId="3" fillId="0" borderId="49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/>
    </xf>
    <xf numFmtId="0" fontId="3" fillId="0" borderId="29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180" fontId="3" fillId="0" borderId="41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80" fontId="3" fillId="0" borderId="43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right" vertical="center"/>
    </xf>
    <xf numFmtId="0" fontId="0" fillId="0" borderId="37" xfId="0" applyNumberFormat="1" applyFont="1" applyFill="1" applyBorder="1" applyAlignment="1">
      <alignment horizontal="center" vertical="center"/>
    </xf>
    <xf numFmtId="0" fontId="0" fillId="0" borderId="38" xfId="0" applyNumberFormat="1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center" vertical="center"/>
    </xf>
    <xf numFmtId="0" fontId="3" fillId="0" borderId="47" xfId="0" applyNumberFormat="1" applyFont="1" applyFill="1" applyBorder="1"/>
    <xf numFmtId="0" fontId="3" fillId="0" borderId="6" xfId="0" applyNumberFormat="1" applyFont="1" applyFill="1" applyBorder="1"/>
    <xf numFmtId="49" fontId="3" fillId="0" borderId="41" xfId="0" applyNumberFormat="1" applyFont="1" applyFill="1" applyBorder="1" applyAlignment="1">
      <alignment horizontal="right" vertical="center" wrapText="1"/>
    </xf>
    <xf numFmtId="0" fontId="3" fillId="0" borderId="42" xfId="0" applyNumberFormat="1" applyFont="1" applyFill="1" applyBorder="1" applyAlignment="1">
      <alignment horizontal="center"/>
    </xf>
    <xf numFmtId="0" fontId="3" fillId="0" borderId="54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49" fontId="0" fillId="0" borderId="0" xfId="0" applyNumberFormat="1" applyFont="1" applyFill="1" applyAlignment="1">
      <alignment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215"/>
  <sheetViews>
    <sheetView tabSelected="1" view="pageBreakPreview" zoomScale="90" zoomScaleNormal="100" topLeftCell="A58" workbookViewId="0">
      <pane xSplit="23540" topLeftCell="J1" activePane="topLeft"/>
      <selection activeCell="C82" sqref="C82"/>
      <selection pane="topRight"/>
    </sheetView>
  </sheetViews>
  <sheetFormatPr defaultColWidth="9.17592592592593" defaultRowHeight="19.5" customHeight="1"/>
  <cols>
    <col min="1" max="1" width="16.8148148148148" style="2" customWidth="1"/>
    <col min="2" max="2" width="42.4537037037037" style="228" customWidth="1"/>
    <col min="3" max="3" width="10.2685185185185" style="4" customWidth="1"/>
    <col min="4" max="4" width="8" style="3" customWidth="1"/>
    <col min="5" max="6" width="8" style="7" customWidth="1"/>
    <col min="7" max="7" width="9.81481481481481" style="7" customWidth="1"/>
    <col min="8" max="8" width="30.8148148148148" style="7" customWidth="1"/>
    <col min="9" max="15" width="8" style="7" customWidth="1"/>
    <col min="16" max="16" width="5.72222222222222" style="7" customWidth="1"/>
    <col min="17" max="17" width="5.5462962962963" style="8" customWidth="1"/>
    <col min="18" max="16384" width="9.17592592592593" style="3"/>
  </cols>
  <sheetData>
    <row r="1" customHeight="1" spans="1:1">
      <c r="A1" s="9"/>
    </row>
    <row r="2" customHeight="1" spans="1:16">
      <c r="A2" s="10"/>
      <c r="F2" s="229"/>
      <c r="G2" s="13"/>
      <c r="H2" s="16"/>
      <c r="K2" s="148"/>
      <c r="L2" s="148"/>
      <c r="M2" s="148"/>
      <c r="N2" s="148"/>
      <c r="O2" s="148"/>
      <c r="P2" s="148"/>
    </row>
    <row r="3" customHeight="1" spans="1:16">
      <c r="A3" s="14"/>
      <c r="D3" s="11"/>
      <c r="E3" s="230"/>
      <c r="F3" s="230"/>
      <c r="G3" s="16"/>
      <c r="H3" s="16"/>
      <c r="J3" s="149"/>
      <c r="K3" s="149"/>
      <c r="L3" s="149"/>
      <c r="M3" s="149"/>
      <c r="N3" s="149"/>
      <c r="O3" s="149"/>
      <c r="P3" s="149"/>
    </row>
    <row r="4" customHeight="1" spans="1:16">
      <c r="A4" s="17"/>
      <c r="D4" s="231"/>
      <c r="E4" s="231"/>
      <c r="F4" s="231"/>
      <c r="G4" s="19"/>
      <c r="H4" s="19"/>
      <c r="J4" s="149"/>
      <c r="K4" s="149"/>
      <c r="L4" s="149"/>
      <c r="M4" s="149"/>
      <c r="N4" s="149"/>
      <c r="O4" s="149"/>
      <c r="P4" s="149"/>
    </row>
    <row r="5" customHeight="1" spans="1:16">
      <c r="A5" s="17"/>
      <c r="D5" s="11"/>
      <c r="E5" s="230"/>
      <c r="F5" s="230"/>
      <c r="G5" s="16"/>
      <c r="H5" s="16"/>
      <c r="J5" s="149"/>
      <c r="K5" s="149"/>
      <c r="L5" s="149"/>
      <c r="M5" s="149"/>
      <c r="N5" s="149"/>
      <c r="O5" s="149"/>
      <c r="P5" s="149"/>
    </row>
    <row r="6" customHeight="1" spans="1:1">
      <c r="A6" s="17"/>
    </row>
    <row r="7" customHeight="1" spans="1:1">
      <c r="A7" s="17"/>
    </row>
    <row r="8" customHeight="1" spans="1:1">
      <c r="A8" s="17"/>
    </row>
    <row r="9" customHeight="1" spans="1:16">
      <c r="A9" s="21" t="s">
        <v>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customHeight="1" spans="1:16">
      <c r="A10" s="21" t="s">
        <v>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customHeight="1" spans="1:16">
      <c r="A11" s="21" t="s">
        <v>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customHeight="1" spans="1:16">
      <c r="A12" s="22"/>
      <c r="B12" s="21" t="s">
        <v>3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51"/>
      <c r="O12" s="151"/>
      <c r="P12" s="151"/>
    </row>
    <row r="13" customHeight="1" spans="2:17">
      <c r="B13" s="4"/>
      <c r="C13" s="3"/>
      <c r="D13" s="7"/>
      <c r="P13" s="8"/>
      <c r="Q13" s="3"/>
    </row>
    <row r="14" s="1" customFormat="1" ht="24.75" customHeight="1" spans="1:58">
      <c r="A14" s="23"/>
      <c r="B14" s="232" t="s">
        <v>4</v>
      </c>
      <c r="C14" s="25" t="s">
        <v>5</v>
      </c>
      <c r="D14" s="233" t="s">
        <v>6</v>
      </c>
      <c r="E14" s="233"/>
      <c r="F14" s="233"/>
      <c r="G14" s="234" t="s">
        <v>7</v>
      </c>
      <c r="H14" s="28" t="s">
        <v>8</v>
      </c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</row>
    <row r="15" s="1" customFormat="1" customHeight="1" spans="1:58">
      <c r="A15" s="29"/>
      <c r="B15" s="235"/>
      <c r="C15" s="31"/>
      <c r="D15" s="236" t="s">
        <v>9</v>
      </c>
      <c r="E15" s="237" t="s">
        <v>10</v>
      </c>
      <c r="F15" s="238" t="s">
        <v>11</v>
      </c>
      <c r="G15" s="239"/>
      <c r="H15" s="36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</row>
    <row r="16" ht="17.25" customHeight="1" spans="1:17">
      <c r="A16" s="37" t="s">
        <v>12</v>
      </c>
      <c r="B16" s="240"/>
      <c r="C16" s="39"/>
      <c r="D16" s="38"/>
      <c r="E16" s="38"/>
      <c r="F16" s="241"/>
      <c r="G16" s="241"/>
      <c r="H16" s="41"/>
      <c r="J16" s="3"/>
      <c r="K16" s="3"/>
      <c r="L16" s="3"/>
      <c r="M16" s="3"/>
      <c r="N16" s="3"/>
      <c r="O16" s="3"/>
      <c r="P16" s="3"/>
      <c r="Q16" s="3"/>
    </row>
    <row r="17" ht="17.25" customHeight="1" spans="1:17">
      <c r="A17" s="42"/>
      <c r="B17" s="43" t="s">
        <v>13</v>
      </c>
      <c r="C17" s="43"/>
      <c r="D17" s="43"/>
      <c r="E17" s="43"/>
      <c r="F17" s="43"/>
      <c r="G17" s="43"/>
      <c r="H17" s="41"/>
      <c r="J17" s="3"/>
      <c r="K17" s="3"/>
      <c r="L17" s="3"/>
      <c r="M17" s="3"/>
      <c r="N17" s="3"/>
      <c r="O17" s="3"/>
      <c r="P17" s="3"/>
      <c r="Q17" s="3"/>
    </row>
    <row r="18" ht="17.25" customHeight="1" spans="1:17">
      <c r="A18" s="44" t="s">
        <v>14</v>
      </c>
      <c r="B18" s="45"/>
      <c r="C18" s="45"/>
      <c r="D18" s="45"/>
      <c r="E18" s="45"/>
      <c r="F18" s="45"/>
      <c r="G18" s="45"/>
      <c r="H18" s="41"/>
      <c r="J18" s="3"/>
      <c r="K18" s="3"/>
      <c r="L18" s="3"/>
      <c r="M18" s="3"/>
      <c r="N18" s="3"/>
      <c r="O18" s="3"/>
      <c r="P18" s="3"/>
      <c r="Q18" s="3"/>
    </row>
    <row r="19" s="1" customFormat="1" ht="27.75" customHeight="1" spans="1:58">
      <c r="A19" s="46"/>
      <c r="B19" s="47" t="s">
        <v>15</v>
      </c>
      <c r="C19" s="48">
        <v>200</v>
      </c>
      <c r="D19" s="242">
        <v>7</v>
      </c>
      <c r="E19" s="243">
        <v>7.9</v>
      </c>
      <c r="F19" s="244">
        <v>24.7</v>
      </c>
      <c r="G19" s="113">
        <f>(D19*4)+(E19*9)+(F19*4)</f>
        <v>197.9</v>
      </c>
      <c r="H19" s="53" t="s">
        <v>16</v>
      </c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</row>
    <row r="20" s="1" customFormat="1" customHeight="1" spans="1:58">
      <c r="A20" s="54"/>
      <c r="B20" s="55" t="s">
        <v>17</v>
      </c>
      <c r="C20" s="56">
        <v>200</v>
      </c>
      <c r="D20" s="138">
        <v>0.02</v>
      </c>
      <c r="E20" s="139">
        <v>0</v>
      </c>
      <c r="F20" s="140">
        <v>15</v>
      </c>
      <c r="G20" s="113">
        <f>(D20*4)+(E20*9)+(F20*4)</f>
        <v>60.08</v>
      </c>
      <c r="H20" s="60" t="s">
        <v>18</v>
      </c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</row>
    <row r="21" s="1" customFormat="1" customHeight="1" spans="1:58">
      <c r="A21" s="54"/>
      <c r="B21" s="55" t="s">
        <v>19</v>
      </c>
      <c r="C21" s="56">
        <v>10</v>
      </c>
      <c r="D21" s="138">
        <v>2.5</v>
      </c>
      <c r="E21" s="139">
        <v>2.5</v>
      </c>
      <c r="F21" s="140">
        <v>3.23</v>
      </c>
      <c r="G21" s="113">
        <f>(D21*4)+(E21*9)+(F21*4)</f>
        <v>45.42</v>
      </c>
      <c r="H21" s="60" t="s">
        <v>20</v>
      </c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</row>
    <row r="22" s="1" customFormat="1" customHeight="1" spans="1:58">
      <c r="A22" s="54"/>
      <c r="B22" s="55" t="s">
        <v>21</v>
      </c>
      <c r="C22" s="56">
        <v>10</v>
      </c>
      <c r="D22" s="138">
        <v>0.01</v>
      </c>
      <c r="E22" s="139">
        <v>7.25</v>
      </c>
      <c r="F22" s="140">
        <v>0.13</v>
      </c>
      <c r="G22" s="113">
        <f>(D22*4)+(E22*9)+(F22*4)</f>
        <v>65.81</v>
      </c>
      <c r="H22" s="60" t="s">
        <v>22</v>
      </c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</row>
    <row r="23" s="1" customFormat="1" customHeight="1" spans="1:58">
      <c r="A23" s="61"/>
      <c r="B23" s="55" t="s">
        <v>23</v>
      </c>
      <c r="C23" s="56">
        <v>40</v>
      </c>
      <c r="D23" s="138">
        <v>3.04</v>
      </c>
      <c r="E23" s="139">
        <v>0.4</v>
      </c>
      <c r="F23" s="140">
        <v>24.6</v>
      </c>
      <c r="G23" s="113">
        <f>(D23*4)+(E23*9)+(F23*4)</f>
        <v>114.16</v>
      </c>
      <c r="H23" s="62" t="s">
        <v>24</v>
      </c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</row>
    <row r="24" s="1" customFormat="1" customHeight="1" spans="1:58">
      <c r="A24" s="245" t="s">
        <v>25</v>
      </c>
      <c r="B24" s="246"/>
      <c r="C24" s="71">
        <f>SUM(C19:C23)</f>
        <v>460</v>
      </c>
      <c r="D24" s="247">
        <f>SUM(D19:D23)</f>
        <v>12.57</v>
      </c>
      <c r="E24" s="248">
        <f>SUM(E19:E23)</f>
        <v>18.05</v>
      </c>
      <c r="F24" s="249">
        <f>SUM(F19:F23)</f>
        <v>67.66</v>
      </c>
      <c r="G24" s="250">
        <f>SUM(G19:G23)</f>
        <v>483.37</v>
      </c>
      <c r="H24" s="76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</row>
    <row r="25" ht="17.25" customHeight="1" spans="1:17">
      <c r="A25" s="251" t="s">
        <v>26</v>
      </c>
      <c r="B25" s="78"/>
      <c r="C25" s="78"/>
      <c r="D25" s="252"/>
      <c r="E25" s="252"/>
      <c r="F25" s="253"/>
      <c r="G25" s="253"/>
      <c r="H25" s="81"/>
      <c r="I25" s="153"/>
      <c r="J25" s="152"/>
      <c r="K25" s="3"/>
      <c r="L25" s="3"/>
      <c r="M25" s="3"/>
      <c r="N25" s="3"/>
      <c r="O25" s="3"/>
      <c r="P25" s="3"/>
      <c r="Q25" s="3"/>
    </row>
    <row r="26" s="1" customFormat="1" ht="32.25" customHeight="1" spans="1:58">
      <c r="A26" s="61"/>
      <c r="B26" s="82" t="s">
        <v>27</v>
      </c>
      <c r="C26" s="125" t="s">
        <v>28</v>
      </c>
      <c r="D26" s="254">
        <v>1.75</v>
      </c>
      <c r="E26" s="255">
        <v>4.87</v>
      </c>
      <c r="F26" s="256">
        <v>8.47</v>
      </c>
      <c r="G26" s="257">
        <f>(D26*4)+(E26*9)+(F26*4)</f>
        <v>84.71</v>
      </c>
      <c r="H26" s="87" t="s">
        <v>29</v>
      </c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</row>
    <row r="27" s="1" customFormat="1" customHeight="1" spans="1:58">
      <c r="A27" s="61"/>
      <c r="B27" s="55" t="s">
        <v>30</v>
      </c>
      <c r="C27" s="56">
        <v>90</v>
      </c>
      <c r="D27" s="138">
        <v>6.5</v>
      </c>
      <c r="E27" s="139">
        <v>4.4</v>
      </c>
      <c r="F27" s="140">
        <v>7.6</v>
      </c>
      <c r="G27" s="257">
        <v>96</v>
      </c>
      <c r="H27" s="62" t="s">
        <v>31</v>
      </c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</row>
    <row r="28" s="1" customFormat="1" customHeight="1" spans="1:58">
      <c r="A28" s="61"/>
      <c r="B28" s="55" t="s">
        <v>32</v>
      </c>
      <c r="C28" s="56">
        <v>150</v>
      </c>
      <c r="D28" s="138">
        <v>3.64</v>
      </c>
      <c r="E28" s="139">
        <v>5.37</v>
      </c>
      <c r="F28" s="140">
        <v>36.7</v>
      </c>
      <c r="G28" s="257">
        <f t="shared" ref="G27:G31" si="0">(D28*4)+(E28*9)+(F28*4)</f>
        <v>209.69</v>
      </c>
      <c r="H28" s="62" t="s">
        <v>33</v>
      </c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</row>
    <row r="29" s="1" customFormat="1" customHeight="1" spans="1:58">
      <c r="A29" s="61"/>
      <c r="B29" s="55" t="s">
        <v>34</v>
      </c>
      <c r="C29" s="56">
        <v>60</v>
      </c>
      <c r="D29" s="138">
        <v>1.86</v>
      </c>
      <c r="E29" s="139">
        <v>0.12</v>
      </c>
      <c r="F29" s="140">
        <v>3.9</v>
      </c>
      <c r="G29" s="257">
        <f t="shared" si="0"/>
        <v>24.12</v>
      </c>
      <c r="H29" s="62" t="s">
        <v>35</v>
      </c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</row>
    <row r="30" s="1" customFormat="1" customHeight="1" spans="1:58">
      <c r="A30" s="61"/>
      <c r="B30" s="55" t="s">
        <v>36</v>
      </c>
      <c r="C30" s="56" t="s">
        <v>37</v>
      </c>
      <c r="D30" s="138">
        <v>7.34</v>
      </c>
      <c r="E30" s="139">
        <v>2.1</v>
      </c>
      <c r="F30" s="140">
        <v>45.9</v>
      </c>
      <c r="G30" s="257">
        <f t="shared" si="0"/>
        <v>231.86</v>
      </c>
      <c r="H30" s="62" t="s">
        <v>24</v>
      </c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</row>
    <row r="31" s="1" customFormat="1" customHeight="1" spans="1:58">
      <c r="A31" s="88"/>
      <c r="B31" s="89" t="s">
        <v>38</v>
      </c>
      <c r="C31" s="90">
        <v>200</v>
      </c>
      <c r="D31" s="258">
        <v>0.6</v>
      </c>
      <c r="E31" s="259">
        <v>0.09</v>
      </c>
      <c r="F31" s="260">
        <v>17.3</v>
      </c>
      <c r="G31" s="257">
        <f t="shared" si="0"/>
        <v>72.41</v>
      </c>
      <c r="H31" s="68" t="s">
        <v>39</v>
      </c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</row>
    <row r="32" s="1" customFormat="1" customHeight="1" spans="1:58">
      <c r="A32" s="261" t="s">
        <v>25</v>
      </c>
      <c r="B32" s="262"/>
      <c r="C32" s="95">
        <f>SUM(C27:C31)+275+100</f>
        <v>875</v>
      </c>
      <c r="D32" s="263">
        <f>SUM(D26:D31)</f>
        <v>21.69</v>
      </c>
      <c r="E32" s="264">
        <f t="shared" ref="E32:G32" si="1">SUM(E26:E31)</f>
        <v>16.95</v>
      </c>
      <c r="F32" s="265">
        <f t="shared" si="1"/>
        <v>119.87</v>
      </c>
      <c r="G32" s="266">
        <f t="shared" si="1"/>
        <v>718.79</v>
      </c>
      <c r="H32" s="76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</row>
    <row r="33" s="1" customFormat="1" customHeight="1" spans="1:58">
      <c r="A33" s="267" t="s">
        <v>40</v>
      </c>
      <c r="B33" s="262"/>
      <c r="C33" s="102">
        <f>C24+C32</f>
        <v>1335</v>
      </c>
      <c r="D33" s="268">
        <f>SUM(D32)+E24</f>
        <v>39.74</v>
      </c>
      <c r="E33" s="268">
        <f t="shared" ref="E33:F33" si="2">SUM(E32)+F24</f>
        <v>84.61</v>
      </c>
      <c r="F33" s="269">
        <f t="shared" si="2"/>
        <v>603.24</v>
      </c>
      <c r="G33" s="270">
        <f>G24+G32</f>
        <v>1202.16</v>
      </c>
      <c r="H33" s="76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</row>
    <row r="34" s="1" customFormat="1" customHeight="1" spans="1:58">
      <c r="A34" s="100"/>
      <c r="B34" s="101"/>
      <c r="C34" s="106"/>
      <c r="D34" s="271"/>
      <c r="E34" s="271"/>
      <c r="F34" s="271"/>
      <c r="G34" s="272"/>
      <c r="H34" s="76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</row>
    <row r="35" ht="17.25" customHeight="1" spans="1:17">
      <c r="A35" s="108"/>
      <c r="B35" s="109" t="s">
        <v>41</v>
      </c>
      <c r="C35" s="109"/>
      <c r="D35" s="109"/>
      <c r="E35" s="109"/>
      <c r="F35" s="109"/>
      <c r="G35" s="109"/>
      <c r="H35" s="76"/>
      <c r="I35" s="154"/>
      <c r="J35" s="152"/>
      <c r="K35" s="3"/>
      <c r="L35" s="3"/>
      <c r="M35" s="3"/>
      <c r="N35" s="3"/>
      <c r="O35" s="3"/>
      <c r="P35" s="3"/>
      <c r="Q35" s="3"/>
    </row>
    <row r="36" ht="17.25" customHeight="1" spans="1:17">
      <c r="A36" s="77" t="s">
        <v>14</v>
      </c>
      <c r="B36" s="110"/>
      <c r="C36" s="110"/>
      <c r="D36" s="110"/>
      <c r="E36" s="110"/>
      <c r="F36" s="273"/>
      <c r="G36" s="273"/>
      <c r="H36" s="76"/>
      <c r="I36" s="154"/>
      <c r="J36" s="152"/>
      <c r="K36" s="3"/>
      <c r="L36" s="3"/>
      <c r="M36" s="3"/>
      <c r="N36" s="3"/>
      <c r="O36" s="3"/>
      <c r="P36" s="3"/>
      <c r="Q36" s="3"/>
    </row>
    <row r="37" s="1" customFormat="1" ht="33" customHeight="1" spans="1:58">
      <c r="A37" s="61"/>
      <c r="B37" s="82" t="s">
        <v>42</v>
      </c>
      <c r="C37" s="83">
        <v>160</v>
      </c>
      <c r="D37" s="254">
        <v>12.9</v>
      </c>
      <c r="E37" s="255">
        <v>12.3</v>
      </c>
      <c r="F37" s="256">
        <v>3.7</v>
      </c>
      <c r="G37" s="257">
        <f>(D37*4)+(E37*9)+(F37*4)</f>
        <v>177.1</v>
      </c>
      <c r="H37" s="87" t="s">
        <v>43</v>
      </c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</row>
    <row r="38" s="1" customFormat="1" customHeight="1" spans="1:58">
      <c r="A38" s="115"/>
      <c r="B38" s="55" t="s">
        <v>44</v>
      </c>
      <c r="C38" s="56">
        <v>60</v>
      </c>
      <c r="D38" s="138">
        <v>1.86</v>
      </c>
      <c r="E38" s="139">
        <v>0.12</v>
      </c>
      <c r="F38" s="140">
        <v>3.9</v>
      </c>
      <c r="G38" s="257">
        <f>(D38*4)+(E38*9)+(F38*4)</f>
        <v>24.12</v>
      </c>
      <c r="H38" s="187" t="s">
        <v>45</v>
      </c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</row>
    <row r="39" s="1" customFormat="1" customHeight="1" spans="1:58">
      <c r="A39" s="117"/>
      <c r="B39" s="118" t="s">
        <v>46</v>
      </c>
      <c r="C39" s="56">
        <v>200</v>
      </c>
      <c r="D39" s="138">
        <v>4.9</v>
      </c>
      <c r="E39" s="139">
        <v>5</v>
      </c>
      <c r="F39" s="140">
        <v>32.5</v>
      </c>
      <c r="G39" s="257">
        <f>(D39*4)+(E39*9)+(F39*4)</f>
        <v>194.6</v>
      </c>
      <c r="H39" s="274" t="s">
        <v>47</v>
      </c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</row>
    <row r="40" s="1" customFormat="1" customHeight="1" spans="1:58">
      <c r="A40" s="61"/>
      <c r="B40" s="55" t="s">
        <v>23</v>
      </c>
      <c r="C40" s="56">
        <v>40</v>
      </c>
      <c r="D40" s="138">
        <v>3.04</v>
      </c>
      <c r="E40" s="139">
        <v>0.4</v>
      </c>
      <c r="F40" s="140">
        <v>24.6</v>
      </c>
      <c r="G40" s="257">
        <f>(D40*4)+(E40*9)+(F40*4)</f>
        <v>114.16</v>
      </c>
      <c r="H40" s="62" t="s">
        <v>24</v>
      </c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</row>
    <row r="41" s="1" customFormat="1" customHeight="1" spans="1:58">
      <c r="A41" s="275" t="s">
        <v>25</v>
      </c>
      <c r="B41" s="276"/>
      <c r="C41" s="71">
        <v>560</v>
      </c>
      <c r="D41" s="247">
        <f>SUM(D37:D40)</f>
        <v>22.7</v>
      </c>
      <c r="E41" s="248">
        <f>SUM(E37:E40)</f>
        <v>17.82</v>
      </c>
      <c r="F41" s="249">
        <f>SUM(F37:F40)</f>
        <v>64.7</v>
      </c>
      <c r="G41" s="250">
        <f>SUM(G37:G40)</f>
        <v>509.98</v>
      </c>
      <c r="H41" s="76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</row>
    <row r="42" ht="17.25" customHeight="1" spans="1:17">
      <c r="A42" s="122" t="s">
        <v>26</v>
      </c>
      <c r="B42" s="277"/>
      <c r="C42" s="124"/>
      <c r="D42" s="252"/>
      <c r="E42" s="252"/>
      <c r="F42" s="253"/>
      <c r="G42" s="253"/>
      <c r="H42" s="76"/>
      <c r="I42" s="153"/>
      <c r="J42" s="152"/>
      <c r="K42" s="3"/>
      <c r="L42" s="3"/>
      <c r="M42" s="3"/>
      <c r="N42" s="3"/>
      <c r="O42" s="3"/>
      <c r="P42" s="3"/>
      <c r="Q42" s="3"/>
    </row>
    <row r="43" s="1" customFormat="1" customHeight="1" spans="1:58">
      <c r="A43" s="61"/>
      <c r="B43" s="82" t="s">
        <v>48</v>
      </c>
      <c r="C43" s="83">
        <v>250</v>
      </c>
      <c r="D43" s="254">
        <v>6.2</v>
      </c>
      <c r="E43" s="255">
        <v>5.6</v>
      </c>
      <c r="F43" s="256">
        <v>22.3</v>
      </c>
      <c r="G43" s="257">
        <f>(D43*4)+(E43*9)+(F43*4)</f>
        <v>164.4</v>
      </c>
      <c r="H43" s="87" t="s">
        <v>49</v>
      </c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</row>
    <row r="44" s="1" customFormat="1" customHeight="1" spans="1:58">
      <c r="A44" s="61"/>
      <c r="B44" s="55" t="s">
        <v>50</v>
      </c>
      <c r="C44" s="56">
        <v>90</v>
      </c>
      <c r="D44" s="138">
        <v>16.7</v>
      </c>
      <c r="E44" s="139">
        <v>9.1</v>
      </c>
      <c r="F44" s="140">
        <v>4.5</v>
      </c>
      <c r="G44" s="257">
        <f t="shared" ref="G44:G48" si="3">(D44*4)+(E44*9)+(F44*4)</f>
        <v>166.7</v>
      </c>
      <c r="H44" s="62" t="s">
        <v>51</v>
      </c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</row>
    <row r="45" s="1" customFormat="1" customHeight="1" spans="1:58">
      <c r="A45" s="61"/>
      <c r="B45" s="55" t="s">
        <v>52</v>
      </c>
      <c r="C45" s="56">
        <v>150</v>
      </c>
      <c r="D45" s="138">
        <v>6.3</v>
      </c>
      <c r="E45" s="139">
        <v>4.5</v>
      </c>
      <c r="F45" s="140">
        <v>38.8</v>
      </c>
      <c r="G45" s="257">
        <f t="shared" si="3"/>
        <v>220.9</v>
      </c>
      <c r="H45" s="62" t="s">
        <v>53</v>
      </c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</row>
    <row r="46" s="1" customFormat="1" customHeight="1" spans="1:58">
      <c r="A46" s="61"/>
      <c r="B46" s="55" t="s">
        <v>54</v>
      </c>
      <c r="C46" s="56">
        <v>60</v>
      </c>
      <c r="D46" s="138">
        <v>1</v>
      </c>
      <c r="E46" s="139">
        <v>0.4</v>
      </c>
      <c r="F46" s="140">
        <v>2.3</v>
      </c>
      <c r="G46" s="257">
        <f t="shared" si="3"/>
        <v>16.8</v>
      </c>
      <c r="H46" s="62" t="s">
        <v>55</v>
      </c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</row>
    <row r="47" s="1" customFormat="1" customHeight="1" spans="1:58">
      <c r="A47" s="61"/>
      <c r="B47" s="55" t="s">
        <v>36</v>
      </c>
      <c r="C47" s="56" t="s">
        <v>37</v>
      </c>
      <c r="D47" s="138">
        <v>7.34</v>
      </c>
      <c r="E47" s="139">
        <v>2.1</v>
      </c>
      <c r="F47" s="140">
        <v>45.9</v>
      </c>
      <c r="G47" s="257">
        <f t="shared" si="3"/>
        <v>231.86</v>
      </c>
      <c r="H47" s="62" t="s">
        <v>24</v>
      </c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</row>
    <row r="48" s="1" customFormat="1" customHeight="1" spans="1:58">
      <c r="A48" s="88"/>
      <c r="B48" s="89" t="s">
        <v>56</v>
      </c>
      <c r="C48" s="90">
        <v>200</v>
      </c>
      <c r="D48" s="258">
        <v>0.6</v>
      </c>
      <c r="E48" s="259">
        <v>0.02</v>
      </c>
      <c r="F48" s="260">
        <v>30.4</v>
      </c>
      <c r="G48" s="257">
        <f t="shared" si="3"/>
        <v>124.18</v>
      </c>
      <c r="H48" s="68" t="s">
        <v>57</v>
      </c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</row>
    <row r="49" s="1" customFormat="1" customHeight="1" spans="1:58">
      <c r="A49" s="261" t="s">
        <v>25</v>
      </c>
      <c r="B49" s="262"/>
      <c r="C49" s="127">
        <f>SUM(C43:C48)+100</f>
        <v>850</v>
      </c>
      <c r="D49" s="247">
        <f>SUM(D43:D48)</f>
        <v>38.14</v>
      </c>
      <c r="E49" s="248">
        <f t="shared" ref="E49:G49" si="4">SUM(E43:E48)</f>
        <v>21.72</v>
      </c>
      <c r="F49" s="249">
        <f t="shared" si="4"/>
        <v>144.2</v>
      </c>
      <c r="G49" s="250">
        <f t="shared" si="4"/>
        <v>924.84</v>
      </c>
      <c r="H49" s="76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</row>
    <row r="50" s="1" customFormat="1" customHeight="1" spans="1:58">
      <c r="A50" s="267" t="s">
        <v>40</v>
      </c>
      <c r="B50" s="262"/>
      <c r="C50" s="130">
        <f>C49+C41</f>
        <v>1410</v>
      </c>
      <c r="D50" s="278">
        <f t="shared" ref="D50:G50" si="5">D49+D41</f>
        <v>60.84</v>
      </c>
      <c r="E50" s="278">
        <f t="shared" si="5"/>
        <v>39.54</v>
      </c>
      <c r="F50" s="279">
        <f t="shared" si="5"/>
        <v>208.9</v>
      </c>
      <c r="G50" s="280">
        <f t="shared" si="5"/>
        <v>1434.82</v>
      </c>
      <c r="H50" s="76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</row>
    <row r="51" s="1" customFormat="1" customHeight="1" spans="1:58">
      <c r="A51" s="100"/>
      <c r="B51" s="101"/>
      <c r="C51" s="106"/>
      <c r="D51" s="271"/>
      <c r="E51" s="271"/>
      <c r="F51" s="271"/>
      <c r="G51" s="272"/>
      <c r="H51" s="76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</row>
    <row r="52" ht="17.25" customHeight="1" spans="1:17">
      <c r="A52" s="134"/>
      <c r="B52" s="135" t="s">
        <v>58</v>
      </c>
      <c r="C52" s="135"/>
      <c r="D52" s="135"/>
      <c r="E52" s="135"/>
      <c r="F52" s="135"/>
      <c r="G52" s="135"/>
      <c r="H52" s="76"/>
      <c r="J52" s="152"/>
      <c r="K52" s="3"/>
      <c r="L52" s="3"/>
      <c r="M52" s="3"/>
      <c r="N52" s="3"/>
      <c r="O52" s="3"/>
      <c r="P52" s="3"/>
      <c r="Q52" s="3"/>
    </row>
    <row r="53" ht="17.25" customHeight="1" spans="1:17">
      <c r="A53" s="77" t="s">
        <v>14</v>
      </c>
      <c r="B53" s="136"/>
      <c r="C53" s="110"/>
      <c r="D53" s="110"/>
      <c r="E53" s="110"/>
      <c r="F53" s="273"/>
      <c r="G53" s="273"/>
      <c r="H53" s="76"/>
      <c r="I53" s="154"/>
      <c r="J53" s="152"/>
      <c r="K53" s="3"/>
      <c r="L53" s="3"/>
      <c r="M53" s="3"/>
      <c r="N53" s="3"/>
      <c r="O53" s="3"/>
      <c r="P53" s="3"/>
      <c r="Q53" s="3"/>
    </row>
    <row r="54" s="1" customFormat="1" customHeight="1" spans="1:58">
      <c r="A54" s="61"/>
      <c r="B54" s="55" t="s">
        <v>59</v>
      </c>
      <c r="C54" s="83">
        <v>90</v>
      </c>
      <c r="D54" s="254">
        <v>11.92</v>
      </c>
      <c r="E54" s="255">
        <v>8.8</v>
      </c>
      <c r="F54" s="256">
        <v>11.64</v>
      </c>
      <c r="G54" s="257">
        <f>(D54*4)+(E54*9)+(F54*4)</f>
        <v>173.44</v>
      </c>
      <c r="H54" s="87" t="s">
        <v>60</v>
      </c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</row>
    <row r="55" s="1" customFormat="1" customHeight="1" spans="1:58">
      <c r="A55" s="61"/>
      <c r="B55" s="55" t="s">
        <v>61</v>
      </c>
      <c r="C55" s="56">
        <v>150</v>
      </c>
      <c r="D55" s="138">
        <v>1.42</v>
      </c>
      <c r="E55" s="139">
        <v>1.8</v>
      </c>
      <c r="F55" s="140">
        <v>10.3</v>
      </c>
      <c r="G55" s="257">
        <f>(D55*4)+(E55*9)+(F55*4)</f>
        <v>63.08</v>
      </c>
      <c r="H55" s="62" t="s">
        <v>62</v>
      </c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</row>
    <row r="56" s="1" customFormat="1" customHeight="1" spans="1:58">
      <c r="A56" s="61"/>
      <c r="B56" s="55" t="s">
        <v>54</v>
      </c>
      <c r="C56" s="56">
        <v>60</v>
      </c>
      <c r="D56" s="138">
        <v>1</v>
      </c>
      <c r="E56" s="139">
        <v>0.4</v>
      </c>
      <c r="F56" s="140">
        <v>2.3</v>
      </c>
      <c r="G56" s="257">
        <f>(D56*4)+(E56*9)+(F56*4)</f>
        <v>16.8</v>
      </c>
      <c r="H56" s="62" t="s">
        <v>63</v>
      </c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</row>
    <row r="57" s="1" customFormat="1" customHeight="1" spans="1:58">
      <c r="A57" s="61"/>
      <c r="B57" s="55" t="s">
        <v>23</v>
      </c>
      <c r="C57" s="56">
        <v>40</v>
      </c>
      <c r="D57" s="138">
        <v>3.04</v>
      </c>
      <c r="E57" s="139">
        <v>0.4</v>
      </c>
      <c r="F57" s="140">
        <v>24.6</v>
      </c>
      <c r="G57" s="257">
        <f>(D57*4)+(E57*9)+(F57*4)</f>
        <v>114.16</v>
      </c>
      <c r="H57" s="62" t="s">
        <v>24</v>
      </c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</row>
    <row r="58" s="1" customFormat="1" customHeight="1" spans="1:58">
      <c r="A58" s="88"/>
      <c r="B58" s="89" t="s">
        <v>64</v>
      </c>
      <c r="C58" s="90">
        <v>200</v>
      </c>
      <c r="D58" s="258">
        <v>0.3</v>
      </c>
      <c r="E58" s="259">
        <v>0.01</v>
      </c>
      <c r="F58" s="260">
        <v>15.2</v>
      </c>
      <c r="G58" s="257">
        <f>(D58*4)+(E58*9)+(F58*4)</f>
        <v>62.09</v>
      </c>
      <c r="H58" s="68" t="s">
        <v>65</v>
      </c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</row>
    <row r="59" s="1" customFormat="1" customHeight="1" spans="1:58">
      <c r="A59" s="275" t="s">
        <v>25</v>
      </c>
      <c r="B59" s="281"/>
      <c r="C59" s="142">
        <f>SUM(C54:C58)+40+180+15+7</f>
        <v>782</v>
      </c>
      <c r="D59" s="282">
        <f>SUM(D54:D58)</f>
        <v>17.68</v>
      </c>
      <c r="E59" s="283">
        <f>SUM(E54:E58)</f>
        <v>11.41</v>
      </c>
      <c r="F59" s="284">
        <f>SUM(F54:F58)</f>
        <v>64.04</v>
      </c>
      <c r="G59" s="285">
        <f>SUM(G54:G58)</f>
        <v>429.57</v>
      </c>
      <c r="H59" s="76"/>
      <c r="I59" s="152"/>
      <c r="J59" s="152"/>
      <c r="K59" s="152"/>
      <c r="L59" s="152"/>
      <c r="M59" s="152"/>
      <c r="N59" s="152">
        <v>2</v>
      </c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</row>
    <row r="60" ht="17.25" customHeight="1" spans="1:17">
      <c r="A60" s="147" t="s">
        <v>26</v>
      </c>
      <c r="B60" s="286"/>
      <c r="C60" s="124"/>
      <c r="D60" s="252"/>
      <c r="E60" s="252"/>
      <c r="F60" s="253"/>
      <c r="G60" s="253"/>
      <c r="H60" s="76"/>
      <c r="I60" s="153"/>
      <c r="J60" s="152"/>
      <c r="K60" s="3"/>
      <c r="L60" s="3"/>
      <c r="M60" s="3"/>
      <c r="N60" s="3"/>
      <c r="O60" s="3"/>
      <c r="P60" s="3"/>
      <c r="Q60" s="3"/>
    </row>
    <row r="61" s="1" customFormat="1" customHeight="1" spans="1:58">
      <c r="A61" s="160"/>
      <c r="B61" s="161" t="s">
        <v>66</v>
      </c>
      <c r="C61" s="162">
        <v>250</v>
      </c>
      <c r="D61" s="254">
        <v>2.6</v>
      </c>
      <c r="E61" s="255">
        <v>5.3</v>
      </c>
      <c r="F61" s="256">
        <v>14.3</v>
      </c>
      <c r="G61" s="257">
        <f>(D61*4)+(E61*9)+(F61*4)</f>
        <v>115.3</v>
      </c>
      <c r="H61" s="163" t="s">
        <v>67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</row>
    <row r="62" s="1" customFormat="1" customHeight="1" spans="1:58">
      <c r="A62" s="61"/>
      <c r="B62" s="55" t="s">
        <v>68</v>
      </c>
      <c r="C62" s="56">
        <v>90</v>
      </c>
      <c r="D62" s="138">
        <v>12.4</v>
      </c>
      <c r="E62" s="139">
        <v>9.2</v>
      </c>
      <c r="F62" s="140">
        <v>12.5</v>
      </c>
      <c r="G62" s="257">
        <f t="shared" ref="G62:G66" si="6">(D62*4)+(E62*9)+(F62*4)</f>
        <v>182.4</v>
      </c>
      <c r="H62" s="62" t="s">
        <v>69</v>
      </c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</row>
    <row r="63" s="1" customFormat="1" ht="22" customHeight="1" spans="1:58">
      <c r="A63" s="61"/>
      <c r="B63" s="55" t="s">
        <v>70</v>
      </c>
      <c r="C63" s="56">
        <v>150</v>
      </c>
      <c r="D63" s="138">
        <v>5.68</v>
      </c>
      <c r="E63" s="139">
        <v>4.36</v>
      </c>
      <c r="F63" s="140">
        <v>27.25</v>
      </c>
      <c r="G63" s="257">
        <f t="shared" si="6"/>
        <v>170.96</v>
      </c>
      <c r="H63" s="62" t="s">
        <v>71</v>
      </c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</row>
    <row r="64" s="1" customFormat="1" ht="21" customHeight="1" spans="1:58">
      <c r="A64" s="61"/>
      <c r="B64" s="55" t="s">
        <v>54</v>
      </c>
      <c r="C64" s="56">
        <v>60</v>
      </c>
      <c r="D64" s="138">
        <v>1</v>
      </c>
      <c r="E64" s="139">
        <v>0.4</v>
      </c>
      <c r="F64" s="140">
        <v>2.3</v>
      </c>
      <c r="G64" s="257">
        <f t="shared" si="6"/>
        <v>16.8</v>
      </c>
      <c r="H64" s="62" t="s">
        <v>63</v>
      </c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</row>
    <row r="65" s="1" customFormat="1" customHeight="1" spans="1:58">
      <c r="A65" s="61"/>
      <c r="B65" s="55" t="s">
        <v>36</v>
      </c>
      <c r="C65" s="56" t="s">
        <v>72</v>
      </c>
      <c r="D65" s="138">
        <v>7.34</v>
      </c>
      <c r="E65" s="139">
        <v>2.1</v>
      </c>
      <c r="F65" s="140">
        <v>45.9</v>
      </c>
      <c r="G65" s="257">
        <f t="shared" si="6"/>
        <v>231.86</v>
      </c>
      <c r="H65" s="62" t="s">
        <v>24</v>
      </c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</row>
    <row r="66" s="1" customFormat="1" customHeight="1" spans="1:58">
      <c r="A66" s="88"/>
      <c r="B66" s="89" t="s">
        <v>73</v>
      </c>
      <c r="C66" s="90">
        <v>200</v>
      </c>
      <c r="D66" s="258">
        <v>0.2</v>
      </c>
      <c r="E66" s="259">
        <v>0.04</v>
      </c>
      <c r="F66" s="260">
        <v>27.3</v>
      </c>
      <c r="G66" s="257">
        <f t="shared" si="6"/>
        <v>110.36</v>
      </c>
      <c r="H66" s="68" t="s">
        <v>74</v>
      </c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</row>
    <row r="67" s="1" customFormat="1" customHeight="1" spans="1:58">
      <c r="A67" s="261" t="s">
        <v>25</v>
      </c>
      <c r="B67" s="262"/>
      <c r="C67" s="164">
        <f>SUM(C61:C66)+275+100</f>
        <v>1125</v>
      </c>
      <c r="D67" s="287">
        <f t="shared" ref="D67:G67" si="7">SUM(D61:D66)</f>
        <v>29.22</v>
      </c>
      <c r="E67" s="288">
        <f t="shared" si="7"/>
        <v>21.4</v>
      </c>
      <c r="F67" s="289">
        <f t="shared" si="7"/>
        <v>129.55</v>
      </c>
      <c r="G67" s="290">
        <f t="shared" si="7"/>
        <v>827.68</v>
      </c>
      <c r="H67" s="76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</row>
    <row r="68" s="1" customFormat="1" customHeight="1" spans="1:58">
      <c r="A68" s="267" t="s">
        <v>40</v>
      </c>
      <c r="B68" s="262"/>
      <c r="C68" s="130">
        <f>C67+C59</f>
        <v>1907</v>
      </c>
      <c r="D68" s="278">
        <f t="shared" ref="D68:G68" si="8">D67+D59</f>
        <v>46.9</v>
      </c>
      <c r="E68" s="291">
        <f t="shared" si="8"/>
        <v>32.81</v>
      </c>
      <c r="F68" s="292">
        <f t="shared" si="8"/>
        <v>193.59</v>
      </c>
      <c r="G68" s="280">
        <f t="shared" si="8"/>
        <v>1257.25</v>
      </c>
      <c r="H68" s="76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</row>
    <row r="69" s="1" customFormat="1" customHeight="1" spans="1:58">
      <c r="A69" s="100"/>
      <c r="B69" s="101"/>
      <c r="C69" s="106"/>
      <c r="D69" s="293"/>
      <c r="E69" s="293"/>
      <c r="F69" s="293"/>
      <c r="G69" s="294"/>
      <c r="H69" s="76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</row>
    <row r="70" ht="17.25" customHeight="1" spans="1:17">
      <c r="A70" s="134"/>
      <c r="B70" s="135" t="s">
        <v>75</v>
      </c>
      <c r="C70" s="135"/>
      <c r="D70" s="135"/>
      <c r="E70" s="135"/>
      <c r="F70" s="135"/>
      <c r="G70" s="135"/>
      <c r="H70" s="76"/>
      <c r="I70" s="152"/>
      <c r="J70" s="152"/>
      <c r="K70" s="3"/>
      <c r="L70" s="3"/>
      <c r="M70" s="3"/>
      <c r="N70" s="3"/>
      <c r="O70" s="3"/>
      <c r="P70" s="3"/>
      <c r="Q70" s="3"/>
    </row>
    <row r="71" ht="17.25" customHeight="1" spans="1:17">
      <c r="A71" s="172" t="s">
        <v>14</v>
      </c>
      <c r="B71" s="173"/>
      <c r="C71" s="110"/>
      <c r="D71" s="173"/>
      <c r="E71" s="173"/>
      <c r="F71" s="295"/>
      <c r="G71" s="295"/>
      <c r="H71" s="76"/>
      <c r="I71" s="152"/>
      <c r="J71" s="152"/>
      <c r="K71" s="3"/>
      <c r="L71" s="3"/>
      <c r="M71" s="3"/>
      <c r="N71" s="3"/>
      <c r="O71" s="3"/>
      <c r="P71" s="3"/>
      <c r="Q71" s="3"/>
    </row>
    <row r="72" s="1" customFormat="1" customHeight="1" spans="1:58">
      <c r="A72" s="175"/>
      <c r="B72" s="176" t="s">
        <v>76</v>
      </c>
      <c r="C72" s="83">
        <v>160</v>
      </c>
      <c r="D72" s="296">
        <v>9.57</v>
      </c>
      <c r="E72" s="297">
        <v>6.49</v>
      </c>
      <c r="F72" s="298">
        <v>20.8</v>
      </c>
      <c r="G72" s="257">
        <f>(D72*4)+(E72*9)+(F72*4)</f>
        <v>179.89</v>
      </c>
      <c r="H72" s="53" t="s">
        <v>77</v>
      </c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</row>
    <row r="73" s="1" customFormat="1" customHeight="1" spans="1:58">
      <c r="A73" s="54"/>
      <c r="B73" s="177" t="s">
        <v>78</v>
      </c>
      <c r="C73" s="56">
        <v>15</v>
      </c>
      <c r="D73" s="188">
        <v>1.9</v>
      </c>
      <c r="E73" s="189">
        <v>5.2</v>
      </c>
      <c r="F73" s="190">
        <v>5.7</v>
      </c>
      <c r="G73" s="257">
        <f>(D73*4)+(E73*9)+(F73*4)</f>
        <v>77.2</v>
      </c>
      <c r="H73" s="60" t="s">
        <v>79</v>
      </c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</row>
    <row r="74" s="1" customFormat="1" customHeight="1" spans="1:58">
      <c r="A74" s="54"/>
      <c r="B74" s="177" t="s">
        <v>80</v>
      </c>
      <c r="C74" s="56">
        <v>200</v>
      </c>
      <c r="D74" s="188">
        <v>3.3</v>
      </c>
      <c r="E74" s="189">
        <v>3</v>
      </c>
      <c r="F74" s="190">
        <v>16.6</v>
      </c>
      <c r="G74" s="257">
        <f>(D74*4)+(E74*9)+(F74*4)</f>
        <v>106.6</v>
      </c>
      <c r="H74" s="60" t="s">
        <v>81</v>
      </c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</row>
    <row r="75" s="1" customFormat="1" customHeight="1" spans="1:58">
      <c r="A75" s="54"/>
      <c r="B75" s="55" t="s">
        <v>19</v>
      </c>
      <c r="C75" s="56">
        <v>20</v>
      </c>
      <c r="D75" s="138">
        <v>5</v>
      </c>
      <c r="E75" s="139">
        <v>5</v>
      </c>
      <c r="F75" s="140">
        <v>6.46</v>
      </c>
      <c r="G75" s="257">
        <f>(D75*4)+(E75*9)+(F75*4)</f>
        <v>90.84</v>
      </c>
      <c r="H75" s="60" t="s">
        <v>20</v>
      </c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</row>
    <row r="76" s="1" customFormat="1" customHeight="1" spans="1:58">
      <c r="A76" s="54"/>
      <c r="B76" s="178" t="s">
        <v>23</v>
      </c>
      <c r="C76" s="90">
        <v>40</v>
      </c>
      <c r="D76" s="138">
        <v>3.04</v>
      </c>
      <c r="E76" s="139">
        <v>0.4</v>
      </c>
      <c r="F76" s="140">
        <v>24.6</v>
      </c>
      <c r="G76" s="257">
        <f>(D76*4)+(E76*9)+(F76*4)</f>
        <v>114.16</v>
      </c>
      <c r="H76" s="179" t="s">
        <v>24</v>
      </c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</row>
    <row r="77" s="1" customFormat="1" customHeight="1" spans="1:58">
      <c r="A77" s="275" t="s">
        <v>25</v>
      </c>
      <c r="B77" s="281"/>
      <c r="C77" s="48">
        <f>SUM(C72:C76)</f>
        <v>435</v>
      </c>
      <c r="D77" s="282">
        <f>SUM(D72:D76)</f>
        <v>22.81</v>
      </c>
      <c r="E77" s="283">
        <f>SUM(E72:E76)</f>
        <v>20.09</v>
      </c>
      <c r="F77" s="284">
        <f>SUM(F72:F76)</f>
        <v>74.16</v>
      </c>
      <c r="G77" s="285">
        <f>SUM(G72:G76)</f>
        <v>568.69</v>
      </c>
      <c r="H77" s="180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</row>
    <row r="78" ht="17.25" customHeight="1" spans="1:17">
      <c r="A78" s="147" t="s">
        <v>26</v>
      </c>
      <c r="B78" s="286"/>
      <c r="C78" s="124"/>
      <c r="D78" s="252"/>
      <c r="E78" s="252"/>
      <c r="F78" s="253"/>
      <c r="G78" s="253"/>
      <c r="H78" s="76"/>
      <c r="I78" s="153"/>
      <c r="J78" s="152"/>
      <c r="K78" s="3"/>
      <c r="L78" s="3"/>
      <c r="M78" s="3"/>
      <c r="N78" s="3"/>
      <c r="O78" s="3"/>
      <c r="P78" s="3"/>
      <c r="Q78" s="3"/>
    </row>
    <row r="79" s="1" customFormat="1" customHeight="1" spans="1:58">
      <c r="A79" s="175"/>
      <c r="B79" s="82" t="s">
        <v>82</v>
      </c>
      <c r="C79" s="83">
        <v>250</v>
      </c>
      <c r="D79" s="296">
        <v>1.8</v>
      </c>
      <c r="E79" s="297">
        <v>5.2</v>
      </c>
      <c r="F79" s="298">
        <v>16.4</v>
      </c>
      <c r="G79" s="257">
        <f>(D79*4)+(E79*9)+(F79*4)</f>
        <v>119.6</v>
      </c>
      <c r="H79" s="53" t="s">
        <v>83</v>
      </c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</row>
    <row r="80" s="1" customFormat="1" customHeight="1" spans="1:58">
      <c r="A80" s="54"/>
      <c r="B80" s="55" t="s">
        <v>84</v>
      </c>
      <c r="C80" s="56">
        <v>200</v>
      </c>
      <c r="D80" s="188">
        <v>20</v>
      </c>
      <c r="E80" s="189">
        <v>10</v>
      </c>
      <c r="F80" s="190">
        <v>24</v>
      </c>
      <c r="G80" s="257">
        <f t="shared" ref="G80:G83" si="9">(D80*4)+(E80*9)+(F80*4)</f>
        <v>266</v>
      </c>
      <c r="H80" s="60" t="s">
        <v>85</v>
      </c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</row>
    <row r="81" s="1" customFormat="1" customHeight="1" spans="1:58">
      <c r="A81" s="54"/>
      <c r="B81" s="55" t="s">
        <v>86</v>
      </c>
      <c r="C81" s="56">
        <v>60</v>
      </c>
      <c r="D81" s="138">
        <v>0.8</v>
      </c>
      <c r="E81" s="139">
        <v>5</v>
      </c>
      <c r="F81" s="140">
        <v>1.79</v>
      </c>
      <c r="G81" s="257">
        <f t="shared" si="9"/>
        <v>55.36</v>
      </c>
      <c r="H81" s="60" t="s">
        <v>87</v>
      </c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</row>
    <row r="82" s="1" customFormat="1" customHeight="1" spans="1:58">
      <c r="A82" s="54"/>
      <c r="B82" s="55" t="s">
        <v>36</v>
      </c>
      <c r="C82" s="56" t="s">
        <v>37</v>
      </c>
      <c r="D82" s="138">
        <v>7.34</v>
      </c>
      <c r="E82" s="139">
        <v>2.1</v>
      </c>
      <c r="F82" s="140">
        <v>45.9</v>
      </c>
      <c r="G82" s="257">
        <f t="shared" si="9"/>
        <v>231.86</v>
      </c>
      <c r="H82" s="60" t="s">
        <v>24</v>
      </c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</row>
    <row r="83" s="1" customFormat="1" customHeight="1" spans="1:58">
      <c r="A83" s="181"/>
      <c r="B83" s="89" t="s">
        <v>88</v>
      </c>
      <c r="C83" s="90">
        <v>200</v>
      </c>
      <c r="D83" s="258">
        <v>0.6</v>
      </c>
      <c r="E83" s="259">
        <v>0.02</v>
      </c>
      <c r="F83" s="260">
        <v>30.4</v>
      </c>
      <c r="G83" s="257">
        <f t="shared" si="9"/>
        <v>124.18</v>
      </c>
      <c r="H83" s="179" t="s">
        <v>89</v>
      </c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</row>
    <row r="84" s="1" customFormat="1" customHeight="1" spans="1:58">
      <c r="A84" s="261" t="s">
        <v>25</v>
      </c>
      <c r="B84" s="262"/>
      <c r="C84" s="182">
        <f>SUM(C79:C83)+100</f>
        <v>810</v>
      </c>
      <c r="D84" s="299">
        <f>SUM(D79:D83)</f>
        <v>30.54</v>
      </c>
      <c r="E84" s="300">
        <f t="shared" ref="E84:G84" si="10">SUM(E79:E83)</f>
        <v>22.32</v>
      </c>
      <c r="F84" s="301">
        <f t="shared" si="10"/>
        <v>118.49</v>
      </c>
      <c r="G84" s="302">
        <f t="shared" si="10"/>
        <v>797</v>
      </c>
      <c r="H84" s="76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</row>
    <row r="85" s="1" customFormat="1" customHeight="1" spans="1:58">
      <c r="A85" s="267" t="s">
        <v>40</v>
      </c>
      <c r="B85" s="262"/>
      <c r="C85" s="164">
        <f>C84+C77</f>
        <v>1245</v>
      </c>
      <c r="D85" s="303">
        <f t="shared" ref="D85:G85" si="11">D84+D77</f>
        <v>53.35</v>
      </c>
      <c r="E85" s="304">
        <f t="shared" si="11"/>
        <v>42.41</v>
      </c>
      <c r="F85" s="305">
        <f t="shared" si="11"/>
        <v>192.65</v>
      </c>
      <c r="G85" s="306">
        <f t="shared" si="11"/>
        <v>1365.69</v>
      </c>
      <c r="H85" s="81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</row>
    <row r="86" s="1" customFormat="1" customHeight="1" spans="1:58">
      <c r="A86" s="100"/>
      <c r="B86" s="101"/>
      <c r="C86" s="106"/>
      <c r="D86" s="293"/>
      <c r="E86" s="293"/>
      <c r="F86" s="293"/>
      <c r="G86" s="294"/>
      <c r="H86" s="76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</row>
    <row r="87" ht="17.25" customHeight="1" spans="1:17">
      <c r="A87" s="134"/>
      <c r="B87" s="109" t="s">
        <v>90</v>
      </c>
      <c r="C87" s="109"/>
      <c r="D87" s="109"/>
      <c r="E87" s="109"/>
      <c r="F87" s="109"/>
      <c r="G87" s="109"/>
      <c r="H87" s="76"/>
      <c r="J87" s="152"/>
      <c r="K87" s="3"/>
      <c r="L87" s="3"/>
      <c r="M87" s="3"/>
      <c r="N87" s="3"/>
      <c r="O87" s="3"/>
      <c r="P87" s="3"/>
      <c r="Q87" s="3"/>
    </row>
    <row r="88" ht="17.25" customHeight="1" spans="1:17">
      <c r="A88" s="183" t="s">
        <v>14</v>
      </c>
      <c r="B88" s="184"/>
      <c r="C88" s="110"/>
      <c r="D88" s="173"/>
      <c r="E88" s="173"/>
      <c r="F88" s="295"/>
      <c r="G88" s="295"/>
      <c r="H88" s="76"/>
      <c r="J88" s="152"/>
      <c r="K88" s="3"/>
      <c r="L88" s="3"/>
      <c r="M88" s="3"/>
      <c r="N88" s="3"/>
      <c r="O88" s="3"/>
      <c r="P88" s="3"/>
      <c r="Q88" s="3"/>
    </row>
    <row r="89" s="1" customFormat="1" customHeight="1" spans="1:58">
      <c r="A89" s="185"/>
      <c r="B89" s="177" t="s">
        <v>91</v>
      </c>
      <c r="C89" s="83">
        <v>90</v>
      </c>
      <c r="D89" s="296">
        <v>20.63</v>
      </c>
      <c r="E89" s="297">
        <v>16.3</v>
      </c>
      <c r="F89" s="298">
        <v>5.24</v>
      </c>
      <c r="G89" s="257">
        <f>(D89*4)+(E89*9)+(F89*4)</f>
        <v>250.18</v>
      </c>
      <c r="H89" s="186" t="s">
        <v>92</v>
      </c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</row>
    <row r="90" s="1" customFormat="1" customHeight="1" spans="1:58">
      <c r="A90" s="115"/>
      <c r="B90" s="55" t="s">
        <v>54</v>
      </c>
      <c r="C90" s="56">
        <v>60</v>
      </c>
      <c r="D90" s="138">
        <v>1</v>
      </c>
      <c r="E90" s="139">
        <v>0.4</v>
      </c>
      <c r="F90" s="140">
        <v>2.3</v>
      </c>
      <c r="G90" s="257">
        <f>(D90*4)+(E90*9)+(F90*4)</f>
        <v>16.8</v>
      </c>
      <c r="H90" s="187" t="s">
        <v>63</v>
      </c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</row>
    <row r="91" s="1" customFormat="1" customHeight="1" spans="1:58">
      <c r="A91" s="115"/>
      <c r="B91" s="177" t="s">
        <v>93</v>
      </c>
      <c r="C91" s="56">
        <v>150</v>
      </c>
      <c r="D91" s="188">
        <v>4.5</v>
      </c>
      <c r="E91" s="189">
        <v>5.1</v>
      </c>
      <c r="F91" s="190">
        <v>21.9</v>
      </c>
      <c r="G91" s="257">
        <f>(D91*4)+(E91*9)+(F91*4)</f>
        <v>151.5</v>
      </c>
      <c r="H91" s="187" t="s">
        <v>94</v>
      </c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</row>
    <row r="92" s="1" customFormat="1" customHeight="1" spans="1:58">
      <c r="A92" s="115"/>
      <c r="B92" s="177" t="s">
        <v>64</v>
      </c>
      <c r="C92" s="56">
        <v>200</v>
      </c>
      <c r="D92" s="138">
        <v>0.3</v>
      </c>
      <c r="E92" s="139">
        <v>0</v>
      </c>
      <c r="F92" s="140">
        <v>15</v>
      </c>
      <c r="G92" s="257">
        <f>(D92*4)+(E92*9)+(F92*4)</f>
        <v>61.2</v>
      </c>
      <c r="H92" s="187" t="s">
        <v>95</v>
      </c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</row>
    <row r="93" s="1" customFormat="1" customHeight="1" spans="1:58">
      <c r="A93" s="115"/>
      <c r="B93" s="177" t="s">
        <v>23</v>
      </c>
      <c r="C93" s="191">
        <v>40</v>
      </c>
      <c r="D93" s="138">
        <v>3.04</v>
      </c>
      <c r="E93" s="139">
        <v>0.4</v>
      </c>
      <c r="F93" s="140">
        <v>24.6</v>
      </c>
      <c r="G93" s="257">
        <f>(D93*4)+(E93*9)+(F93*4)</f>
        <v>114.16</v>
      </c>
      <c r="H93" s="187" t="s">
        <v>24</v>
      </c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</row>
    <row r="94" s="1" customFormat="1" customHeight="1" spans="1:58">
      <c r="A94" s="275" t="s">
        <v>25</v>
      </c>
      <c r="B94" s="281"/>
      <c r="C94" s="48">
        <f>SUM(C89:C93)+180+15+7</f>
        <v>742</v>
      </c>
      <c r="D94" s="282">
        <f>SUM(D89:D93)</f>
        <v>29.47</v>
      </c>
      <c r="E94" s="283">
        <f>SUM(E89:E93)</f>
        <v>22.2</v>
      </c>
      <c r="F94" s="284">
        <f>SUM(F89:F93)</f>
        <v>69.04</v>
      </c>
      <c r="G94" s="307">
        <f>SUM(G89:G93)</f>
        <v>593.84</v>
      </c>
      <c r="H94" s="41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</row>
    <row r="95" ht="17.25" customHeight="1" spans="1:17">
      <c r="A95" s="147" t="s">
        <v>26</v>
      </c>
      <c r="B95" s="286"/>
      <c r="C95" s="124"/>
      <c r="D95" s="252"/>
      <c r="E95" s="252"/>
      <c r="F95" s="253"/>
      <c r="G95" s="253"/>
      <c r="H95" s="76"/>
      <c r="I95" s="153"/>
      <c r="J95" s="152"/>
      <c r="K95" s="3"/>
      <c r="L95" s="3"/>
      <c r="M95" s="3"/>
      <c r="N95" s="3"/>
      <c r="O95" s="3"/>
      <c r="P95" s="3"/>
      <c r="Q95" s="3"/>
    </row>
    <row r="96" s="1" customFormat="1" customHeight="1" spans="1:58">
      <c r="A96" s="196"/>
      <c r="B96" s="82" t="s">
        <v>96</v>
      </c>
      <c r="C96" s="83">
        <v>250</v>
      </c>
      <c r="D96" s="296">
        <v>1.52</v>
      </c>
      <c r="E96" s="297">
        <v>5.4</v>
      </c>
      <c r="F96" s="298">
        <v>8.6</v>
      </c>
      <c r="G96" s="257">
        <f>(D96*4)+(E96*9)+(F96*4)</f>
        <v>89.08</v>
      </c>
      <c r="H96" s="197" t="s">
        <v>97</v>
      </c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</row>
    <row r="97" s="1" customFormat="1" customHeight="1" spans="1:58">
      <c r="A97" s="198"/>
      <c r="B97" s="55" t="s">
        <v>98</v>
      </c>
      <c r="C97" s="56">
        <v>90</v>
      </c>
      <c r="D97" s="188">
        <v>13.35</v>
      </c>
      <c r="E97" s="189">
        <v>7.19</v>
      </c>
      <c r="F97" s="190">
        <v>6.01</v>
      </c>
      <c r="G97" s="257">
        <f t="shared" ref="G97:G101" si="12">(D97*4)+(E97*9)+(F97*4)</f>
        <v>142.15</v>
      </c>
      <c r="H97" s="199" t="s">
        <v>99</v>
      </c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</row>
    <row r="98" s="1" customFormat="1" customHeight="1" spans="1:58">
      <c r="A98" s="61"/>
      <c r="B98" s="55" t="s">
        <v>32</v>
      </c>
      <c r="C98" s="56">
        <v>150</v>
      </c>
      <c r="D98" s="138">
        <v>3.64</v>
      </c>
      <c r="E98" s="139">
        <v>5.37</v>
      </c>
      <c r="F98" s="140">
        <v>36.7</v>
      </c>
      <c r="G98" s="257">
        <f t="shared" si="12"/>
        <v>209.69</v>
      </c>
      <c r="H98" s="62" t="s">
        <v>100</v>
      </c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</row>
    <row r="99" s="1" customFormat="1" customHeight="1" spans="1:58">
      <c r="A99" s="61"/>
      <c r="B99" s="55" t="s">
        <v>44</v>
      </c>
      <c r="C99" s="56">
        <v>60</v>
      </c>
      <c r="D99" s="138">
        <v>1.86</v>
      </c>
      <c r="E99" s="139">
        <v>0.12</v>
      </c>
      <c r="F99" s="140">
        <v>3.9</v>
      </c>
      <c r="G99" s="257">
        <f t="shared" si="12"/>
        <v>24.12</v>
      </c>
      <c r="H99" s="62" t="s">
        <v>45</v>
      </c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</row>
    <row r="100" s="1" customFormat="1" customHeight="1" spans="1:58">
      <c r="A100" s="61"/>
      <c r="B100" s="55" t="s">
        <v>36</v>
      </c>
      <c r="C100" s="56" t="s">
        <v>37</v>
      </c>
      <c r="D100" s="138">
        <v>7.34</v>
      </c>
      <c r="E100" s="139">
        <v>2.1</v>
      </c>
      <c r="F100" s="140">
        <v>45.9</v>
      </c>
      <c r="G100" s="257">
        <f t="shared" si="12"/>
        <v>231.86</v>
      </c>
      <c r="H100" s="62" t="s">
        <v>24</v>
      </c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</row>
    <row r="101" s="1" customFormat="1" customHeight="1" spans="1:58">
      <c r="A101" s="88"/>
      <c r="B101" s="89" t="s">
        <v>38</v>
      </c>
      <c r="C101" s="90">
        <v>200</v>
      </c>
      <c r="D101" s="258">
        <v>0.6</v>
      </c>
      <c r="E101" s="259">
        <v>0.09</v>
      </c>
      <c r="F101" s="260">
        <v>17.3</v>
      </c>
      <c r="G101" s="257">
        <f t="shared" si="12"/>
        <v>72.41</v>
      </c>
      <c r="H101" s="68" t="s">
        <v>39</v>
      </c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</row>
    <row r="102" s="1" customFormat="1" customHeight="1" spans="1:58">
      <c r="A102" s="261" t="s">
        <v>25</v>
      </c>
      <c r="B102" s="262"/>
      <c r="C102" s="182">
        <f>SUM(C96:C101)+100</f>
        <v>850</v>
      </c>
      <c r="D102" s="308">
        <f t="shared" ref="D102:G102" si="13">SUM(D96:D101)</f>
        <v>28.31</v>
      </c>
      <c r="E102" s="309">
        <f t="shared" si="13"/>
        <v>20.27</v>
      </c>
      <c r="F102" s="310">
        <f t="shared" si="13"/>
        <v>118.41</v>
      </c>
      <c r="G102" s="311">
        <f t="shared" si="13"/>
        <v>769.31</v>
      </c>
      <c r="H102" s="81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</row>
    <row r="103" s="1" customFormat="1" customHeight="1" spans="1:58">
      <c r="A103" s="267" t="s">
        <v>40</v>
      </c>
      <c r="B103" s="262"/>
      <c r="C103" s="164">
        <f>C102+C94</f>
        <v>1592</v>
      </c>
      <c r="D103" s="312">
        <f t="shared" ref="D103:G103" si="14">D102+D94</f>
        <v>57.78</v>
      </c>
      <c r="E103" s="313">
        <f t="shared" si="14"/>
        <v>42.47</v>
      </c>
      <c r="F103" s="314">
        <f t="shared" si="14"/>
        <v>187.45</v>
      </c>
      <c r="G103" s="315">
        <f t="shared" si="14"/>
        <v>1363.15</v>
      </c>
      <c r="H103" s="76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</row>
    <row r="104" s="1" customFormat="1" customHeight="1" spans="1:58">
      <c r="A104" s="100"/>
      <c r="B104" s="101"/>
      <c r="C104" s="106"/>
      <c r="D104" s="293"/>
      <c r="E104" s="293"/>
      <c r="F104" s="293"/>
      <c r="G104" s="294"/>
      <c r="H104" s="76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</row>
    <row r="105" ht="17.25" customHeight="1" spans="1:17">
      <c r="A105" s="204" t="s">
        <v>101</v>
      </c>
      <c r="B105" s="205"/>
      <c r="C105" s="205"/>
      <c r="D105" s="205"/>
      <c r="E105" s="205"/>
      <c r="F105" s="205"/>
      <c r="G105" s="205"/>
      <c r="H105" s="76"/>
      <c r="J105" s="152"/>
      <c r="K105" s="3"/>
      <c r="L105" s="3"/>
      <c r="M105" s="3"/>
      <c r="N105" s="3"/>
      <c r="O105" s="3"/>
      <c r="P105" s="3"/>
      <c r="Q105" s="3"/>
    </row>
    <row r="106" ht="17.25" customHeight="1" spans="1:17">
      <c r="A106" s="42"/>
      <c r="B106" s="206" t="s">
        <v>13</v>
      </c>
      <c r="C106" s="206"/>
      <c r="D106" s="206"/>
      <c r="E106" s="206"/>
      <c r="F106" s="206"/>
      <c r="G106" s="206"/>
      <c r="H106" s="76"/>
      <c r="J106" s="152"/>
      <c r="K106" s="3"/>
      <c r="L106" s="3"/>
      <c r="M106" s="3"/>
      <c r="N106" s="3"/>
      <c r="O106" s="3"/>
      <c r="P106" s="3"/>
      <c r="Q106" s="3"/>
    </row>
    <row r="107" ht="17.25" customHeight="1" spans="1:17">
      <c r="A107" s="172" t="s">
        <v>14</v>
      </c>
      <c r="B107" s="173"/>
      <c r="C107" s="110"/>
      <c r="D107" s="173"/>
      <c r="E107" s="173"/>
      <c r="F107" s="295"/>
      <c r="G107" s="295"/>
      <c r="H107" s="76"/>
      <c r="I107" s="152"/>
      <c r="J107" s="152"/>
      <c r="K107" s="3"/>
      <c r="L107" s="3"/>
      <c r="M107" s="3"/>
      <c r="N107" s="3"/>
      <c r="O107" s="3"/>
      <c r="P107" s="3"/>
      <c r="Q107" s="3"/>
    </row>
    <row r="108" s="1" customFormat="1" customHeight="1" spans="1:58">
      <c r="A108" s="207"/>
      <c r="B108" s="55" t="s">
        <v>54</v>
      </c>
      <c r="C108" s="83">
        <v>60</v>
      </c>
      <c r="D108" s="138">
        <v>1</v>
      </c>
      <c r="E108" s="139">
        <v>0.4</v>
      </c>
      <c r="F108" s="140">
        <v>2.3</v>
      </c>
      <c r="G108" s="257">
        <f>(D108*4)+(E108*9)+(F108*4)</f>
        <v>16.8</v>
      </c>
      <c r="H108" s="87" t="s">
        <v>102</v>
      </c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</row>
    <row r="109" s="1" customFormat="1" customHeight="1" spans="1:58">
      <c r="A109" s="115"/>
      <c r="B109" s="55" t="s">
        <v>103</v>
      </c>
      <c r="C109" s="56">
        <v>100</v>
      </c>
      <c r="D109" s="188">
        <v>6.5</v>
      </c>
      <c r="E109" s="189">
        <v>4.4</v>
      </c>
      <c r="F109" s="190">
        <v>7.6</v>
      </c>
      <c r="G109" s="257">
        <f>(D109*4)+(E109*9)+(F109*4)</f>
        <v>96</v>
      </c>
      <c r="H109" s="187" t="s">
        <v>104</v>
      </c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</row>
    <row r="110" s="1" customFormat="1" customHeight="1" spans="1:58">
      <c r="A110" s="115"/>
      <c r="B110" s="55" t="s">
        <v>105</v>
      </c>
      <c r="C110" s="56">
        <v>150</v>
      </c>
      <c r="D110" s="188">
        <v>1.42</v>
      </c>
      <c r="E110" s="189">
        <v>1.8</v>
      </c>
      <c r="F110" s="190">
        <v>10.3</v>
      </c>
      <c r="G110" s="257">
        <f>(D110*4)+(E110*9)+(F110*4)</f>
        <v>63.08</v>
      </c>
      <c r="H110" s="187" t="s">
        <v>62</v>
      </c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</row>
    <row r="111" s="1" customFormat="1" customHeight="1" spans="1:58">
      <c r="A111" s="115"/>
      <c r="B111" s="55" t="s">
        <v>46</v>
      </c>
      <c r="C111" s="56">
        <v>200</v>
      </c>
      <c r="D111" s="138">
        <v>4.9</v>
      </c>
      <c r="E111" s="139">
        <v>5</v>
      </c>
      <c r="F111" s="140">
        <v>32.5</v>
      </c>
      <c r="G111" s="257">
        <f>(D111*4)+(E111*9)+(F111*4)</f>
        <v>194.6</v>
      </c>
      <c r="H111" s="187" t="s">
        <v>47</v>
      </c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</row>
    <row r="112" s="1" customFormat="1" customHeight="1" spans="1:58">
      <c r="A112" s="61"/>
      <c r="B112" s="55" t="s">
        <v>23</v>
      </c>
      <c r="C112" s="191">
        <v>40</v>
      </c>
      <c r="D112" s="138">
        <v>3.04</v>
      </c>
      <c r="E112" s="139">
        <v>0.4</v>
      </c>
      <c r="F112" s="140">
        <v>24.6</v>
      </c>
      <c r="G112" s="257">
        <f>(D112*4)+(E112*9)+(F112*4)</f>
        <v>114.16</v>
      </c>
      <c r="H112" s="62" t="s">
        <v>24</v>
      </c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</row>
    <row r="113" s="1" customFormat="1" customHeight="1" spans="1:58">
      <c r="A113" s="275" t="s">
        <v>25</v>
      </c>
      <c r="B113" s="281"/>
      <c r="C113" s="209">
        <f>SUM(C108:C112)+40</f>
        <v>590</v>
      </c>
      <c r="D113" s="282" t="e">
        <f>D108+D109+D110+D111+#REF!+D112</f>
        <v>#REF!</v>
      </c>
      <c r="E113" s="283" t="e">
        <f>E108+E109+E110+E111+#REF!+E112</f>
        <v>#REF!</v>
      </c>
      <c r="F113" s="284" t="e">
        <f>F108+F109+F110+F111+#REF!+F112</f>
        <v>#REF!</v>
      </c>
      <c r="G113" s="285" t="e">
        <f>G108+G109+G110+G111+#REF!+G112</f>
        <v>#REF!</v>
      </c>
      <c r="H113" s="180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</row>
    <row r="114" ht="17.25" customHeight="1" spans="1:17">
      <c r="A114" s="147" t="s">
        <v>26</v>
      </c>
      <c r="B114" s="286"/>
      <c r="C114" s="124"/>
      <c r="D114" s="252"/>
      <c r="E114" s="252"/>
      <c r="F114" s="253"/>
      <c r="G114" s="253"/>
      <c r="H114" s="180"/>
      <c r="I114" s="153"/>
      <c r="J114" s="152"/>
      <c r="K114" s="3"/>
      <c r="L114" s="3"/>
      <c r="M114" s="3"/>
      <c r="N114" s="3"/>
      <c r="O114" s="3"/>
      <c r="P114" s="3"/>
      <c r="Q114" s="3"/>
    </row>
    <row r="115" s="1" customFormat="1" ht="30.75" customHeight="1" spans="1:58">
      <c r="A115" s="207"/>
      <c r="B115" s="82" t="s">
        <v>106</v>
      </c>
      <c r="C115" s="83">
        <v>250</v>
      </c>
      <c r="D115" s="296">
        <v>2.76</v>
      </c>
      <c r="E115" s="297">
        <v>6.33</v>
      </c>
      <c r="F115" s="298">
        <v>15</v>
      </c>
      <c r="G115" s="257">
        <f>(D115*4)+(E115*9)+(F115*4)</f>
        <v>128.01</v>
      </c>
      <c r="H115" s="87" t="s">
        <v>107</v>
      </c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</row>
    <row r="116" s="1" customFormat="1" customHeight="1" spans="1:58">
      <c r="A116" s="61"/>
      <c r="B116" s="55" t="s">
        <v>108</v>
      </c>
      <c r="C116" s="56">
        <v>220</v>
      </c>
      <c r="D116" s="188">
        <v>21.47</v>
      </c>
      <c r="E116" s="189">
        <v>19.69</v>
      </c>
      <c r="F116" s="190">
        <v>35.69</v>
      </c>
      <c r="G116" s="257">
        <f t="shared" ref="G116:G119" si="15">(D116*4)+(E116*9)+(F116*4)</f>
        <v>405.85</v>
      </c>
      <c r="H116" s="62" t="s">
        <v>109</v>
      </c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</row>
    <row r="117" s="1" customFormat="1" customHeight="1" spans="1:58">
      <c r="A117" s="61"/>
      <c r="B117" s="55" t="s">
        <v>54</v>
      </c>
      <c r="C117" s="56">
        <v>60</v>
      </c>
      <c r="D117" s="138">
        <v>1</v>
      </c>
      <c r="E117" s="139">
        <v>0.4</v>
      </c>
      <c r="F117" s="140">
        <v>2.3</v>
      </c>
      <c r="G117" s="257">
        <f t="shared" si="15"/>
        <v>16.8</v>
      </c>
      <c r="H117" s="62" t="s">
        <v>63</v>
      </c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</row>
    <row r="118" s="1" customFormat="1" customHeight="1" spans="1:58">
      <c r="A118" s="61"/>
      <c r="B118" s="55" t="s">
        <v>36</v>
      </c>
      <c r="C118" s="56" t="s">
        <v>37</v>
      </c>
      <c r="D118" s="138">
        <v>7.34</v>
      </c>
      <c r="E118" s="139">
        <v>2.1</v>
      </c>
      <c r="F118" s="140">
        <v>45.9</v>
      </c>
      <c r="G118" s="257">
        <f t="shared" si="15"/>
        <v>231.86</v>
      </c>
      <c r="H118" s="62" t="s">
        <v>24</v>
      </c>
      <c r="I118" s="152"/>
      <c r="J118" s="152"/>
      <c r="K118" s="152"/>
      <c r="L118" s="152"/>
      <c r="M118" s="152"/>
      <c r="N118" s="152">
        <v>4</v>
      </c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</row>
    <row r="119" s="1" customFormat="1" customHeight="1" spans="1:58">
      <c r="A119" s="88"/>
      <c r="B119" s="89" t="s">
        <v>88</v>
      </c>
      <c r="C119" s="90">
        <v>200</v>
      </c>
      <c r="D119" s="258">
        <v>0.6</v>
      </c>
      <c r="E119" s="259">
        <v>0.02</v>
      </c>
      <c r="F119" s="260">
        <v>30.4</v>
      </c>
      <c r="G119" s="257">
        <f t="shared" si="15"/>
        <v>124.18</v>
      </c>
      <c r="H119" s="68" t="s">
        <v>110</v>
      </c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</row>
    <row r="120" s="1" customFormat="1" customHeight="1" spans="1:58">
      <c r="A120" s="261" t="s">
        <v>25</v>
      </c>
      <c r="B120" s="262"/>
      <c r="C120" s="182">
        <f>SUM(C115:C119)+100</f>
        <v>830</v>
      </c>
      <c r="D120" s="308">
        <f t="shared" ref="D120:G120" si="16">SUM(D115:D119)</f>
        <v>33.17</v>
      </c>
      <c r="E120" s="309">
        <f t="shared" si="16"/>
        <v>28.54</v>
      </c>
      <c r="F120" s="310">
        <f t="shared" si="16"/>
        <v>129.29</v>
      </c>
      <c r="G120" s="311">
        <f t="shared" si="16"/>
        <v>906.7</v>
      </c>
      <c r="H120" s="76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</row>
    <row r="121" s="1" customFormat="1" customHeight="1" spans="1:58">
      <c r="A121" s="267" t="s">
        <v>40</v>
      </c>
      <c r="B121" s="262"/>
      <c r="C121" s="164">
        <f>C120+C113</f>
        <v>1420</v>
      </c>
      <c r="D121" s="303" t="e">
        <f t="shared" ref="D121:G121" si="17">D120+D113</f>
        <v>#REF!</v>
      </c>
      <c r="E121" s="304" t="e">
        <f t="shared" si="17"/>
        <v>#REF!</v>
      </c>
      <c r="F121" s="305" t="e">
        <f t="shared" si="17"/>
        <v>#REF!</v>
      </c>
      <c r="G121" s="306" t="e">
        <f t="shared" si="17"/>
        <v>#REF!</v>
      </c>
      <c r="H121" s="81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</row>
    <row r="122" s="1" customFormat="1" customHeight="1" spans="1:58">
      <c r="A122" s="100"/>
      <c r="B122" s="101"/>
      <c r="C122" s="106"/>
      <c r="D122" s="293"/>
      <c r="E122" s="293"/>
      <c r="F122" s="293"/>
      <c r="G122" s="294"/>
      <c r="H122" s="76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</row>
    <row r="123" ht="17.25" customHeight="1" spans="1:17">
      <c r="A123" s="134"/>
      <c r="B123" s="109" t="s">
        <v>41</v>
      </c>
      <c r="C123" s="109"/>
      <c r="D123" s="109"/>
      <c r="E123" s="109"/>
      <c r="F123" s="109"/>
      <c r="G123" s="109"/>
      <c r="H123" s="76"/>
      <c r="I123" s="152"/>
      <c r="J123" s="152"/>
      <c r="K123" s="3"/>
      <c r="L123" s="3"/>
      <c r="M123" s="3"/>
      <c r="N123" s="3"/>
      <c r="O123" s="3"/>
      <c r="P123" s="3"/>
      <c r="Q123" s="3"/>
    </row>
    <row r="124" ht="17.25" customHeight="1" spans="1:17">
      <c r="A124" s="172" t="s">
        <v>14</v>
      </c>
      <c r="B124" s="173"/>
      <c r="C124" s="110"/>
      <c r="D124" s="173"/>
      <c r="E124" s="173"/>
      <c r="F124" s="295"/>
      <c r="G124" s="295"/>
      <c r="H124" s="76"/>
      <c r="I124" s="152"/>
      <c r="J124" s="152"/>
      <c r="K124" s="3"/>
      <c r="L124" s="3"/>
      <c r="M124" s="3"/>
      <c r="N124" s="3"/>
      <c r="O124" s="3"/>
      <c r="P124" s="3"/>
      <c r="Q124" s="3"/>
    </row>
    <row r="125" s="1" customFormat="1" customHeight="1" spans="1:58">
      <c r="A125" s="175"/>
      <c r="B125" s="82" t="s">
        <v>111</v>
      </c>
      <c r="C125" s="83">
        <v>160</v>
      </c>
      <c r="D125" s="296">
        <v>9.57</v>
      </c>
      <c r="E125" s="297">
        <v>6.49</v>
      </c>
      <c r="F125" s="298">
        <v>20.8</v>
      </c>
      <c r="G125" s="257">
        <f>(D125*4)+(E125*9)+(F125*4)</f>
        <v>179.89</v>
      </c>
      <c r="H125" s="53" t="s">
        <v>77</v>
      </c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</row>
    <row r="126" s="1" customFormat="1" customHeight="1" spans="1:58">
      <c r="A126" s="211"/>
      <c r="B126" s="55" t="s">
        <v>78</v>
      </c>
      <c r="C126" s="56">
        <v>15</v>
      </c>
      <c r="D126" s="188">
        <v>1.9</v>
      </c>
      <c r="E126" s="189">
        <v>5.2</v>
      </c>
      <c r="F126" s="190">
        <v>5.7</v>
      </c>
      <c r="G126" s="257">
        <f>(D126*4)+(E126*9)+(F126*4)</f>
        <v>77.2</v>
      </c>
      <c r="H126" s="212" t="s">
        <v>112</v>
      </c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</row>
    <row r="127" s="1" customFormat="1" customHeight="1" spans="1:58">
      <c r="A127" s="211"/>
      <c r="B127" s="55" t="s">
        <v>64</v>
      </c>
      <c r="C127" s="56">
        <v>200</v>
      </c>
      <c r="D127" s="258">
        <v>0.3</v>
      </c>
      <c r="E127" s="259">
        <v>0.01</v>
      </c>
      <c r="F127" s="260">
        <v>15.2</v>
      </c>
      <c r="G127" s="257">
        <f>(D127*4)+(E127*9)+(F127*4)</f>
        <v>62.09</v>
      </c>
      <c r="H127" s="212" t="s">
        <v>65</v>
      </c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</row>
    <row r="128" s="1" customFormat="1" customHeight="1" spans="1:58">
      <c r="A128" s="211"/>
      <c r="B128" s="55" t="s">
        <v>23</v>
      </c>
      <c r="C128" s="56">
        <v>40</v>
      </c>
      <c r="D128" s="138">
        <v>3.04</v>
      </c>
      <c r="E128" s="139">
        <v>0.4</v>
      </c>
      <c r="F128" s="140">
        <v>24.6</v>
      </c>
      <c r="G128" s="257">
        <f>(D128*4)+(E128*9)+(F128*4)</f>
        <v>114.16</v>
      </c>
      <c r="H128" s="212" t="s">
        <v>24</v>
      </c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</row>
    <row r="129" s="1" customFormat="1" customHeight="1" spans="1:58">
      <c r="A129" s="275" t="s">
        <v>25</v>
      </c>
      <c r="B129" s="281"/>
      <c r="C129" s="209">
        <f>SUM(C125:C128)+200+15+7</f>
        <v>637</v>
      </c>
      <c r="D129" s="316">
        <f>SUM(D125:D128)</f>
        <v>14.81</v>
      </c>
      <c r="E129" s="317">
        <f>SUM(E125:E128)</f>
        <v>12.1</v>
      </c>
      <c r="F129" s="318">
        <f>SUM(F125:F128)</f>
        <v>66.3</v>
      </c>
      <c r="G129" s="319">
        <f>SUM(G125:G128)</f>
        <v>433.34</v>
      </c>
      <c r="H129" s="180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</row>
    <row r="130" ht="17.25" customHeight="1" spans="1:17">
      <c r="A130" s="147" t="s">
        <v>26</v>
      </c>
      <c r="B130" s="286"/>
      <c r="C130" s="124"/>
      <c r="D130" s="320"/>
      <c r="E130" s="320"/>
      <c r="F130" s="253"/>
      <c r="G130" s="253"/>
      <c r="H130" s="180"/>
      <c r="I130" s="153"/>
      <c r="J130" s="152"/>
      <c r="K130" s="3"/>
      <c r="L130" s="3"/>
      <c r="M130" s="3"/>
      <c r="N130" s="3"/>
      <c r="O130" s="3"/>
      <c r="P130" s="3"/>
      <c r="Q130" s="3"/>
    </row>
    <row r="131" s="1" customFormat="1" customHeight="1" spans="1:58">
      <c r="A131" s="207"/>
      <c r="B131" s="82" t="s">
        <v>113</v>
      </c>
      <c r="C131" s="83">
        <v>250</v>
      </c>
      <c r="D131" s="296">
        <v>2.5</v>
      </c>
      <c r="E131" s="297">
        <v>5.2</v>
      </c>
      <c r="F131" s="298">
        <v>18.3</v>
      </c>
      <c r="G131" s="257">
        <f>(D131*4)+(E131*9)+(F131*4)</f>
        <v>130</v>
      </c>
      <c r="H131" s="87" t="s">
        <v>114</v>
      </c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</row>
    <row r="132" s="1" customFormat="1" customHeight="1" spans="1:58">
      <c r="A132" s="61"/>
      <c r="B132" s="55" t="s">
        <v>115</v>
      </c>
      <c r="C132" s="56">
        <v>90</v>
      </c>
      <c r="D132" s="296">
        <v>20.63</v>
      </c>
      <c r="E132" s="297">
        <v>16.3</v>
      </c>
      <c r="F132" s="298">
        <v>5.24</v>
      </c>
      <c r="G132" s="257">
        <f t="shared" ref="G132:G136" si="18">(D132*4)+(E132*9)+(F132*4)</f>
        <v>250.18</v>
      </c>
      <c r="H132" s="62" t="s">
        <v>116</v>
      </c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</row>
    <row r="133" s="1" customFormat="1" customHeight="1" spans="1:58">
      <c r="A133" s="61"/>
      <c r="B133" s="55" t="s">
        <v>52</v>
      </c>
      <c r="C133" s="56">
        <v>150</v>
      </c>
      <c r="D133" s="138">
        <v>6.3</v>
      </c>
      <c r="E133" s="139">
        <v>4.5</v>
      </c>
      <c r="F133" s="140">
        <v>38.8</v>
      </c>
      <c r="G133" s="257">
        <f t="shared" si="18"/>
        <v>220.9</v>
      </c>
      <c r="H133" s="62" t="s">
        <v>94</v>
      </c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</row>
    <row r="134" s="1" customFormat="1" customHeight="1" spans="1:58">
      <c r="A134" s="61"/>
      <c r="B134" s="55" t="s">
        <v>44</v>
      </c>
      <c r="C134" s="56">
        <v>60</v>
      </c>
      <c r="D134" s="138">
        <v>1.86</v>
      </c>
      <c r="E134" s="139">
        <v>0.12</v>
      </c>
      <c r="F134" s="140">
        <v>3.9</v>
      </c>
      <c r="G134" s="257">
        <f t="shared" si="18"/>
        <v>24.12</v>
      </c>
      <c r="H134" s="62" t="s">
        <v>45</v>
      </c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</row>
    <row r="135" s="1" customFormat="1" customHeight="1" spans="1:58">
      <c r="A135" s="61"/>
      <c r="B135" s="55" t="s">
        <v>36</v>
      </c>
      <c r="C135" s="56" t="s">
        <v>37</v>
      </c>
      <c r="D135" s="138">
        <v>7.34</v>
      </c>
      <c r="E135" s="139">
        <v>2.1</v>
      </c>
      <c r="F135" s="140">
        <v>45.9</v>
      </c>
      <c r="G135" s="257">
        <f t="shared" si="18"/>
        <v>231.86</v>
      </c>
      <c r="H135" s="62" t="s">
        <v>24</v>
      </c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</row>
    <row r="136" s="1" customFormat="1" customHeight="1" spans="1:58">
      <c r="A136" s="88"/>
      <c r="B136" s="89" t="s">
        <v>38</v>
      </c>
      <c r="C136" s="90">
        <v>200</v>
      </c>
      <c r="D136" s="258">
        <v>0.6</v>
      </c>
      <c r="E136" s="259">
        <v>0.09</v>
      </c>
      <c r="F136" s="260">
        <v>17.3</v>
      </c>
      <c r="G136" s="257">
        <f t="shared" si="18"/>
        <v>72.41</v>
      </c>
      <c r="H136" s="68" t="s">
        <v>117</v>
      </c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</row>
    <row r="137" s="1" customFormat="1" customHeight="1" spans="1:58">
      <c r="A137" s="261" t="s">
        <v>25</v>
      </c>
      <c r="B137" s="262"/>
      <c r="C137" s="182">
        <f>SUM(C131:C136)+100</f>
        <v>850</v>
      </c>
      <c r="D137" s="308">
        <f t="shared" ref="D137:G137" si="19">SUM(D131:D136)</f>
        <v>39.23</v>
      </c>
      <c r="E137" s="309">
        <f t="shared" si="19"/>
        <v>28.31</v>
      </c>
      <c r="F137" s="310">
        <f t="shared" si="19"/>
        <v>129.44</v>
      </c>
      <c r="G137" s="311">
        <f t="shared" si="19"/>
        <v>929.47</v>
      </c>
      <c r="H137" s="81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</row>
    <row r="138" s="1" customFormat="1" customHeight="1" spans="1:58">
      <c r="A138" s="267" t="s">
        <v>40</v>
      </c>
      <c r="B138" s="262"/>
      <c r="C138" s="95">
        <f>C137+C129</f>
        <v>1487</v>
      </c>
      <c r="D138" s="303">
        <f t="shared" ref="D138:G138" si="20">D137+D129</f>
        <v>54.04</v>
      </c>
      <c r="E138" s="304">
        <f t="shared" si="20"/>
        <v>40.41</v>
      </c>
      <c r="F138" s="305">
        <f t="shared" si="20"/>
        <v>195.74</v>
      </c>
      <c r="G138" s="306">
        <f t="shared" si="20"/>
        <v>1362.81</v>
      </c>
      <c r="H138" s="76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</row>
    <row r="139" s="1" customFormat="1" customHeight="1" spans="1:58">
      <c r="A139" s="100"/>
      <c r="B139" s="101"/>
      <c r="C139" s="106"/>
      <c r="D139" s="293"/>
      <c r="E139" s="293"/>
      <c r="F139" s="293"/>
      <c r="G139" s="294"/>
      <c r="H139" s="76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</row>
    <row r="140" ht="17.25" customHeight="1" spans="1:17">
      <c r="A140" s="213"/>
      <c r="B140" s="109" t="s">
        <v>58</v>
      </c>
      <c r="C140" s="109"/>
      <c r="D140" s="109"/>
      <c r="E140" s="109"/>
      <c r="F140" s="109"/>
      <c r="G140" s="109"/>
      <c r="H140" s="76"/>
      <c r="J140" s="152"/>
      <c r="K140" s="3"/>
      <c r="L140" s="3"/>
      <c r="M140" s="3"/>
      <c r="N140" s="3"/>
      <c r="O140" s="3"/>
      <c r="P140" s="3"/>
      <c r="Q140" s="3"/>
    </row>
    <row r="141" ht="17.25" customHeight="1" spans="1:17">
      <c r="A141" s="172" t="s">
        <v>14</v>
      </c>
      <c r="B141" s="173"/>
      <c r="C141" s="110"/>
      <c r="D141" s="173"/>
      <c r="E141" s="173"/>
      <c r="F141" s="295"/>
      <c r="G141" s="295"/>
      <c r="H141" s="76"/>
      <c r="J141" s="152"/>
      <c r="K141" s="3"/>
      <c r="L141" s="3"/>
      <c r="M141" s="3"/>
      <c r="N141" s="3"/>
      <c r="O141" s="3"/>
      <c r="P141" s="3"/>
      <c r="Q141" s="3"/>
    </row>
    <row r="142" s="1" customFormat="1" customHeight="1" spans="1:58">
      <c r="A142" s="196"/>
      <c r="B142" s="55" t="s">
        <v>54</v>
      </c>
      <c r="C142" s="83">
        <v>60</v>
      </c>
      <c r="D142" s="138">
        <v>1</v>
      </c>
      <c r="E142" s="139">
        <v>0.4</v>
      </c>
      <c r="F142" s="140">
        <v>2.3</v>
      </c>
      <c r="G142" s="257">
        <f>(D142*4)+(E142*9)+(F142*4)</f>
        <v>16.8</v>
      </c>
      <c r="H142" s="197" t="s">
        <v>63</v>
      </c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</row>
    <row r="143" s="1" customFormat="1" customHeight="1" spans="1:58">
      <c r="A143" s="61"/>
      <c r="B143" s="55" t="s">
        <v>118</v>
      </c>
      <c r="C143" s="56">
        <v>80</v>
      </c>
      <c r="D143" s="188">
        <v>21.8</v>
      </c>
      <c r="E143" s="189">
        <v>8.71</v>
      </c>
      <c r="F143" s="190">
        <v>38.57</v>
      </c>
      <c r="G143" s="257">
        <f t="shared" ref="G143:G146" si="21">(D143*4)+(E143*9)+(F143*4)</f>
        <v>319.87</v>
      </c>
      <c r="H143" s="62" t="s">
        <v>119</v>
      </c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2"/>
      <c r="BF143" s="152"/>
    </row>
    <row r="144" s="1" customFormat="1" customHeight="1" spans="1:58">
      <c r="A144" s="61"/>
      <c r="B144" s="55" t="s">
        <v>61</v>
      </c>
      <c r="C144" s="56">
        <v>150</v>
      </c>
      <c r="D144" s="138">
        <v>1.42</v>
      </c>
      <c r="E144" s="139">
        <v>1.8</v>
      </c>
      <c r="F144" s="140">
        <v>10.3</v>
      </c>
      <c r="G144" s="257">
        <f t="shared" si="21"/>
        <v>63.08</v>
      </c>
      <c r="H144" s="62" t="s">
        <v>62</v>
      </c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</row>
    <row r="145" s="1" customFormat="1" customHeight="1" spans="1:58">
      <c r="A145" s="61"/>
      <c r="B145" s="177" t="s">
        <v>80</v>
      </c>
      <c r="C145" s="56">
        <v>200</v>
      </c>
      <c r="D145" s="188">
        <v>3.3</v>
      </c>
      <c r="E145" s="189">
        <v>3</v>
      </c>
      <c r="F145" s="190">
        <v>16.6</v>
      </c>
      <c r="G145" s="257">
        <f t="shared" si="21"/>
        <v>106.6</v>
      </c>
      <c r="H145" s="62" t="s">
        <v>120</v>
      </c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</row>
    <row r="146" s="1" customFormat="1" customHeight="1" spans="1:58">
      <c r="A146" s="88"/>
      <c r="B146" s="178" t="s">
        <v>23</v>
      </c>
      <c r="C146" s="194">
        <v>40</v>
      </c>
      <c r="D146" s="138">
        <v>3.04</v>
      </c>
      <c r="E146" s="139">
        <v>0.4</v>
      </c>
      <c r="F146" s="140">
        <v>24.6</v>
      </c>
      <c r="G146" s="257">
        <f t="shared" si="21"/>
        <v>114.16</v>
      </c>
      <c r="H146" s="68" t="s">
        <v>24</v>
      </c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2"/>
      <c r="BF146" s="152"/>
    </row>
    <row r="147" s="1" customFormat="1" customHeight="1" spans="1:58">
      <c r="A147" s="275" t="s">
        <v>25</v>
      </c>
      <c r="B147" s="281"/>
      <c r="C147" s="209">
        <f>SUM(C142:C146)+40</f>
        <v>570</v>
      </c>
      <c r="D147" s="316">
        <f t="shared" ref="D147:G147" si="22">SUM(D142:D146)</f>
        <v>30.56</v>
      </c>
      <c r="E147" s="317">
        <f t="shared" si="22"/>
        <v>14.31</v>
      </c>
      <c r="F147" s="318">
        <f t="shared" si="22"/>
        <v>92.37</v>
      </c>
      <c r="G147" s="319">
        <f t="shared" si="22"/>
        <v>620.51</v>
      </c>
      <c r="H147" s="76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</row>
    <row r="148" ht="17.25" customHeight="1" spans="1:17">
      <c r="A148" s="147" t="s">
        <v>26</v>
      </c>
      <c r="B148" s="286"/>
      <c r="C148" s="124"/>
      <c r="D148" s="320"/>
      <c r="E148" s="320"/>
      <c r="F148" s="253"/>
      <c r="G148" s="253"/>
      <c r="H148" s="76"/>
      <c r="I148" s="153"/>
      <c r="J148" s="152"/>
      <c r="K148" s="3"/>
      <c r="L148" s="3"/>
      <c r="M148" s="3"/>
      <c r="N148" s="3" t="s">
        <v>121</v>
      </c>
      <c r="O148" s="3"/>
      <c r="P148" s="3"/>
      <c r="Q148" s="3"/>
    </row>
    <row r="149" s="1" customFormat="1" customHeight="1" spans="1:58">
      <c r="A149" s="207"/>
      <c r="B149" s="82" t="s">
        <v>122</v>
      </c>
      <c r="C149" s="83">
        <v>250</v>
      </c>
      <c r="D149" s="254">
        <v>6.2</v>
      </c>
      <c r="E149" s="255">
        <v>5.6</v>
      </c>
      <c r="F149" s="256">
        <v>22.3</v>
      </c>
      <c r="G149" s="257">
        <f>(D149*4)+(E149*9)+(F149*4)</f>
        <v>164.4</v>
      </c>
      <c r="H149" s="87" t="s">
        <v>123</v>
      </c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  <c r="BB149" s="152"/>
      <c r="BC149" s="152"/>
      <c r="BD149" s="152"/>
      <c r="BE149" s="152"/>
      <c r="BF149" s="152"/>
    </row>
    <row r="150" s="1" customFormat="1" customHeight="1" spans="1:58">
      <c r="A150" s="61"/>
      <c r="B150" s="55" t="s">
        <v>124</v>
      </c>
      <c r="C150" s="56">
        <v>90</v>
      </c>
      <c r="D150" s="188">
        <v>6.5</v>
      </c>
      <c r="E150" s="189">
        <v>4.4</v>
      </c>
      <c r="F150" s="190">
        <v>7.6</v>
      </c>
      <c r="G150" s="257">
        <f t="shared" ref="G150:G154" si="23">(D150*4)+(E150*9)+(F150*4)</f>
        <v>96</v>
      </c>
      <c r="H150" s="62" t="s">
        <v>125</v>
      </c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  <c r="BD150" s="152"/>
      <c r="BE150" s="152"/>
      <c r="BF150" s="152"/>
    </row>
    <row r="151" s="1" customFormat="1" customHeight="1" spans="1:58">
      <c r="A151" s="61"/>
      <c r="B151" s="55" t="s">
        <v>126</v>
      </c>
      <c r="C151" s="56">
        <v>150</v>
      </c>
      <c r="D151" s="188">
        <v>3.05</v>
      </c>
      <c r="E151" s="189">
        <v>6.7</v>
      </c>
      <c r="F151" s="190">
        <v>27.6</v>
      </c>
      <c r="G151" s="257">
        <f t="shared" si="23"/>
        <v>182.9</v>
      </c>
      <c r="H151" s="62" t="s">
        <v>127</v>
      </c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2"/>
      <c r="BF151" s="152"/>
    </row>
    <row r="152" s="1" customFormat="1" customHeight="1" spans="1:58">
      <c r="A152" s="54"/>
      <c r="B152" s="55" t="s">
        <v>86</v>
      </c>
      <c r="C152" s="56">
        <v>60</v>
      </c>
      <c r="D152" s="138">
        <v>0.8</v>
      </c>
      <c r="E152" s="139">
        <v>5</v>
      </c>
      <c r="F152" s="140">
        <v>1.79</v>
      </c>
      <c r="G152" s="257">
        <f t="shared" si="23"/>
        <v>55.36</v>
      </c>
      <c r="H152" s="60" t="s">
        <v>87</v>
      </c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</row>
    <row r="153" s="1" customFormat="1" customHeight="1" spans="1:58">
      <c r="A153" s="88"/>
      <c r="B153" s="89" t="s">
        <v>38</v>
      </c>
      <c r="C153" s="90">
        <v>200</v>
      </c>
      <c r="D153" s="258">
        <v>0.6</v>
      </c>
      <c r="E153" s="259">
        <v>0.09</v>
      </c>
      <c r="F153" s="260">
        <v>17.3</v>
      </c>
      <c r="G153" s="257">
        <f t="shared" si="23"/>
        <v>72.41</v>
      </c>
      <c r="H153" s="68" t="s">
        <v>117</v>
      </c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</row>
    <row r="154" s="1" customFormat="1" customHeight="1" spans="1:58">
      <c r="A154" s="61"/>
      <c r="B154" s="55" t="s">
        <v>36</v>
      </c>
      <c r="C154" s="56" t="s">
        <v>37</v>
      </c>
      <c r="D154" s="138">
        <v>7.34</v>
      </c>
      <c r="E154" s="139">
        <v>2.1</v>
      </c>
      <c r="F154" s="140">
        <v>45.9</v>
      </c>
      <c r="G154" s="257">
        <f t="shared" si="23"/>
        <v>231.86</v>
      </c>
      <c r="H154" s="62" t="s">
        <v>24</v>
      </c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</row>
    <row r="155" s="1" customFormat="1" customHeight="1" spans="1:58">
      <c r="A155" s="261" t="s">
        <v>25</v>
      </c>
      <c r="B155" s="262"/>
      <c r="C155" s="214" t="s">
        <v>128</v>
      </c>
      <c r="D155" s="308">
        <f t="shared" ref="D155:G155" si="24">SUM(D149:D153)</f>
        <v>17.15</v>
      </c>
      <c r="E155" s="309">
        <f t="shared" si="24"/>
        <v>21.79</v>
      </c>
      <c r="F155" s="310">
        <f t="shared" si="24"/>
        <v>76.59</v>
      </c>
      <c r="G155" s="311">
        <f t="shared" si="24"/>
        <v>571.07</v>
      </c>
      <c r="H155" s="76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</row>
    <row r="156" s="1" customFormat="1" customHeight="1" spans="1:58">
      <c r="A156" s="267" t="s">
        <v>40</v>
      </c>
      <c r="B156" s="262"/>
      <c r="C156" s="215">
        <f>C155+C147</f>
        <v>1420</v>
      </c>
      <c r="D156" s="303">
        <f t="shared" ref="D156:G156" si="25">D155+D147</f>
        <v>47.71</v>
      </c>
      <c r="E156" s="304">
        <f t="shared" si="25"/>
        <v>36.1</v>
      </c>
      <c r="F156" s="305">
        <f t="shared" si="25"/>
        <v>168.96</v>
      </c>
      <c r="G156" s="306">
        <f t="shared" si="25"/>
        <v>1191.58</v>
      </c>
      <c r="H156" s="76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  <c r="AS156" s="152"/>
      <c r="AT156" s="152"/>
      <c r="AU156" s="152"/>
      <c r="AV156" s="152"/>
      <c r="AW156" s="152"/>
      <c r="AX156" s="152"/>
      <c r="AY156" s="152"/>
      <c r="AZ156" s="152"/>
      <c r="BA156" s="152"/>
      <c r="BB156" s="152"/>
      <c r="BC156" s="152"/>
      <c r="BD156" s="152"/>
      <c r="BE156" s="152"/>
      <c r="BF156" s="152"/>
    </row>
    <row r="157" s="1" customFormat="1" customHeight="1" spans="1:58">
      <c r="A157" s="100"/>
      <c r="B157" s="101"/>
      <c r="C157" s="106"/>
      <c r="D157" s="293"/>
      <c r="E157" s="293"/>
      <c r="F157" s="293"/>
      <c r="G157" s="294"/>
      <c r="H157" s="76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2"/>
      <c r="BC157" s="152"/>
      <c r="BD157" s="152"/>
      <c r="BE157" s="152"/>
      <c r="BF157" s="152"/>
    </row>
    <row r="158" ht="17.25" customHeight="1" spans="1:17">
      <c r="A158" s="134"/>
      <c r="B158" s="109" t="s">
        <v>75</v>
      </c>
      <c r="C158" s="109"/>
      <c r="D158" s="109"/>
      <c r="E158" s="109"/>
      <c r="F158" s="109"/>
      <c r="G158" s="109"/>
      <c r="H158" s="76"/>
      <c r="J158" s="152"/>
      <c r="K158" s="3"/>
      <c r="L158" s="3"/>
      <c r="M158" s="3"/>
      <c r="N158" s="3"/>
      <c r="O158" s="3"/>
      <c r="P158" s="3"/>
      <c r="Q158" s="3"/>
    </row>
    <row r="159" ht="17.25" customHeight="1" spans="1:17">
      <c r="A159" s="172" t="s">
        <v>14</v>
      </c>
      <c r="B159" s="173"/>
      <c r="C159" s="110"/>
      <c r="D159" s="173"/>
      <c r="E159" s="173"/>
      <c r="F159" s="295"/>
      <c r="G159" s="295"/>
      <c r="H159" s="81"/>
      <c r="J159" s="152"/>
      <c r="K159" s="3"/>
      <c r="L159" s="3"/>
      <c r="M159" s="3"/>
      <c r="N159" s="3"/>
      <c r="O159" s="3"/>
      <c r="P159" s="3"/>
      <c r="Q159" s="3"/>
    </row>
    <row r="160" s="1" customFormat="1" customHeight="1" spans="1:58">
      <c r="A160" s="196"/>
      <c r="B160" s="55" t="s">
        <v>54</v>
      </c>
      <c r="C160" s="83">
        <v>60</v>
      </c>
      <c r="D160" s="138">
        <v>1</v>
      </c>
      <c r="E160" s="139">
        <v>0.4</v>
      </c>
      <c r="F160" s="140">
        <v>2.3</v>
      </c>
      <c r="G160" s="257">
        <f>(D160*4)+(E160*9)+(F160*4)</f>
        <v>16.8</v>
      </c>
      <c r="H160" s="197" t="s">
        <v>63</v>
      </c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</row>
    <row r="161" s="1" customFormat="1" customHeight="1" spans="1:58">
      <c r="A161" s="61"/>
      <c r="B161" s="55" t="s">
        <v>129</v>
      </c>
      <c r="C161" s="56">
        <v>90</v>
      </c>
      <c r="D161" s="188">
        <v>12.27</v>
      </c>
      <c r="E161" s="189">
        <v>12.81</v>
      </c>
      <c r="F161" s="190">
        <v>11.97</v>
      </c>
      <c r="G161" s="257">
        <f>(D161*4)+(E161*9)+(F161*4)</f>
        <v>212.25</v>
      </c>
      <c r="H161" s="62" t="s">
        <v>130</v>
      </c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</row>
    <row r="162" s="1" customFormat="1" customHeight="1" spans="1:58">
      <c r="A162" s="61"/>
      <c r="B162" s="55" t="s">
        <v>93</v>
      </c>
      <c r="C162" s="56">
        <v>150</v>
      </c>
      <c r="D162" s="188">
        <v>8</v>
      </c>
      <c r="E162" s="189">
        <v>7</v>
      </c>
      <c r="F162" s="190">
        <v>39</v>
      </c>
      <c r="G162" s="257">
        <f>(D162*4)+(E162*9)+(F162*4)</f>
        <v>251</v>
      </c>
      <c r="H162" s="62" t="s">
        <v>94</v>
      </c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</row>
    <row r="163" s="1" customFormat="1" customHeight="1" spans="1:58">
      <c r="A163" s="61"/>
      <c r="B163" s="55" t="s">
        <v>80</v>
      </c>
      <c r="C163" s="56">
        <v>200</v>
      </c>
      <c r="D163" s="188">
        <v>3.3</v>
      </c>
      <c r="E163" s="189">
        <v>3</v>
      </c>
      <c r="F163" s="190">
        <v>16.6</v>
      </c>
      <c r="G163" s="257">
        <f>(D163*4)+(E163*9)+(F163*4)</f>
        <v>106.6</v>
      </c>
      <c r="H163" s="62" t="s">
        <v>120</v>
      </c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</row>
    <row r="164" s="1" customFormat="1" customHeight="1" spans="1:58">
      <c r="A164" s="88"/>
      <c r="B164" s="89" t="s">
        <v>23</v>
      </c>
      <c r="C164" s="194">
        <v>40</v>
      </c>
      <c r="D164" s="138">
        <v>3.04</v>
      </c>
      <c r="E164" s="139">
        <v>0.4</v>
      </c>
      <c r="F164" s="140">
        <v>24.6</v>
      </c>
      <c r="G164" s="257">
        <f>(D164*4)+(E164*9)+(F164*4)</f>
        <v>114.16</v>
      </c>
      <c r="H164" s="68" t="s">
        <v>24</v>
      </c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</row>
    <row r="165" s="1" customFormat="1" customHeight="1" spans="1:58">
      <c r="A165" s="275" t="s">
        <v>25</v>
      </c>
      <c r="B165" s="281"/>
      <c r="C165" s="209">
        <f>SUM(C160:C164)+40</f>
        <v>580</v>
      </c>
      <c r="D165" s="316">
        <f>SUM(D160:D164)</f>
        <v>27.61</v>
      </c>
      <c r="E165" s="317">
        <f>SUM(E160:E164)</f>
        <v>23.61</v>
      </c>
      <c r="F165" s="318">
        <f>SUM(F160:F164)</f>
        <v>94.47</v>
      </c>
      <c r="G165" s="319">
        <f>SUM(G160:G164)</f>
        <v>700.81</v>
      </c>
      <c r="H165" s="76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  <c r="AS165" s="152"/>
      <c r="AT165" s="152"/>
      <c r="AU165" s="152"/>
      <c r="AV165" s="152"/>
      <c r="AW165" s="152"/>
      <c r="AX165" s="152"/>
      <c r="AY165" s="152"/>
      <c r="AZ165" s="152"/>
      <c r="BA165" s="152"/>
      <c r="BB165" s="152"/>
      <c r="BC165" s="152"/>
      <c r="BD165" s="152"/>
      <c r="BE165" s="152"/>
      <c r="BF165" s="152"/>
    </row>
    <row r="166" ht="17.25" customHeight="1" spans="1:17">
      <c r="A166" s="147" t="s">
        <v>26</v>
      </c>
      <c r="B166" s="286"/>
      <c r="C166" s="124"/>
      <c r="D166" s="320"/>
      <c r="E166" s="320"/>
      <c r="F166" s="253"/>
      <c r="G166" s="253"/>
      <c r="H166" s="76"/>
      <c r="I166" s="153"/>
      <c r="J166" s="152"/>
      <c r="K166" s="3"/>
      <c r="L166" s="3"/>
      <c r="M166" s="3"/>
      <c r="N166" s="3"/>
      <c r="O166" s="3"/>
      <c r="P166" s="3"/>
      <c r="Q166" s="3"/>
    </row>
    <row r="167" s="1" customFormat="1" customHeight="1" spans="1:58">
      <c r="A167" s="196"/>
      <c r="B167" s="82" t="s">
        <v>131</v>
      </c>
      <c r="C167" s="83">
        <v>250</v>
      </c>
      <c r="D167" s="296">
        <v>1.52</v>
      </c>
      <c r="E167" s="297">
        <v>5.4</v>
      </c>
      <c r="F167" s="298">
        <v>8.6</v>
      </c>
      <c r="G167" s="257">
        <f>(D167*4)+(E167*9)+(F167*4)</f>
        <v>89.08</v>
      </c>
      <c r="H167" s="197" t="s">
        <v>97</v>
      </c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  <c r="AS167" s="152"/>
      <c r="AT167" s="152"/>
      <c r="AU167" s="152"/>
      <c r="AV167" s="152"/>
      <c r="AW167" s="152"/>
      <c r="AX167" s="152"/>
      <c r="AY167" s="152"/>
      <c r="AZ167" s="152"/>
      <c r="BA167" s="152"/>
      <c r="BB167" s="152"/>
      <c r="BC167" s="152"/>
      <c r="BD167" s="152"/>
      <c r="BE167" s="152"/>
      <c r="BF167" s="152"/>
    </row>
    <row r="168" s="1" customFormat="1" customHeight="1" spans="1:58">
      <c r="A168" s="61"/>
      <c r="B168" s="55" t="s">
        <v>132</v>
      </c>
      <c r="C168" s="56">
        <v>200</v>
      </c>
      <c r="D168" s="188">
        <v>25.42</v>
      </c>
      <c r="E168" s="189">
        <v>14.7</v>
      </c>
      <c r="F168" s="190">
        <v>44</v>
      </c>
      <c r="G168" s="257">
        <f t="shared" ref="G168:G171" si="26">(D168*4)+(E168*9)+(F168*4)</f>
        <v>409.98</v>
      </c>
      <c r="H168" s="62" t="s">
        <v>133</v>
      </c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2"/>
      <c r="AU168" s="152"/>
      <c r="AV168" s="15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</row>
    <row r="169" s="1" customFormat="1" customHeight="1" spans="1:58">
      <c r="A169" s="61"/>
      <c r="B169" s="55" t="s">
        <v>54</v>
      </c>
      <c r="C169" s="56">
        <v>60</v>
      </c>
      <c r="D169" s="138">
        <v>1</v>
      </c>
      <c r="E169" s="139">
        <v>0.4</v>
      </c>
      <c r="F169" s="140">
        <v>2.3</v>
      </c>
      <c r="G169" s="257">
        <f t="shared" si="26"/>
        <v>16.8</v>
      </c>
      <c r="H169" s="62" t="s">
        <v>63</v>
      </c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  <c r="AS169" s="152"/>
      <c r="AT169" s="152"/>
      <c r="AU169" s="152"/>
      <c r="AV169" s="152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</row>
    <row r="170" s="1" customFormat="1" customHeight="1" spans="1:58">
      <c r="A170" s="61"/>
      <c r="B170" s="55" t="s">
        <v>36</v>
      </c>
      <c r="C170" s="56" t="s">
        <v>37</v>
      </c>
      <c r="D170" s="138">
        <v>7.34</v>
      </c>
      <c r="E170" s="139">
        <v>2.1</v>
      </c>
      <c r="F170" s="140">
        <v>45.9</v>
      </c>
      <c r="G170" s="257">
        <f t="shared" si="26"/>
        <v>231.86</v>
      </c>
      <c r="H170" s="62" t="s">
        <v>24</v>
      </c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  <c r="AS170" s="152"/>
      <c r="AT170" s="152"/>
      <c r="AU170" s="152"/>
      <c r="AV170" s="152"/>
      <c r="AW170" s="152"/>
      <c r="AX170" s="152"/>
      <c r="AY170" s="152"/>
      <c r="AZ170" s="152"/>
      <c r="BA170" s="152"/>
      <c r="BB170" s="152"/>
      <c r="BC170" s="152"/>
      <c r="BD170" s="152"/>
      <c r="BE170" s="152"/>
      <c r="BF170" s="152"/>
    </row>
    <row r="171" s="1" customFormat="1" customHeight="1" spans="1:58">
      <c r="A171" s="88"/>
      <c r="B171" s="89" t="s">
        <v>73</v>
      </c>
      <c r="C171" s="90">
        <v>200</v>
      </c>
      <c r="D171" s="321">
        <v>0.43</v>
      </c>
      <c r="E171" s="322">
        <v>0.02</v>
      </c>
      <c r="F171" s="323">
        <v>27.6</v>
      </c>
      <c r="G171" s="257">
        <f t="shared" si="26"/>
        <v>112.3</v>
      </c>
      <c r="H171" s="68" t="s">
        <v>134</v>
      </c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  <c r="AS171" s="152"/>
      <c r="AT171" s="152"/>
      <c r="AU171" s="152"/>
      <c r="AV171" s="152"/>
      <c r="AW171" s="152"/>
      <c r="AX171" s="152"/>
      <c r="AY171" s="152"/>
      <c r="AZ171" s="152"/>
      <c r="BA171" s="152"/>
      <c r="BB171" s="152"/>
      <c r="BC171" s="152"/>
      <c r="BD171" s="152"/>
      <c r="BE171" s="152"/>
      <c r="BF171" s="152"/>
    </row>
    <row r="172" s="1" customFormat="1" customHeight="1" spans="1:58">
      <c r="A172" s="261" t="s">
        <v>25</v>
      </c>
      <c r="B172" s="262"/>
      <c r="C172" s="182">
        <f>SUM(C167:C171)+100</f>
        <v>810</v>
      </c>
      <c r="D172" s="299">
        <f t="shared" ref="D172:G172" si="27">SUM(D167:D171)</f>
        <v>35.71</v>
      </c>
      <c r="E172" s="300">
        <f t="shared" si="27"/>
        <v>22.62</v>
      </c>
      <c r="F172" s="301">
        <f t="shared" si="27"/>
        <v>128.4</v>
      </c>
      <c r="G172" s="302">
        <f t="shared" si="27"/>
        <v>860.02</v>
      </c>
      <c r="H172" s="76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  <c r="AS172" s="152"/>
      <c r="AT172" s="152"/>
      <c r="AU172" s="152"/>
      <c r="AV172" s="152"/>
      <c r="AW172" s="152"/>
      <c r="AX172" s="152"/>
      <c r="AY172" s="152"/>
      <c r="AZ172" s="152"/>
      <c r="BA172" s="152"/>
      <c r="BB172" s="152"/>
      <c r="BC172" s="152"/>
      <c r="BD172" s="152"/>
      <c r="BE172" s="152"/>
      <c r="BF172" s="152"/>
    </row>
    <row r="173" s="1" customFormat="1" customHeight="1" spans="1:58">
      <c r="A173" s="267" t="s">
        <v>40</v>
      </c>
      <c r="B173" s="262"/>
      <c r="C173" s="95">
        <f>C172+C165</f>
        <v>1390</v>
      </c>
      <c r="D173" s="303">
        <f t="shared" ref="D173:G173" si="28">D172+D165</f>
        <v>63.32</v>
      </c>
      <c r="E173" s="304">
        <f t="shared" si="28"/>
        <v>46.23</v>
      </c>
      <c r="F173" s="305">
        <f t="shared" si="28"/>
        <v>222.87</v>
      </c>
      <c r="G173" s="306">
        <f t="shared" si="28"/>
        <v>1560.83</v>
      </c>
      <c r="H173" s="76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52"/>
      <c r="AU173" s="152"/>
      <c r="AV173" s="152"/>
      <c r="AW173" s="152"/>
      <c r="AX173" s="152"/>
      <c r="AY173" s="152"/>
      <c r="AZ173" s="152"/>
      <c r="BA173" s="152"/>
      <c r="BB173" s="152"/>
      <c r="BC173" s="152"/>
      <c r="BD173" s="152"/>
      <c r="BE173" s="152"/>
      <c r="BF173" s="152"/>
    </row>
    <row r="174" s="1" customFormat="1" customHeight="1" spans="1:58">
      <c r="A174" s="100"/>
      <c r="B174" s="101"/>
      <c r="C174" s="106"/>
      <c r="D174" s="293"/>
      <c r="E174" s="293"/>
      <c r="F174" s="293"/>
      <c r="G174" s="294"/>
      <c r="H174" s="76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52"/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152"/>
      <c r="AR174" s="152"/>
      <c r="AS174" s="152"/>
      <c r="AT174" s="152"/>
      <c r="AU174" s="152"/>
      <c r="AV174" s="152"/>
      <c r="AW174" s="152"/>
      <c r="AX174" s="152"/>
      <c r="AY174" s="152"/>
      <c r="AZ174" s="152"/>
      <c r="BA174" s="152"/>
      <c r="BB174" s="152"/>
      <c r="BC174" s="152"/>
      <c r="BD174" s="152"/>
      <c r="BE174" s="152"/>
      <c r="BF174" s="152"/>
    </row>
    <row r="175" ht="17.25" customHeight="1" spans="1:17">
      <c r="A175" s="134"/>
      <c r="B175" s="109" t="s">
        <v>90</v>
      </c>
      <c r="C175" s="109"/>
      <c r="D175" s="109"/>
      <c r="E175" s="109"/>
      <c r="F175" s="109"/>
      <c r="G175" s="109"/>
      <c r="H175" s="76"/>
      <c r="J175" s="152"/>
      <c r="K175" s="3"/>
      <c r="L175" s="3"/>
      <c r="M175" s="3"/>
      <c r="N175" s="3"/>
      <c r="O175" s="3"/>
      <c r="P175" s="3"/>
      <c r="Q175" s="3"/>
    </row>
    <row r="176" ht="17.25" customHeight="1" spans="1:17">
      <c r="A176" s="172" t="s">
        <v>14</v>
      </c>
      <c r="B176" s="173"/>
      <c r="C176" s="110"/>
      <c r="D176" s="173"/>
      <c r="E176" s="173"/>
      <c r="F176" s="295"/>
      <c r="G176" s="295"/>
      <c r="H176" s="76"/>
      <c r="J176" s="152"/>
      <c r="K176" s="3"/>
      <c r="L176" s="3"/>
      <c r="M176" s="3"/>
      <c r="N176" s="3"/>
      <c r="O176" s="3"/>
      <c r="P176" s="3"/>
      <c r="Q176" s="3"/>
    </row>
    <row r="177" s="1" customFormat="1" customHeight="1" spans="1:58">
      <c r="A177" s="207"/>
      <c r="B177" s="82" t="s">
        <v>135</v>
      </c>
      <c r="C177" s="83">
        <v>180</v>
      </c>
      <c r="D177" s="296">
        <v>3.8</v>
      </c>
      <c r="E177" s="297">
        <v>7.9</v>
      </c>
      <c r="F177" s="298">
        <v>34.3</v>
      </c>
      <c r="G177" s="257">
        <f>(D177*4)+(E177*9)+(F177*4)</f>
        <v>223.5</v>
      </c>
      <c r="H177" s="87" t="s">
        <v>136</v>
      </c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</row>
    <row r="178" s="1" customFormat="1" customHeight="1" spans="1:58">
      <c r="A178" s="61"/>
      <c r="B178" s="55" t="s">
        <v>137</v>
      </c>
      <c r="C178" s="56">
        <v>200</v>
      </c>
      <c r="D178" s="138">
        <v>0.02</v>
      </c>
      <c r="E178" s="139">
        <v>0</v>
      </c>
      <c r="F178" s="140">
        <v>15</v>
      </c>
      <c r="G178" s="257">
        <f>(D178*4)+(E178*9)+(F178*4)</f>
        <v>60.08</v>
      </c>
      <c r="H178" s="62" t="s">
        <v>138</v>
      </c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2"/>
      <c r="AY178" s="152"/>
      <c r="AZ178" s="152"/>
      <c r="BA178" s="152"/>
      <c r="BB178" s="152"/>
      <c r="BC178" s="152"/>
      <c r="BD178" s="152"/>
      <c r="BE178" s="152"/>
      <c r="BF178" s="152"/>
    </row>
    <row r="179" s="1" customFormat="1" customHeight="1" spans="1:58">
      <c r="A179" s="61"/>
      <c r="B179" s="55" t="s">
        <v>21</v>
      </c>
      <c r="C179" s="56">
        <v>10</v>
      </c>
      <c r="D179" s="138">
        <v>2.5</v>
      </c>
      <c r="E179" s="139">
        <v>2.5</v>
      </c>
      <c r="F179" s="140">
        <v>3.23</v>
      </c>
      <c r="G179" s="257">
        <f>(D179*4)+(E179*9)+(F179*4)</f>
        <v>45.42</v>
      </c>
      <c r="H179" s="62" t="s">
        <v>139</v>
      </c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52"/>
      <c r="AU179" s="152"/>
      <c r="AV179" s="152"/>
      <c r="AW179" s="152"/>
      <c r="AX179" s="152"/>
      <c r="AY179" s="152"/>
      <c r="AZ179" s="152"/>
      <c r="BA179" s="152"/>
      <c r="BB179" s="152"/>
      <c r="BC179" s="152"/>
      <c r="BD179" s="152"/>
      <c r="BE179" s="152"/>
      <c r="BF179" s="152"/>
    </row>
    <row r="180" s="1" customFormat="1" customHeight="1" spans="1:58">
      <c r="A180" s="61"/>
      <c r="B180" s="55" t="s">
        <v>19</v>
      </c>
      <c r="C180" s="56">
        <v>10</v>
      </c>
      <c r="D180" s="138">
        <v>0.01</v>
      </c>
      <c r="E180" s="139">
        <v>7.25</v>
      </c>
      <c r="F180" s="140">
        <v>0.13</v>
      </c>
      <c r="G180" s="257">
        <f>(D180*4)+(E180*9)+(F180*4)</f>
        <v>65.81</v>
      </c>
      <c r="H180" s="62" t="s">
        <v>140</v>
      </c>
      <c r="I180" s="152"/>
      <c r="J180" s="152"/>
      <c r="K180" s="152"/>
      <c r="L180" s="152"/>
      <c r="M180" s="152"/>
      <c r="N180" s="152">
        <v>6</v>
      </c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52"/>
      <c r="AU180" s="152"/>
      <c r="AV180" s="152"/>
      <c r="AW180" s="152"/>
      <c r="AX180" s="152"/>
      <c r="AY180" s="152"/>
      <c r="AZ180" s="152"/>
      <c r="BA180" s="152"/>
      <c r="BB180" s="152"/>
      <c r="BC180" s="152"/>
      <c r="BD180" s="152"/>
      <c r="BE180" s="152"/>
      <c r="BF180" s="152"/>
    </row>
    <row r="181" s="1" customFormat="1" customHeight="1" spans="1:58">
      <c r="A181" s="61"/>
      <c r="B181" s="55" t="s">
        <v>23</v>
      </c>
      <c r="C181" s="191">
        <v>40</v>
      </c>
      <c r="D181" s="138">
        <v>3.04</v>
      </c>
      <c r="E181" s="139">
        <v>0.4</v>
      </c>
      <c r="F181" s="140">
        <v>24.6</v>
      </c>
      <c r="G181" s="257">
        <f>(D181*4)+(E181*9)+(F181*4)</f>
        <v>114.16</v>
      </c>
      <c r="H181" s="62" t="s">
        <v>24</v>
      </c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152"/>
      <c r="AR181" s="152"/>
      <c r="AS181" s="152"/>
      <c r="AT181" s="152"/>
      <c r="AU181" s="152"/>
      <c r="AV181" s="152"/>
      <c r="AW181" s="152"/>
      <c r="AX181" s="152"/>
      <c r="AY181" s="152"/>
      <c r="AZ181" s="152"/>
      <c r="BA181" s="152"/>
      <c r="BB181" s="152"/>
      <c r="BC181" s="152"/>
      <c r="BD181" s="152"/>
      <c r="BE181" s="152"/>
      <c r="BF181" s="152"/>
    </row>
    <row r="182" s="1" customFormat="1" customHeight="1" spans="1:58">
      <c r="A182" s="275" t="s">
        <v>25</v>
      </c>
      <c r="B182" s="281"/>
      <c r="C182" s="209">
        <f>SUM(C177:C181)</f>
        <v>440</v>
      </c>
      <c r="D182" s="316">
        <f>SUM(D177:D181)</f>
        <v>9.37</v>
      </c>
      <c r="E182" s="317">
        <f>SUM(E177:E181)</f>
        <v>18.05</v>
      </c>
      <c r="F182" s="318">
        <f>SUM(F177:F181)</f>
        <v>77.26</v>
      </c>
      <c r="G182" s="319">
        <f>SUM(G177:G181)</f>
        <v>508.97</v>
      </c>
      <c r="H182" s="76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52"/>
      <c r="AU182" s="152"/>
      <c r="AV182" s="152"/>
      <c r="AW182" s="152"/>
      <c r="AX182" s="152"/>
      <c r="AY182" s="152"/>
      <c r="AZ182" s="152"/>
      <c r="BA182" s="152"/>
      <c r="BB182" s="152"/>
      <c r="BC182" s="152"/>
      <c r="BD182" s="152"/>
      <c r="BE182" s="152"/>
      <c r="BF182" s="152"/>
    </row>
    <row r="183" ht="17.25" customHeight="1" spans="1:17">
      <c r="A183" s="147" t="s">
        <v>26</v>
      </c>
      <c r="B183" s="286"/>
      <c r="C183" s="124"/>
      <c r="D183" s="320"/>
      <c r="E183" s="320"/>
      <c r="F183" s="253"/>
      <c r="G183" s="253"/>
      <c r="H183" s="76"/>
      <c r="I183" s="153"/>
      <c r="J183" s="152"/>
      <c r="K183" s="3"/>
      <c r="L183" s="3"/>
      <c r="M183" s="3"/>
      <c r="N183" s="3"/>
      <c r="O183" s="3"/>
      <c r="P183" s="3"/>
      <c r="Q183" s="3"/>
    </row>
    <row r="184" s="1" customFormat="1" customHeight="1" spans="1:58">
      <c r="A184" s="207"/>
      <c r="B184" s="82" t="s">
        <v>141</v>
      </c>
      <c r="C184" s="83">
        <v>250</v>
      </c>
      <c r="D184" s="254">
        <v>2.6</v>
      </c>
      <c r="E184" s="255">
        <v>5.3</v>
      </c>
      <c r="F184" s="256">
        <v>14.3</v>
      </c>
      <c r="G184" s="257">
        <f>(D184*4)+(E184*9)+(F184*4)</f>
        <v>115.3</v>
      </c>
      <c r="H184" s="87" t="s">
        <v>67</v>
      </c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  <c r="Y184" s="152"/>
      <c r="Z184" s="152"/>
      <c r="AA184" s="152"/>
      <c r="AB184" s="152"/>
      <c r="AC184" s="152"/>
      <c r="AD184" s="152"/>
      <c r="AE184" s="152"/>
      <c r="AF184" s="152"/>
      <c r="AG184" s="152"/>
      <c r="AH184" s="152"/>
      <c r="AI184" s="152"/>
      <c r="AJ184" s="152"/>
      <c r="AK184" s="152"/>
      <c r="AL184" s="152"/>
      <c r="AM184" s="152"/>
      <c r="AN184" s="152"/>
      <c r="AO184" s="152"/>
      <c r="AP184" s="152"/>
      <c r="AQ184" s="152"/>
      <c r="AR184" s="152"/>
      <c r="AS184" s="152"/>
      <c r="AT184" s="152"/>
      <c r="AU184" s="152"/>
      <c r="AV184" s="152"/>
      <c r="AW184" s="152"/>
      <c r="AX184" s="152"/>
      <c r="AY184" s="152"/>
      <c r="AZ184" s="152"/>
      <c r="BA184" s="152"/>
      <c r="BB184" s="152"/>
      <c r="BC184" s="152"/>
      <c r="BD184" s="152"/>
      <c r="BE184" s="152"/>
      <c r="BF184" s="152"/>
    </row>
    <row r="185" s="1" customFormat="1" customHeight="1" spans="1:58">
      <c r="A185" s="61"/>
      <c r="B185" s="55" t="s">
        <v>142</v>
      </c>
      <c r="C185" s="56">
        <v>90</v>
      </c>
      <c r="D185" s="188">
        <v>5.52</v>
      </c>
      <c r="E185" s="189">
        <v>5.27</v>
      </c>
      <c r="F185" s="190">
        <v>6.01</v>
      </c>
      <c r="G185" s="257">
        <f t="shared" ref="G185:G189" si="29">(D185*4)+(E185*9)+(F185*4)</f>
        <v>93.55</v>
      </c>
      <c r="H185" s="62" t="s">
        <v>143</v>
      </c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  <c r="AA185" s="152"/>
      <c r="AB185" s="152"/>
      <c r="AC185" s="152"/>
      <c r="AD185" s="152"/>
      <c r="AE185" s="152"/>
      <c r="AF185" s="152"/>
      <c r="AG185" s="152"/>
      <c r="AH185" s="152"/>
      <c r="AI185" s="152"/>
      <c r="AJ185" s="152"/>
      <c r="AK185" s="152"/>
      <c r="AL185" s="152"/>
      <c r="AM185" s="152"/>
      <c r="AN185" s="152"/>
      <c r="AO185" s="152"/>
      <c r="AP185" s="152"/>
      <c r="AQ185" s="152"/>
      <c r="AR185" s="152"/>
      <c r="AS185" s="152"/>
      <c r="AT185" s="152"/>
      <c r="AU185" s="152"/>
      <c r="AV185" s="152"/>
      <c r="AW185" s="152"/>
      <c r="AX185" s="152"/>
      <c r="AY185" s="152"/>
      <c r="AZ185" s="152"/>
      <c r="BA185" s="152"/>
      <c r="BB185" s="152"/>
      <c r="BC185" s="152"/>
      <c r="BD185" s="152"/>
      <c r="BE185" s="152"/>
      <c r="BF185" s="152"/>
    </row>
    <row r="186" s="1" customFormat="1" customHeight="1" spans="1:58">
      <c r="A186" s="61"/>
      <c r="B186" s="55" t="s">
        <v>144</v>
      </c>
      <c r="C186" s="56">
        <v>150</v>
      </c>
      <c r="D186" s="138">
        <v>6.3</v>
      </c>
      <c r="E186" s="139">
        <v>4.5</v>
      </c>
      <c r="F186" s="140">
        <v>38.8</v>
      </c>
      <c r="G186" s="257">
        <f t="shared" si="29"/>
        <v>220.9</v>
      </c>
      <c r="H186" s="62" t="s">
        <v>94</v>
      </c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  <c r="AA186" s="152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52"/>
      <c r="AN186" s="152"/>
      <c r="AO186" s="152"/>
      <c r="AP186" s="152"/>
      <c r="AQ186" s="152"/>
      <c r="AR186" s="152"/>
      <c r="AS186" s="152"/>
      <c r="AT186" s="152"/>
      <c r="AU186" s="152"/>
      <c r="AV186" s="152"/>
      <c r="AW186" s="152"/>
      <c r="AX186" s="152"/>
      <c r="AY186" s="152"/>
      <c r="AZ186" s="152"/>
      <c r="BA186" s="152"/>
      <c r="BB186" s="152"/>
      <c r="BC186" s="152"/>
      <c r="BD186" s="152"/>
      <c r="BE186" s="152"/>
      <c r="BF186" s="152"/>
    </row>
    <row r="187" s="1" customFormat="1" customHeight="1" spans="1:58">
      <c r="A187" s="61"/>
      <c r="B187" s="55" t="s">
        <v>34</v>
      </c>
      <c r="C187" s="56">
        <v>60</v>
      </c>
      <c r="D187" s="138">
        <v>1.86</v>
      </c>
      <c r="E187" s="139">
        <v>0.12</v>
      </c>
      <c r="F187" s="140">
        <v>3.9</v>
      </c>
      <c r="G187" s="257">
        <f t="shared" si="29"/>
        <v>24.12</v>
      </c>
      <c r="H187" s="62" t="s">
        <v>145</v>
      </c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  <c r="AS187" s="152"/>
      <c r="AT187" s="152"/>
      <c r="AU187" s="152"/>
      <c r="AV187" s="152"/>
      <c r="AW187" s="152"/>
      <c r="AX187" s="152"/>
      <c r="AY187" s="152"/>
      <c r="AZ187" s="152"/>
      <c r="BA187" s="152"/>
      <c r="BB187" s="152"/>
      <c r="BC187" s="152"/>
      <c r="BD187" s="152"/>
      <c r="BE187" s="152"/>
      <c r="BF187" s="152"/>
    </row>
    <row r="188" s="1" customFormat="1" customHeight="1" spans="1:58">
      <c r="A188" s="61"/>
      <c r="B188" s="55" t="s">
        <v>36</v>
      </c>
      <c r="C188" s="56" t="s">
        <v>37</v>
      </c>
      <c r="D188" s="138">
        <v>7.34</v>
      </c>
      <c r="E188" s="139">
        <v>2.1</v>
      </c>
      <c r="F188" s="140">
        <v>45.9</v>
      </c>
      <c r="G188" s="257">
        <f t="shared" si="29"/>
        <v>231.86</v>
      </c>
      <c r="H188" s="62" t="s">
        <v>24</v>
      </c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  <c r="AS188" s="152"/>
      <c r="AT188" s="152"/>
      <c r="AU188" s="152"/>
      <c r="AV188" s="152"/>
      <c r="AW188" s="152"/>
      <c r="AX188" s="152"/>
      <c r="AY188" s="152"/>
      <c r="AZ188" s="152"/>
      <c r="BA188" s="152"/>
      <c r="BB188" s="152"/>
      <c r="BC188" s="152"/>
      <c r="BD188" s="152"/>
      <c r="BE188" s="152"/>
      <c r="BF188" s="152"/>
    </row>
    <row r="189" s="1" customFormat="1" customHeight="1" spans="1:58">
      <c r="A189" s="88"/>
      <c r="B189" s="89" t="s">
        <v>88</v>
      </c>
      <c r="C189" s="90">
        <v>200</v>
      </c>
      <c r="D189" s="258">
        <v>0.6</v>
      </c>
      <c r="E189" s="259">
        <v>0.02</v>
      </c>
      <c r="F189" s="260">
        <v>30.4</v>
      </c>
      <c r="G189" s="257">
        <f t="shared" si="29"/>
        <v>124.18</v>
      </c>
      <c r="H189" s="68" t="s">
        <v>146</v>
      </c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  <c r="AS189" s="152"/>
      <c r="AT189" s="152"/>
      <c r="AU189" s="152"/>
      <c r="AV189" s="152"/>
      <c r="AW189" s="152"/>
      <c r="AX189" s="152"/>
      <c r="AY189" s="152"/>
      <c r="AZ189" s="152"/>
      <c r="BA189" s="152"/>
      <c r="BB189" s="152"/>
      <c r="BC189" s="152"/>
      <c r="BD189" s="152"/>
      <c r="BE189" s="152"/>
      <c r="BF189" s="152"/>
    </row>
    <row r="190" s="1" customFormat="1" customHeight="1" spans="1:58">
      <c r="A190" s="261" t="s">
        <v>25</v>
      </c>
      <c r="B190" s="262"/>
      <c r="C190" s="182">
        <f>SUM(C184:C189)+100</f>
        <v>850</v>
      </c>
      <c r="D190" s="308">
        <f>SUM(D184:D189)</f>
        <v>24.22</v>
      </c>
      <c r="E190" s="309">
        <f t="shared" ref="E190:G190" si="30">SUM(E184:E189)</f>
        <v>17.31</v>
      </c>
      <c r="F190" s="310">
        <f t="shared" si="30"/>
        <v>139.31</v>
      </c>
      <c r="G190" s="311">
        <f t="shared" si="30"/>
        <v>809.91</v>
      </c>
      <c r="H190" s="76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  <c r="AS190" s="152"/>
      <c r="AT190" s="152"/>
      <c r="AU190" s="152"/>
      <c r="AV190" s="152"/>
      <c r="AW190" s="152"/>
      <c r="AX190" s="152"/>
      <c r="AY190" s="152"/>
      <c r="AZ190" s="152"/>
      <c r="BA190" s="152"/>
      <c r="BB190" s="152"/>
      <c r="BC190" s="152"/>
      <c r="BD190" s="152"/>
      <c r="BE190" s="152"/>
      <c r="BF190" s="152"/>
    </row>
    <row r="191" s="1" customFormat="1" customHeight="1" spans="1:58">
      <c r="A191" s="267" t="s">
        <v>40</v>
      </c>
      <c r="B191" s="262"/>
      <c r="C191" s="95">
        <f>C190+C182</f>
        <v>1290</v>
      </c>
      <c r="D191" s="303">
        <f t="shared" ref="D191:G191" si="31">D190+D182</f>
        <v>33.59</v>
      </c>
      <c r="E191" s="304">
        <f t="shared" si="31"/>
        <v>35.36</v>
      </c>
      <c r="F191" s="305">
        <f t="shared" si="31"/>
        <v>216.57</v>
      </c>
      <c r="G191" s="306">
        <f t="shared" si="31"/>
        <v>1318.88</v>
      </c>
      <c r="H191" s="76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  <c r="AS191" s="152"/>
      <c r="AT191" s="152"/>
      <c r="AU191" s="152"/>
      <c r="AV191" s="152"/>
      <c r="AW191" s="152"/>
      <c r="AX191" s="152"/>
      <c r="AY191" s="152"/>
      <c r="AZ191" s="152"/>
      <c r="BA191" s="152"/>
      <c r="BB191" s="152"/>
      <c r="BC191" s="152"/>
      <c r="BD191" s="152"/>
      <c r="BE191" s="152"/>
      <c r="BF191" s="152"/>
    </row>
    <row r="192" s="1" customFormat="1" customHeight="1" spans="1:58">
      <c r="A192" s="100"/>
      <c r="B192" s="101"/>
      <c r="C192" s="106"/>
      <c r="D192" s="324"/>
      <c r="E192" s="324"/>
      <c r="F192" s="324"/>
      <c r="G192" s="325"/>
      <c r="H192" s="76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  <c r="AA192" s="152"/>
      <c r="AB192" s="152"/>
      <c r="AC192" s="152"/>
      <c r="AD192" s="152"/>
      <c r="AE192" s="152"/>
      <c r="AF192" s="152"/>
      <c r="AG192" s="152"/>
      <c r="AH192" s="152"/>
      <c r="AI192" s="152"/>
      <c r="AJ192" s="152"/>
      <c r="AK192" s="152"/>
      <c r="AL192" s="152"/>
      <c r="AM192" s="152"/>
      <c r="AN192" s="152"/>
      <c r="AO192" s="152"/>
      <c r="AP192" s="152"/>
      <c r="AQ192" s="152"/>
      <c r="AR192" s="152"/>
      <c r="AS192" s="152"/>
      <c r="AT192" s="152"/>
      <c r="AU192" s="152"/>
      <c r="AV192" s="152"/>
      <c r="AW192" s="152"/>
      <c r="AX192" s="152"/>
      <c r="AY192" s="152"/>
      <c r="AZ192" s="152"/>
      <c r="BA192" s="152"/>
      <c r="BB192" s="152"/>
      <c r="BC192" s="152"/>
      <c r="BD192" s="152"/>
      <c r="BE192" s="152"/>
      <c r="BF192" s="152"/>
    </row>
    <row r="193" s="1" customFormat="1" customHeight="1" spans="1:58">
      <c r="A193" s="128" t="s">
        <v>147</v>
      </c>
      <c r="B193" s="129"/>
      <c r="C193" s="326"/>
      <c r="D193" s="327" t="e">
        <f t="shared" ref="D193:F193" si="32">D191+D173+D156+D138+D121+D103+D85+D68+D50+D33</f>
        <v>#REF!</v>
      </c>
      <c r="E193" s="327" t="e">
        <f t="shared" si="32"/>
        <v>#REF!</v>
      </c>
      <c r="F193" s="327" t="e">
        <f t="shared" si="32"/>
        <v>#REF!</v>
      </c>
      <c r="G193" s="328" t="e">
        <f>(D193*4)+(E193*9)+(F193*4)</f>
        <v>#REF!</v>
      </c>
      <c r="H193" s="220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2"/>
      <c r="BC193" s="152"/>
      <c r="BD193" s="152"/>
      <c r="BE193" s="152"/>
      <c r="BF193" s="152"/>
    </row>
    <row r="194" s="1" customFormat="1" ht="7.5" customHeight="1" spans="1:66">
      <c r="A194" s="221"/>
      <c r="B194" s="136"/>
      <c r="C194" s="136"/>
      <c r="D194" s="329"/>
      <c r="E194" s="329"/>
      <c r="F194" s="329"/>
      <c r="G194" s="329"/>
      <c r="H194" s="223"/>
      <c r="I194" s="223"/>
      <c r="J194" s="223"/>
      <c r="K194" s="223"/>
      <c r="L194" s="329"/>
      <c r="M194" s="329"/>
      <c r="N194" s="329"/>
      <c r="O194" s="329"/>
      <c r="P194" s="8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  <c r="AS194" s="152"/>
      <c r="AT194" s="152"/>
      <c r="AU194" s="152"/>
      <c r="AV194" s="152"/>
      <c r="AW194" s="152"/>
      <c r="AX194" s="152"/>
      <c r="AY194" s="152"/>
      <c r="AZ194" s="152"/>
      <c r="BA194" s="152"/>
      <c r="BB194" s="152"/>
      <c r="BC194" s="152"/>
      <c r="BD194" s="152"/>
      <c r="BE194" s="152"/>
      <c r="BF194" s="152"/>
      <c r="BG194" s="152"/>
      <c r="BH194" s="152"/>
      <c r="BI194" s="152"/>
      <c r="BJ194" s="152"/>
      <c r="BK194" s="152"/>
      <c r="BL194" s="152"/>
      <c r="BM194" s="152"/>
      <c r="BN194" s="152"/>
    </row>
    <row r="195" s="1" customFormat="1" ht="14.25" customHeight="1" spans="1:66">
      <c r="A195" s="224" t="s">
        <v>148</v>
      </c>
      <c r="B195" s="225"/>
      <c r="C195" s="226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153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  <c r="AS195" s="152"/>
      <c r="AT195" s="152"/>
      <c r="AU195" s="152"/>
      <c r="AV195" s="152"/>
      <c r="AW195" s="152"/>
      <c r="AX195" s="152"/>
      <c r="AY195" s="152"/>
      <c r="AZ195" s="152"/>
      <c r="BA195" s="152"/>
      <c r="BB195" s="152"/>
      <c r="BC195" s="152"/>
      <c r="BD195" s="152"/>
      <c r="BE195" s="152"/>
      <c r="BF195" s="152"/>
      <c r="BG195" s="152"/>
      <c r="BH195" s="152"/>
      <c r="BI195" s="152"/>
      <c r="BJ195" s="152"/>
      <c r="BK195" s="152"/>
      <c r="BL195" s="152"/>
      <c r="BM195" s="152"/>
      <c r="BN195" s="152"/>
    </row>
    <row r="196" s="1" customFormat="1" ht="14.25" customHeight="1" spans="1:66">
      <c r="A196" s="224" t="s">
        <v>149</v>
      </c>
      <c r="B196" s="225"/>
      <c r="C196" s="226"/>
      <c r="D196" s="223"/>
      <c r="E196" s="223"/>
      <c r="F196" s="223"/>
      <c r="G196" s="223"/>
      <c r="H196" s="223"/>
      <c r="I196" s="223"/>
      <c r="J196" s="223"/>
      <c r="K196" s="223"/>
      <c r="L196" s="223"/>
      <c r="M196" s="223"/>
      <c r="N196" s="223"/>
      <c r="O196" s="223"/>
      <c r="P196" s="8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2"/>
      <c r="BD196" s="152"/>
      <c r="BE196" s="152"/>
      <c r="BF196" s="152"/>
      <c r="BG196" s="152"/>
      <c r="BH196" s="152"/>
      <c r="BI196" s="152"/>
      <c r="BJ196" s="152"/>
      <c r="BK196" s="152"/>
      <c r="BL196" s="152"/>
      <c r="BM196" s="152"/>
      <c r="BN196" s="152"/>
    </row>
    <row r="197" s="1" customFormat="1" ht="14.25" customHeight="1" spans="1:66">
      <c r="A197" s="224" t="s">
        <v>150</v>
      </c>
      <c r="B197" s="225"/>
      <c r="C197" s="226"/>
      <c r="D197" s="223"/>
      <c r="E197" s="223"/>
      <c r="F197" s="223"/>
      <c r="G197" s="223"/>
      <c r="H197" s="223"/>
      <c r="I197" s="223"/>
      <c r="J197" s="223"/>
      <c r="K197" s="223"/>
      <c r="L197" s="223"/>
      <c r="M197" s="223"/>
      <c r="N197" s="223"/>
      <c r="O197" s="223"/>
      <c r="P197" s="8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  <c r="AS197" s="152"/>
      <c r="AT197" s="152"/>
      <c r="AU197" s="152"/>
      <c r="AV197" s="152"/>
      <c r="AW197" s="152"/>
      <c r="AX197" s="152"/>
      <c r="AY197" s="152"/>
      <c r="AZ197" s="152"/>
      <c r="BA197" s="152"/>
      <c r="BB197" s="152"/>
      <c r="BC197" s="152"/>
      <c r="BD197" s="152"/>
      <c r="BE197" s="152"/>
      <c r="BF197" s="152"/>
      <c r="BG197" s="152"/>
      <c r="BH197" s="152"/>
      <c r="BI197" s="152"/>
      <c r="BJ197" s="152"/>
      <c r="BK197" s="152"/>
      <c r="BL197" s="152"/>
      <c r="BM197" s="152"/>
      <c r="BN197" s="152"/>
    </row>
    <row r="198" s="1" customFormat="1" ht="14.25" customHeight="1" spans="1:66">
      <c r="A198" s="224" t="s">
        <v>151</v>
      </c>
      <c r="B198" s="330"/>
      <c r="C198" s="226"/>
      <c r="D198" s="223"/>
      <c r="E198" s="223"/>
      <c r="F198" s="223"/>
      <c r="G198" s="223"/>
      <c r="H198" s="223"/>
      <c r="I198" s="223"/>
      <c r="J198" s="223"/>
      <c r="K198" s="223"/>
      <c r="L198" s="223"/>
      <c r="M198" s="223"/>
      <c r="N198" s="223"/>
      <c r="O198" s="223"/>
      <c r="P198" s="8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  <c r="AS198" s="152"/>
      <c r="AT198" s="152"/>
      <c r="AU198" s="152"/>
      <c r="AV198" s="152"/>
      <c r="AW198" s="152"/>
      <c r="AX198" s="152"/>
      <c r="AY198" s="152"/>
      <c r="AZ198" s="152"/>
      <c r="BA198" s="152"/>
      <c r="BB198" s="152"/>
      <c r="BC198" s="152"/>
      <c r="BD198" s="152"/>
      <c r="BE198" s="152"/>
      <c r="BF198" s="152"/>
      <c r="BG198" s="152"/>
      <c r="BH198" s="152"/>
      <c r="BI198" s="152"/>
      <c r="BJ198" s="152"/>
      <c r="BK198" s="152"/>
      <c r="BL198" s="152"/>
      <c r="BM198" s="152"/>
      <c r="BN198" s="152"/>
    </row>
    <row r="199" s="1" customFormat="1" ht="14.25" customHeight="1" spans="1:66">
      <c r="A199" s="224" t="s">
        <v>152</v>
      </c>
      <c r="B199" s="330"/>
      <c r="C199" s="226"/>
      <c r="D199" s="223"/>
      <c r="E199" s="223"/>
      <c r="F199" s="223"/>
      <c r="G199" s="223"/>
      <c r="H199" s="223"/>
      <c r="I199" s="223"/>
      <c r="J199" s="223"/>
      <c r="K199" s="223"/>
      <c r="L199" s="223"/>
      <c r="M199" s="223"/>
      <c r="N199" s="223"/>
      <c r="O199" s="223"/>
      <c r="P199" s="8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  <c r="AS199" s="152"/>
      <c r="AT199" s="152"/>
      <c r="AU199" s="152"/>
      <c r="AV199" s="152"/>
      <c r="AW199" s="152"/>
      <c r="AX199" s="152"/>
      <c r="AY199" s="152"/>
      <c r="AZ199" s="152"/>
      <c r="BA199" s="152"/>
      <c r="BB199" s="152"/>
      <c r="BC199" s="152"/>
      <c r="BD199" s="152"/>
      <c r="BE199" s="152"/>
      <c r="BF199" s="152"/>
      <c r="BG199" s="152"/>
      <c r="BH199" s="152"/>
      <c r="BI199" s="152"/>
      <c r="BJ199" s="152"/>
      <c r="BK199" s="152"/>
      <c r="BL199" s="152"/>
      <c r="BM199" s="152"/>
      <c r="BN199" s="152"/>
    </row>
    <row r="200" s="1" customFormat="1" ht="14.25" customHeight="1" spans="1:66">
      <c r="A200" s="224" t="s">
        <v>153</v>
      </c>
      <c r="B200" s="330"/>
      <c r="C200" s="226"/>
      <c r="D200" s="223"/>
      <c r="E200" s="223"/>
      <c r="F200" s="223"/>
      <c r="G200" s="223"/>
      <c r="H200" s="7"/>
      <c r="I200" s="7"/>
      <c r="J200" s="7"/>
      <c r="K200" s="7"/>
      <c r="L200" s="223"/>
      <c r="M200" s="223"/>
      <c r="N200" s="223"/>
      <c r="O200" s="223"/>
      <c r="P200" s="8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  <c r="AS200" s="152"/>
      <c r="AT200" s="152"/>
      <c r="AU200" s="152"/>
      <c r="AV200" s="152"/>
      <c r="AW200" s="152"/>
      <c r="AX200" s="152"/>
      <c r="AY200" s="152"/>
      <c r="AZ200" s="152"/>
      <c r="BA200" s="152"/>
      <c r="BB200" s="152"/>
      <c r="BC200" s="152"/>
      <c r="BD200" s="152"/>
      <c r="BE200" s="152"/>
      <c r="BF200" s="152"/>
      <c r="BG200" s="152"/>
      <c r="BH200" s="152"/>
      <c r="BI200" s="152"/>
      <c r="BJ200" s="152"/>
      <c r="BK200" s="152"/>
      <c r="BL200" s="152"/>
      <c r="BM200" s="152"/>
      <c r="BN200" s="152"/>
    </row>
    <row r="201" customHeight="1" spans="16:18">
      <c r="P201" s="8"/>
      <c r="R201" s="152"/>
    </row>
    <row r="202" customHeight="1" spans="16:18">
      <c r="P202" s="8"/>
      <c r="R202" s="152"/>
    </row>
    <row r="203" customHeight="1" spans="16:18">
      <c r="P203" s="8"/>
      <c r="R203" s="152"/>
    </row>
    <row r="204" customHeight="1" spans="16:18">
      <c r="P204" s="8"/>
      <c r="R204" s="152"/>
    </row>
    <row r="205" customHeight="1" spans="16:18">
      <c r="P205" s="8"/>
      <c r="R205" s="152"/>
    </row>
    <row r="206" customHeight="1" spans="16:18">
      <c r="P206" s="8"/>
      <c r="R206" s="152"/>
    </row>
    <row r="207" customHeight="1" spans="16:18">
      <c r="P207" s="8"/>
      <c r="R207" s="152"/>
    </row>
    <row r="208" customHeight="1" spans="16:18">
      <c r="P208" s="8"/>
      <c r="R208" s="152"/>
    </row>
    <row r="209" customHeight="1" spans="16:18">
      <c r="P209" s="8"/>
      <c r="R209" s="152"/>
    </row>
    <row r="210" customHeight="1" spans="16:16">
      <c r="P210" s="8"/>
    </row>
    <row r="211" customHeight="1" spans="16:16">
      <c r="P211" s="8"/>
    </row>
    <row r="212" customHeight="1" spans="16:16">
      <c r="P212" s="8" t="s">
        <v>154</v>
      </c>
    </row>
    <row r="213" customHeight="1" spans="16:16">
      <c r="P213" s="8"/>
    </row>
    <row r="214" customHeight="1" spans="16:16">
      <c r="P214" s="8"/>
    </row>
    <row r="215" customHeight="1" spans="16:16">
      <c r="P215" s="8"/>
    </row>
  </sheetData>
  <mergeCells count="22">
    <mergeCell ref="K2:P2"/>
    <mergeCell ref="J3:P3"/>
    <mergeCell ref="J4:P4"/>
    <mergeCell ref="J5:P5"/>
    <mergeCell ref="A9:P9"/>
    <mergeCell ref="A10:P10"/>
    <mergeCell ref="A11:P11"/>
    <mergeCell ref="B12:M12"/>
    <mergeCell ref="D14:F14"/>
    <mergeCell ref="A34:C34"/>
    <mergeCell ref="A51:C51"/>
    <mergeCell ref="A69:C69"/>
    <mergeCell ref="A86:C86"/>
    <mergeCell ref="A104:C104"/>
    <mergeCell ref="A122:C122"/>
    <mergeCell ref="A139:C139"/>
    <mergeCell ref="A157:C157"/>
    <mergeCell ref="A174:C174"/>
    <mergeCell ref="A192:C192"/>
    <mergeCell ref="A193:C193"/>
    <mergeCell ref="C14:C15"/>
    <mergeCell ref="G14:G15"/>
  </mergeCells>
  <pageMargins left="0.25" right="0.25" top="0.75" bottom="0.75" header="0.3" footer="0.3"/>
  <pageSetup paperSize="9" scale="80" orientation="landscape"/>
  <headerFooter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212"/>
  <sheetViews>
    <sheetView view="pageBreakPreview" zoomScale="90" zoomScaleNormal="90" topLeftCell="B1" workbookViewId="0">
      <selection activeCell="N18" sqref="N18:N19"/>
    </sheetView>
  </sheetViews>
  <sheetFormatPr defaultColWidth="9.17592592592593" defaultRowHeight="19.5" customHeight="1"/>
  <cols>
    <col min="1" max="1" width="16.8148148148148" style="2" customWidth="1"/>
    <col min="2" max="2" width="35.1759259259259" style="3" customWidth="1"/>
    <col min="3" max="3" width="10.2685185185185" style="4" customWidth="1"/>
    <col min="4" max="6" width="8" style="5" customWidth="1"/>
    <col min="7" max="7" width="9.4537037037037" style="5" customWidth="1"/>
    <col min="8" max="8" width="32.1759259259259" style="6" customWidth="1"/>
    <col min="9" max="15" width="8" style="6" customWidth="1"/>
    <col min="16" max="16" width="5.72222222222222" style="7" customWidth="1"/>
    <col min="17" max="17" width="5.5462962962963" style="8" customWidth="1"/>
    <col min="18" max="16384" width="9.17592592592593" style="3"/>
  </cols>
  <sheetData>
    <row r="1" customHeight="1" spans="1:1">
      <c r="A1" s="9"/>
    </row>
    <row r="2" customHeight="1" spans="1:16">
      <c r="A2" s="10"/>
      <c r="B2" s="11"/>
      <c r="F2" s="12"/>
      <c r="G2" s="13" t="s">
        <v>155</v>
      </c>
      <c r="K2" s="148"/>
      <c r="L2" s="148"/>
      <c r="M2" s="148"/>
      <c r="N2" s="148"/>
      <c r="O2" s="148"/>
      <c r="P2" s="148"/>
    </row>
    <row r="3" customHeight="1" spans="1:16">
      <c r="A3" s="14"/>
      <c r="D3" s="15"/>
      <c r="E3" s="15"/>
      <c r="F3" s="15"/>
      <c r="G3" s="16" t="s">
        <v>156</v>
      </c>
      <c r="J3" s="149"/>
      <c r="K3" s="149"/>
      <c r="L3" s="149"/>
      <c r="M3" s="149"/>
      <c r="N3" s="149"/>
      <c r="O3" s="149"/>
      <c r="P3" s="149"/>
    </row>
    <row r="4" customHeight="1" spans="1:16">
      <c r="A4" s="17"/>
      <c r="D4" s="18"/>
      <c r="E4" s="18"/>
      <c r="F4" s="18"/>
      <c r="G4" s="19" t="s">
        <v>157</v>
      </c>
      <c r="H4" s="20"/>
      <c r="J4" s="149"/>
      <c r="K4" s="149"/>
      <c r="L4" s="149"/>
      <c r="M4" s="149"/>
      <c r="N4" s="149"/>
      <c r="O4" s="149"/>
      <c r="P4" s="149"/>
    </row>
    <row r="5" customHeight="1" spans="1:16">
      <c r="A5" s="17"/>
      <c r="D5" s="15"/>
      <c r="E5" s="15"/>
      <c r="F5" s="15"/>
      <c r="G5" s="16" t="s">
        <v>158</v>
      </c>
      <c r="J5" s="149"/>
      <c r="K5" s="149"/>
      <c r="L5" s="149"/>
      <c r="M5" s="149"/>
      <c r="N5" s="149"/>
      <c r="O5" s="149"/>
      <c r="P5" s="149"/>
    </row>
    <row r="6" customHeight="1" spans="1:1">
      <c r="A6" s="17"/>
    </row>
    <row r="7" customHeight="1" spans="1:1">
      <c r="A7" s="17"/>
    </row>
    <row r="8" customHeight="1" spans="1:1">
      <c r="A8" s="17"/>
    </row>
    <row r="9" customHeight="1" spans="1:16">
      <c r="A9" s="21" t="s">
        <v>159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customHeight="1" spans="1:16">
      <c r="A10" s="21" t="s">
        <v>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customHeight="1" spans="1:16">
      <c r="A11" s="21" t="s">
        <v>160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customHeight="1" spans="1:16">
      <c r="A12" s="22"/>
      <c r="B12" s="21" t="s">
        <v>161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50"/>
      <c r="P12" s="151"/>
    </row>
    <row r="13" customHeight="1" spans="2:17">
      <c r="B13" s="4"/>
      <c r="C13" s="3"/>
      <c r="P13" s="8"/>
      <c r="Q13" s="3"/>
    </row>
    <row r="14" s="1" customFormat="1" ht="24.75" customHeight="1" spans="1:58">
      <c r="A14" s="23" t="s">
        <v>162</v>
      </c>
      <c r="B14" s="24" t="s">
        <v>4</v>
      </c>
      <c r="C14" s="25" t="s">
        <v>5</v>
      </c>
      <c r="D14" s="26" t="s">
        <v>6</v>
      </c>
      <c r="E14" s="26"/>
      <c r="F14" s="26"/>
      <c r="G14" s="27" t="s">
        <v>7</v>
      </c>
      <c r="H14" s="28" t="s">
        <v>8</v>
      </c>
      <c r="I14" s="8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</row>
    <row r="15" s="1" customFormat="1" customHeight="1" spans="1:58">
      <c r="A15" s="29"/>
      <c r="B15" s="30"/>
      <c r="C15" s="31"/>
      <c r="D15" s="32" t="s">
        <v>9</v>
      </c>
      <c r="E15" s="33" t="s">
        <v>10</v>
      </c>
      <c r="F15" s="34" t="s">
        <v>11</v>
      </c>
      <c r="G15" s="35"/>
      <c r="H15" s="36"/>
      <c r="I15" s="8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</row>
    <row r="16" ht="17.25" customHeight="1" spans="1:17">
      <c r="A16" s="37" t="s">
        <v>12</v>
      </c>
      <c r="B16" s="38"/>
      <c r="C16" s="39"/>
      <c r="D16" s="40"/>
      <c r="E16" s="40"/>
      <c r="F16" s="40"/>
      <c r="G16" s="40"/>
      <c r="H16" s="41"/>
      <c r="I16" s="7"/>
      <c r="J16" s="7"/>
      <c r="K16" s="3"/>
      <c r="L16" s="3"/>
      <c r="M16" s="3"/>
      <c r="N16" s="3"/>
      <c r="O16" s="3"/>
      <c r="P16" s="3"/>
      <c r="Q16" s="3"/>
    </row>
    <row r="17" ht="17.25" customHeight="1" spans="1:17">
      <c r="A17" s="42"/>
      <c r="B17" s="43" t="s">
        <v>13</v>
      </c>
      <c r="C17" s="43"/>
      <c r="D17" s="43"/>
      <c r="E17" s="43"/>
      <c r="F17" s="43"/>
      <c r="G17" s="43"/>
      <c r="H17" s="41"/>
      <c r="I17" s="7"/>
      <c r="J17" s="7"/>
      <c r="K17" s="3"/>
      <c r="L17" s="3"/>
      <c r="M17" s="3"/>
      <c r="N17" s="3"/>
      <c r="O17" s="3"/>
      <c r="P17" s="3"/>
      <c r="Q17" s="3"/>
    </row>
    <row r="18" ht="17.25" customHeight="1" spans="1:17">
      <c r="A18" s="44" t="s">
        <v>14</v>
      </c>
      <c r="B18" s="45"/>
      <c r="C18" s="45"/>
      <c r="D18" s="45"/>
      <c r="E18" s="45"/>
      <c r="F18" s="45"/>
      <c r="G18" s="45"/>
      <c r="H18" s="41"/>
      <c r="I18" s="7"/>
      <c r="J18" s="7"/>
      <c r="K18" s="3"/>
      <c r="L18" s="3"/>
      <c r="M18" s="3"/>
      <c r="N18" s="3"/>
      <c r="O18" s="3"/>
      <c r="P18" s="3"/>
      <c r="Q18" s="3"/>
    </row>
    <row r="19" s="1" customFormat="1" ht="27.75" customHeight="1" spans="1:58">
      <c r="A19" s="46"/>
      <c r="B19" s="47" t="s">
        <v>15</v>
      </c>
      <c r="C19" s="48">
        <v>250</v>
      </c>
      <c r="D19" s="49">
        <f>7/200*250</f>
        <v>8.75</v>
      </c>
      <c r="E19" s="50">
        <f>7.9/200*250</f>
        <v>9.875</v>
      </c>
      <c r="F19" s="51">
        <f>24.7/200*250</f>
        <v>30.875</v>
      </c>
      <c r="G19" s="52">
        <f>(D19*4)+(E19*9)+(F19*4)</f>
        <v>247.375</v>
      </c>
      <c r="H19" s="53" t="s">
        <v>16</v>
      </c>
      <c r="I19" s="8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</row>
    <row r="20" s="1" customFormat="1" customHeight="1" spans="1:58">
      <c r="A20" s="54"/>
      <c r="B20" s="55" t="s">
        <v>17</v>
      </c>
      <c r="C20" s="56">
        <v>200</v>
      </c>
      <c r="D20" s="57">
        <v>0</v>
      </c>
      <c r="E20" s="58">
        <v>0</v>
      </c>
      <c r="F20" s="59">
        <v>11.98</v>
      </c>
      <c r="G20" s="52">
        <f t="shared" ref="G20:G24" si="0">(D20*4)+(E20*9)+(F20*4)</f>
        <v>47.92</v>
      </c>
      <c r="H20" s="60" t="s">
        <v>18</v>
      </c>
      <c r="I20" s="8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</row>
    <row r="21" s="1" customFormat="1" customHeight="1" spans="1:58">
      <c r="A21" s="54"/>
      <c r="B21" s="55" t="s">
        <v>19</v>
      </c>
      <c r="C21" s="56">
        <v>15</v>
      </c>
      <c r="D21" s="57">
        <f>4.09/10*15</f>
        <v>6.135</v>
      </c>
      <c r="E21" s="58">
        <f>4.6/10*15</f>
        <v>6.9</v>
      </c>
      <c r="F21" s="59">
        <f>0.49/10*15</f>
        <v>0.735</v>
      </c>
      <c r="G21" s="52">
        <f t="shared" si="0"/>
        <v>89.58</v>
      </c>
      <c r="H21" s="60" t="s">
        <v>20</v>
      </c>
      <c r="I21" s="8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</row>
    <row r="22" s="1" customFormat="1" customHeight="1" spans="1:58">
      <c r="A22" s="54"/>
      <c r="B22" s="55" t="s">
        <v>21</v>
      </c>
      <c r="C22" s="56">
        <v>10</v>
      </c>
      <c r="D22" s="57">
        <v>0.08</v>
      </c>
      <c r="E22" s="58">
        <v>7.25</v>
      </c>
      <c r="F22" s="59">
        <v>0.13</v>
      </c>
      <c r="G22" s="52">
        <f t="shared" si="0"/>
        <v>66.09</v>
      </c>
      <c r="H22" s="60" t="s">
        <v>22</v>
      </c>
      <c r="I22" s="8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</row>
    <row r="23" s="1" customFormat="1" customHeight="1" spans="1:58">
      <c r="A23" s="61"/>
      <c r="B23" s="55" t="s">
        <v>23</v>
      </c>
      <c r="C23" s="56">
        <v>50</v>
      </c>
      <c r="D23" s="57">
        <f>0.32/40*50</f>
        <v>0.4</v>
      </c>
      <c r="E23" s="58">
        <f>29/40*50</f>
        <v>36.25</v>
      </c>
      <c r="F23" s="59">
        <f>0.52/40*50</f>
        <v>0.65</v>
      </c>
      <c r="G23" s="52">
        <f t="shared" si="0"/>
        <v>330.45</v>
      </c>
      <c r="H23" s="62" t="s">
        <v>24</v>
      </c>
      <c r="I23" s="8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</row>
    <row r="24" s="1" customFormat="1" customHeight="1" spans="1:58">
      <c r="A24" s="61"/>
      <c r="B24" s="63" t="s">
        <v>163</v>
      </c>
      <c r="C24" s="64">
        <v>150</v>
      </c>
      <c r="D24" s="65">
        <f>0.6/100*150</f>
        <v>0.9</v>
      </c>
      <c r="E24" s="66">
        <f>0.6/100*150</f>
        <v>0.9</v>
      </c>
      <c r="F24" s="67">
        <f>14.7/100*150</f>
        <v>22.05</v>
      </c>
      <c r="G24" s="52">
        <f t="shared" si="0"/>
        <v>99.9</v>
      </c>
      <c r="H24" s="68" t="s">
        <v>24</v>
      </c>
      <c r="I24" s="8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</row>
    <row r="25" s="1" customFormat="1" customHeight="1" spans="1:58">
      <c r="A25" s="69" t="s">
        <v>25</v>
      </c>
      <c r="B25" s="70"/>
      <c r="C25" s="71">
        <f t="shared" ref="C25:G25" si="1">SUM(C19:C24)</f>
        <v>675</v>
      </c>
      <c r="D25" s="72">
        <f t="shared" si="1"/>
        <v>16.265</v>
      </c>
      <c r="E25" s="73">
        <f t="shared" si="1"/>
        <v>61.175</v>
      </c>
      <c r="F25" s="74">
        <f t="shared" si="1"/>
        <v>66.42</v>
      </c>
      <c r="G25" s="75">
        <f t="shared" si="1"/>
        <v>881.315</v>
      </c>
      <c r="H25" s="76"/>
      <c r="I25" s="8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</row>
    <row r="26" ht="17.25" customHeight="1" spans="1:17">
      <c r="A26" s="77" t="s">
        <v>26</v>
      </c>
      <c r="B26" s="78"/>
      <c r="C26" s="78"/>
      <c r="D26" s="79"/>
      <c r="E26" s="79"/>
      <c r="F26" s="80"/>
      <c r="G26" s="80"/>
      <c r="H26" s="81"/>
      <c r="I26" s="153"/>
      <c r="J26" s="153"/>
      <c r="K26" s="3"/>
      <c r="L26" s="3"/>
      <c r="M26" s="3"/>
      <c r="N26" s="3"/>
      <c r="O26" s="3"/>
      <c r="P26" s="3"/>
      <c r="Q26" s="3"/>
    </row>
    <row r="27" s="1" customFormat="1" ht="32.25" customHeight="1" spans="1:58">
      <c r="A27" s="61"/>
      <c r="B27" s="82" t="s">
        <v>164</v>
      </c>
      <c r="C27" s="83">
        <v>250</v>
      </c>
      <c r="D27" s="84">
        <v>1.7</v>
      </c>
      <c r="E27" s="85">
        <f>4.85</f>
        <v>4.85</v>
      </c>
      <c r="F27" s="86">
        <v>6.69</v>
      </c>
      <c r="G27" s="52">
        <f t="shared" ref="G27:G32" si="2">(D27*4)+(E27*9)+(F27*4)</f>
        <v>77.21</v>
      </c>
      <c r="H27" s="87" t="s">
        <v>165</v>
      </c>
      <c r="I27" s="3"/>
      <c r="J27" s="3"/>
      <c r="K27" s="3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</row>
    <row r="28" s="1" customFormat="1" customHeight="1" spans="1:58">
      <c r="A28" s="61"/>
      <c r="B28" s="55" t="s">
        <v>30</v>
      </c>
      <c r="C28" s="56">
        <v>100</v>
      </c>
      <c r="D28" s="57">
        <f>7.61/90*100</f>
        <v>8.45555555555556</v>
      </c>
      <c r="E28" s="58">
        <f>2.45/90*100</f>
        <v>2.72222222222222</v>
      </c>
      <c r="F28" s="59">
        <f>5.33/90*100</f>
        <v>5.92222222222222</v>
      </c>
      <c r="G28" s="52">
        <f t="shared" si="2"/>
        <v>82.0111111111111</v>
      </c>
      <c r="H28" s="62" t="s">
        <v>125</v>
      </c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</row>
    <row r="29" s="1" customFormat="1" customHeight="1" spans="1:58">
      <c r="A29" s="61"/>
      <c r="B29" s="55" t="s">
        <v>32</v>
      </c>
      <c r="C29" s="56">
        <v>200</v>
      </c>
      <c r="D29" s="57">
        <f>3.64/150*200</f>
        <v>4.85333333333333</v>
      </c>
      <c r="E29" s="58">
        <f>5.37/150*200</f>
        <v>7.16</v>
      </c>
      <c r="F29" s="59">
        <f>36.7/150*200</f>
        <v>48.9333333333333</v>
      </c>
      <c r="G29" s="52">
        <f t="shared" si="2"/>
        <v>279.586666666667</v>
      </c>
      <c r="H29" s="62" t="s">
        <v>100</v>
      </c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</row>
    <row r="30" s="1" customFormat="1" customHeight="1" spans="1:58">
      <c r="A30" s="61"/>
      <c r="B30" s="55" t="s">
        <v>34</v>
      </c>
      <c r="C30" s="56">
        <v>100</v>
      </c>
      <c r="D30" s="57">
        <f>1/60*100</f>
        <v>1.66666666666667</v>
      </c>
      <c r="E30" s="58">
        <f>4.5/60*100</f>
        <v>7.5</v>
      </c>
      <c r="F30" s="59">
        <f>4.25/60*100</f>
        <v>7.08333333333333</v>
      </c>
      <c r="G30" s="52">
        <f t="shared" si="2"/>
        <v>102.5</v>
      </c>
      <c r="H30" s="62" t="s">
        <v>145</v>
      </c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</row>
    <row r="31" s="1" customFormat="1" customHeight="1" spans="1:58">
      <c r="A31" s="61"/>
      <c r="B31" s="55" t="s">
        <v>36</v>
      </c>
      <c r="C31" s="56" t="s">
        <v>166</v>
      </c>
      <c r="D31" s="57">
        <f>3.16</f>
        <v>3.16</v>
      </c>
      <c r="E31" s="58">
        <f>0.4</f>
        <v>0.4</v>
      </c>
      <c r="F31" s="59">
        <f>19.6</f>
        <v>19.6</v>
      </c>
      <c r="G31" s="52">
        <f t="shared" si="2"/>
        <v>94.64</v>
      </c>
      <c r="H31" s="62" t="s">
        <v>24</v>
      </c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</row>
    <row r="32" s="1" customFormat="1" customHeight="1" spans="1:58">
      <c r="A32" s="88"/>
      <c r="B32" s="89" t="s">
        <v>38</v>
      </c>
      <c r="C32" s="90">
        <v>200</v>
      </c>
      <c r="D32" s="91">
        <f>0.13</f>
        <v>0.13</v>
      </c>
      <c r="E32" s="92">
        <f>0.04</f>
        <v>0.04</v>
      </c>
      <c r="F32" s="93">
        <f>27.3</f>
        <v>27.3</v>
      </c>
      <c r="G32" s="52">
        <f t="shared" si="2"/>
        <v>110.08</v>
      </c>
      <c r="H32" s="68" t="s">
        <v>117</v>
      </c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</row>
    <row r="33" s="1" customFormat="1" customHeight="1" spans="1:58">
      <c r="A33" s="69" t="s">
        <v>25</v>
      </c>
      <c r="B33" s="94"/>
      <c r="C33" s="95">
        <f>SUM(C28:C32)+275+100</f>
        <v>975</v>
      </c>
      <c r="D33" s="96">
        <f>SUM(D27:D32)</f>
        <v>19.9655555555556</v>
      </c>
      <c r="E33" s="97">
        <f t="shared" ref="E33:G33" si="3">SUM(E27:E32)</f>
        <v>22.6722222222222</v>
      </c>
      <c r="F33" s="98">
        <f t="shared" si="3"/>
        <v>115.528888888889</v>
      </c>
      <c r="G33" s="99">
        <f t="shared" si="3"/>
        <v>746.027777777778</v>
      </c>
      <c r="H33" s="76"/>
      <c r="I33" s="8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</row>
    <row r="34" s="1" customFormat="1" customHeight="1" spans="1:58">
      <c r="A34" s="100" t="s">
        <v>40</v>
      </c>
      <c r="B34" s="101"/>
      <c r="C34" s="102">
        <f>C25+C33</f>
        <v>1650</v>
      </c>
      <c r="D34" s="103">
        <f>SUM(D33)+E25</f>
        <v>81.1405555555556</v>
      </c>
      <c r="E34" s="103">
        <f t="shared" ref="E34:F34" si="4">SUM(E33)+F25</f>
        <v>89.0922222222222</v>
      </c>
      <c r="F34" s="104">
        <f t="shared" si="4"/>
        <v>996.843888888889</v>
      </c>
      <c r="G34" s="105">
        <f>G33+G25</f>
        <v>1627.34277777778</v>
      </c>
      <c r="H34" s="76"/>
      <c r="I34" s="8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</row>
    <row r="35" s="1" customFormat="1" customHeight="1" spans="1:58">
      <c r="A35" s="100"/>
      <c r="B35" s="101"/>
      <c r="C35" s="106"/>
      <c r="D35" s="107"/>
      <c r="E35" s="107"/>
      <c r="F35" s="107"/>
      <c r="G35" s="107"/>
      <c r="H35" s="76"/>
      <c r="I35" s="8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</row>
    <row r="36" ht="17.25" customHeight="1" spans="1:17">
      <c r="A36" s="108"/>
      <c r="B36" s="109" t="s">
        <v>41</v>
      </c>
      <c r="C36" s="109"/>
      <c r="D36" s="109"/>
      <c r="E36" s="109"/>
      <c r="F36" s="109"/>
      <c r="G36" s="109"/>
      <c r="H36" s="76"/>
      <c r="I36" s="8"/>
      <c r="J36" s="154"/>
      <c r="K36" s="3"/>
      <c r="L36" s="3"/>
      <c r="M36" s="3"/>
      <c r="N36" s="3"/>
      <c r="O36" s="3"/>
      <c r="P36" s="3"/>
      <c r="Q36" s="3"/>
    </row>
    <row r="37" ht="17.25" customHeight="1" spans="1:17">
      <c r="A37" s="77" t="s">
        <v>14</v>
      </c>
      <c r="B37" s="110"/>
      <c r="C37" s="110"/>
      <c r="D37" s="111"/>
      <c r="E37" s="111"/>
      <c r="F37" s="111"/>
      <c r="G37" s="111"/>
      <c r="H37" s="112"/>
      <c r="I37" s="155"/>
      <c r="J37" s="156"/>
      <c r="K37" s="157"/>
      <c r="L37" s="157"/>
      <c r="M37" s="157"/>
      <c r="N37" s="158"/>
      <c r="O37" s="159"/>
      <c r="P37" s="3"/>
      <c r="Q37" s="3"/>
    </row>
    <row r="38" s="1" customFormat="1" ht="33" customHeight="1" spans="1:58">
      <c r="A38" s="61"/>
      <c r="B38" s="82" t="s">
        <v>42</v>
      </c>
      <c r="C38" s="83">
        <v>200</v>
      </c>
      <c r="D38" s="84">
        <f>16.46/160*200</f>
        <v>20.575</v>
      </c>
      <c r="E38" s="85">
        <f>18.5/160*200</f>
        <v>23.125</v>
      </c>
      <c r="F38" s="86">
        <f>3.307/160*200</f>
        <v>4.13375</v>
      </c>
      <c r="G38" s="113">
        <f>(D38*4)+(E38*9)+(F38*4)</f>
        <v>306.96</v>
      </c>
      <c r="H38" s="114" t="s">
        <v>43</v>
      </c>
      <c r="I38" s="155"/>
      <c r="J38" s="156"/>
      <c r="K38" s="157"/>
      <c r="L38" s="157"/>
      <c r="M38" s="157"/>
      <c r="N38" s="158"/>
      <c r="O38" s="159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</row>
    <row r="39" s="1" customFormat="1" customHeight="1" spans="1:58">
      <c r="A39" s="115"/>
      <c r="B39" s="55" t="s">
        <v>44</v>
      </c>
      <c r="C39" s="56">
        <v>100</v>
      </c>
      <c r="D39" s="57">
        <f>0.93/60*100</f>
        <v>1.55</v>
      </c>
      <c r="E39" s="58">
        <f>0.06/60*100</f>
        <v>0.1</v>
      </c>
      <c r="F39" s="59">
        <f>1.95/60*100</f>
        <v>3.25</v>
      </c>
      <c r="G39" s="113">
        <f t="shared" ref="G39:G42" si="5">(D39*4)+(E39*9)+(F39*4)</f>
        <v>20.1</v>
      </c>
      <c r="H39" s="116" t="s">
        <v>45</v>
      </c>
      <c r="I39" s="155"/>
      <c r="J39" s="156"/>
      <c r="K39" s="157"/>
      <c r="L39" s="157"/>
      <c r="M39" s="157"/>
      <c r="N39" s="158"/>
      <c r="O39" s="159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</row>
    <row r="40" s="1" customFormat="1" customHeight="1" spans="1:58">
      <c r="A40" s="117"/>
      <c r="B40" s="118" t="s">
        <v>46</v>
      </c>
      <c r="C40" s="56">
        <v>200</v>
      </c>
      <c r="D40" s="57">
        <v>5.71</v>
      </c>
      <c r="E40" s="58">
        <v>4.8</v>
      </c>
      <c r="F40" s="59">
        <v>20.82</v>
      </c>
      <c r="G40" s="113">
        <f t="shared" si="5"/>
        <v>149.32</v>
      </c>
      <c r="H40" s="119" t="s">
        <v>47</v>
      </c>
      <c r="I40" s="155"/>
      <c r="J40" s="156"/>
      <c r="K40" s="157"/>
      <c r="L40" s="157"/>
      <c r="M40" s="157"/>
      <c r="N40" s="158"/>
      <c r="O40" s="159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</row>
    <row r="41" s="1" customFormat="1" customHeight="1" spans="1:58">
      <c r="A41" s="61"/>
      <c r="B41" s="55" t="s">
        <v>23</v>
      </c>
      <c r="C41" s="56">
        <v>50</v>
      </c>
      <c r="D41" s="57">
        <f>1.58/40*50</f>
        <v>1.975</v>
      </c>
      <c r="E41" s="58">
        <f>0.2/40*50</f>
        <v>0.25</v>
      </c>
      <c r="F41" s="59">
        <f>9.66/40*50</f>
        <v>12.075</v>
      </c>
      <c r="G41" s="113">
        <f t="shared" si="5"/>
        <v>58.45</v>
      </c>
      <c r="H41" s="114" t="s">
        <v>24</v>
      </c>
      <c r="I41" s="155"/>
      <c r="J41" s="156"/>
      <c r="K41" s="157"/>
      <c r="L41" s="157"/>
      <c r="M41" s="157"/>
      <c r="N41" s="158"/>
      <c r="O41" s="159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</row>
    <row r="42" s="1" customFormat="1" customHeight="1" spans="1:58">
      <c r="A42" s="61"/>
      <c r="B42" s="89" t="s">
        <v>163</v>
      </c>
      <c r="C42" s="90">
        <v>150</v>
      </c>
      <c r="D42" s="91">
        <f>0.4/100*150</f>
        <v>0.6</v>
      </c>
      <c r="E42" s="92">
        <f>0.3/100*150</f>
        <v>0.45</v>
      </c>
      <c r="F42" s="93">
        <f>10.3/100*150</f>
        <v>15.45</v>
      </c>
      <c r="G42" s="113">
        <f t="shared" si="5"/>
        <v>68.25</v>
      </c>
      <c r="H42" s="114" t="s">
        <v>24</v>
      </c>
      <c r="I42" s="155"/>
      <c r="J42" s="156"/>
      <c r="K42" s="157"/>
      <c r="L42" s="157"/>
      <c r="M42" s="157"/>
      <c r="N42" s="158"/>
      <c r="O42" s="159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</row>
    <row r="43" s="1" customFormat="1" customHeight="1" spans="1:58">
      <c r="A43" s="120" t="s">
        <v>25</v>
      </c>
      <c r="B43" s="121"/>
      <c r="C43" s="71">
        <v>700</v>
      </c>
      <c r="D43" s="72">
        <f t="shared" ref="D43:G43" si="6">SUM(D38:D42)</f>
        <v>30.41</v>
      </c>
      <c r="E43" s="73">
        <f t="shared" si="6"/>
        <v>28.725</v>
      </c>
      <c r="F43" s="74">
        <f t="shared" si="6"/>
        <v>55.72875</v>
      </c>
      <c r="G43" s="75">
        <f t="shared" si="6"/>
        <v>603.08</v>
      </c>
      <c r="H43" s="76"/>
      <c r="I43" s="8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</row>
    <row r="44" ht="17.25" customHeight="1" spans="1:17">
      <c r="A44" s="122" t="s">
        <v>26</v>
      </c>
      <c r="B44" s="123"/>
      <c r="C44" s="124"/>
      <c r="D44" s="79"/>
      <c r="E44" s="79"/>
      <c r="F44" s="80"/>
      <c r="G44" s="80"/>
      <c r="H44" s="76"/>
      <c r="I44" s="8"/>
      <c r="J44" s="153"/>
      <c r="K44" s="3"/>
      <c r="L44" s="3"/>
      <c r="M44" s="3"/>
      <c r="N44" s="3"/>
      <c r="O44" s="3"/>
      <c r="P44" s="3"/>
      <c r="Q44" s="3"/>
    </row>
    <row r="45" s="1" customFormat="1" customHeight="1" spans="1:58">
      <c r="A45" s="61"/>
      <c r="B45" s="82" t="s">
        <v>167</v>
      </c>
      <c r="C45" s="125" t="s">
        <v>168</v>
      </c>
      <c r="D45" s="84">
        <v>6.2</v>
      </c>
      <c r="E45" s="85">
        <v>7.11</v>
      </c>
      <c r="F45" s="86">
        <v>22.3</v>
      </c>
      <c r="G45" s="52">
        <f>(D45*4)+(E45*9)+(F45*4)</f>
        <v>177.99</v>
      </c>
      <c r="H45" s="87" t="s">
        <v>49</v>
      </c>
      <c r="I45" s="153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</row>
    <row r="46" s="1" customFormat="1" customHeight="1" spans="1:58">
      <c r="A46" s="61"/>
      <c r="B46" s="55" t="s">
        <v>169</v>
      </c>
      <c r="C46" s="56">
        <v>100</v>
      </c>
      <c r="D46" s="57">
        <f>15.09/90*100</f>
        <v>16.7666666666667</v>
      </c>
      <c r="E46" s="58">
        <f>15.7/90*100</f>
        <v>17.4444444444444</v>
      </c>
      <c r="F46" s="59">
        <f>17.7/90*100</f>
        <v>19.6666666666667</v>
      </c>
      <c r="G46" s="52">
        <f t="shared" ref="G46:G50" si="7">(D46*4)+(E46*9)+(F46*4)</f>
        <v>302.733333333333</v>
      </c>
      <c r="H46" s="62" t="s">
        <v>170</v>
      </c>
      <c r="I46" s="8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</row>
    <row r="47" s="1" customFormat="1" customHeight="1" spans="1:58">
      <c r="A47" s="61"/>
      <c r="B47" s="55" t="s">
        <v>52</v>
      </c>
      <c r="C47" s="56">
        <v>180</v>
      </c>
      <c r="D47" s="57">
        <f>7.56/150*180</f>
        <v>9.072</v>
      </c>
      <c r="E47" s="58">
        <f>6.5/150*180</f>
        <v>7.8</v>
      </c>
      <c r="F47" s="59">
        <f>46.5/150*180</f>
        <v>55.8</v>
      </c>
      <c r="G47" s="52">
        <f t="shared" si="7"/>
        <v>329.688</v>
      </c>
      <c r="H47" s="62" t="s">
        <v>94</v>
      </c>
      <c r="I47" s="8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</row>
    <row r="48" s="1" customFormat="1" customHeight="1" spans="1:58">
      <c r="A48" s="61"/>
      <c r="B48" s="55" t="s">
        <v>54</v>
      </c>
      <c r="C48" s="56">
        <v>100</v>
      </c>
      <c r="D48" s="57">
        <f>0.8/60*100</f>
        <v>1.33333333333333</v>
      </c>
      <c r="E48" s="58">
        <f>0.05/60*100</f>
        <v>0.0833333333333333</v>
      </c>
      <c r="F48" s="59">
        <f>0.85/60*100</f>
        <v>1.41666666666667</v>
      </c>
      <c r="G48" s="52">
        <f t="shared" si="7"/>
        <v>11.75</v>
      </c>
      <c r="H48" s="62" t="s">
        <v>63</v>
      </c>
      <c r="I48" s="8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</row>
    <row r="49" s="1" customFormat="1" customHeight="1" spans="1:58">
      <c r="A49" s="61"/>
      <c r="B49" s="55" t="s">
        <v>36</v>
      </c>
      <c r="C49" s="56" t="s">
        <v>166</v>
      </c>
      <c r="D49" s="57">
        <v>3.95</v>
      </c>
      <c r="E49" s="58">
        <v>0.5</v>
      </c>
      <c r="F49" s="59">
        <v>24.15</v>
      </c>
      <c r="G49" s="52">
        <f t="shared" si="7"/>
        <v>116.9</v>
      </c>
      <c r="H49" s="62" t="s">
        <v>24</v>
      </c>
      <c r="I49" s="8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</row>
    <row r="50" s="1" customFormat="1" customHeight="1" spans="1:58">
      <c r="A50" s="88"/>
      <c r="B50" s="89" t="s">
        <v>88</v>
      </c>
      <c r="C50" s="90">
        <v>200</v>
      </c>
      <c r="D50" s="91">
        <v>0.43</v>
      </c>
      <c r="E50" s="92">
        <v>0.02</v>
      </c>
      <c r="F50" s="93">
        <v>27.6</v>
      </c>
      <c r="G50" s="52">
        <f t="shared" si="7"/>
        <v>112.3</v>
      </c>
      <c r="H50" s="68" t="s">
        <v>110</v>
      </c>
      <c r="I50" s="8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</row>
    <row r="51" s="1" customFormat="1" customHeight="1" spans="1:58">
      <c r="A51" s="126" t="s">
        <v>25</v>
      </c>
      <c r="B51" s="70"/>
      <c r="C51" s="127">
        <f>SUM(C45:C50)+100</f>
        <v>680</v>
      </c>
      <c r="D51" s="72">
        <f>SUM(D45:D50)</f>
        <v>37.752</v>
      </c>
      <c r="E51" s="73">
        <f t="shared" ref="E51:G51" si="8">SUM(E45:E50)</f>
        <v>32.9577777777778</v>
      </c>
      <c r="F51" s="74">
        <f t="shared" si="8"/>
        <v>150.933333333333</v>
      </c>
      <c r="G51" s="75">
        <f t="shared" si="8"/>
        <v>1051.36133333333</v>
      </c>
      <c r="H51" s="76"/>
      <c r="I51" s="8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</row>
    <row r="52" s="1" customFormat="1" customHeight="1" spans="1:58">
      <c r="A52" s="128" t="s">
        <v>40</v>
      </c>
      <c r="B52" s="129"/>
      <c r="C52" s="130">
        <f>C51+C43</f>
        <v>1380</v>
      </c>
      <c r="D52" s="131">
        <f t="shared" ref="D52:G52" si="9">D51+D43</f>
        <v>68.162</v>
      </c>
      <c r="E52" s="131">
        <f t="shared" si="9"/>
        <v>61.6827777777778</v>
      </c>
      <c r="F52" s="132">
        <f t="shared" si="9"/>
        <v>206.662083333333</v>
      </c>
      <c r="G52" s="133">
        <f t="shared" si="9"/>
        <v>1654.44133333333</v>
      </c>
      <c r="H52" s="76"/>
      <c r="I52" s="8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</row>
    <row r="53" s="1" customFormat="1" customHeight="1" spans="1:58">
      <c r="A53" s="100"/>
      <c r="B53" s="101"/>
      <c r="C53" s="106"/>
      <c r="D53" s="107"/>
      <c r="E53" s="107"/>
      <c r="F53" s="107"/>
      <c r="G53" s="107"/>
      <c r="H53" s="76"/>
      <c r="I53" s="8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</row>
    <row r="54" ht="17.25" customHeight="1" spans="1:17">
      <c r="A54" s="134"/>
      <c r="B54" s="135" t="s">
        <v>58</v>
      </c>
      <c r="C54" s="135"/>
      <c r="D54" s="135"/>
      <c r="E54" s="135"/>
      <c r="F54" s="135"/>
      <c r="G54" s="135"/>
      <c r="H54" s="76"/>
      <c r="I54" s="8"/>
      <c r="J54" s="7"/>
      <c r="K54" s="3"/>
      <c r="L54" s="3"/>
      <c r="M54" s="3"/>
      <c r="N54" s="3"/>
      <c r="O54" s="3"/>
      <c r="P54" s="3"/>
      <c r="Q54" s="3"/>
    </row>
    <row r="55" ht="17.25" customHeight="1" spans="1:17">
      <c r="A55" s="77" t="s">
        <v>14</v>
      </c>
      <c r="B55" s="136"/>
      <c r="C55" s="110"/>
      <c r="D55" s="111"/>
      <c r="E55" s="111"/>
      <c r="F55" s="111"/>
      <c r="G55" s="111"/>
      <c r="H55" s="76"/>
      <c r="I55" s="7"/>
      <c r="J55" s="154"/>
      <c r="K55" s="3"/>
      <c r="L55" s="3"/>
      <c r="M55" s="3"/>
      <c r="N55" s="3"/>
      <c r="O55" s="3"/>
      <c r="P55" s="3"/>
      <c r="Q55" s="3"/>
    </row>
    <row r="56" s="1" customFormat="1" customHeight="1" spans="1:58">
      <c r="A56" s="61"/>
      <c r="B56" s="55" t="s">
        <v>171</v>
      </c>
      <c r="C56" s="83">
        <v>100</v>
      </c>
      <c r="D56" s="84">
        <f>14.6/90*100</f>
        <v>16.2222222222222</v>
      </c>
      <c r="E56" s="85">
        <f>14.28/90*100</f>
        <v>15.8666666666667</v>
      </c>
      <c r="F56" s="86">
        <f>13.68/90*100</f>
        <v>15.2</v>
      </c>
      <c r="G56" s="52">
        <f t="shared" ref="G56:G62" si="10">(D56*4)+(E56*9)+(F56*4)</f>
        <v>268.488888888889</v>
      </c>
      <c r="H56" s="87" t="s">
        <v>60</v>
      </c>
      <c r="I56" s="154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</row>
    <row r="57" s="1" customFormat="1" customHeight="1" spans="1:58">
      <c r="A57" s="61"/>
      <c r="B57" s="55" t="s">
        <v>172</v>
      </c>
      <c r="C57" s="56">
        <v>30</v>
      </c>
      <c r="D57" s="57">
        <f>0.53</f>
        <v>0.53</v>
      </c>
      <c r="E57" s="58">
        <f>0.74</f>
        <v>0.74</v>
      </c>
      <c r="F57" s="59">
        <v>2.38</v>
      </c>
      <c r="G57" s="52">
        <f t="shared" si="10"/>
        <v>18.3</v>
      </c>
      <c r="H57" s="62" t="s">
        <v>173</v>
      </c>
      <c r="I57" s="154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</row>
    <row r="58" s="1" customFormat="1" customHeight="1" spans="1:58">
      <c r="A58" s="61"/>
      <c r="B58" s="55" t="s">
        <v>61</v>
      </c>
      <c r="C58" s="56">
        <v>200</v>
      </c>
      <c r="D58" s="57">
        <f>3.33/150*200</f>
        <v>4.44</v>
      </c>
      <c r="E58" s="58">
        <f>3.28/150*200</f>
        <v>4.37333333333333</v>
      </c>
      <c r="F58" s="59">
        <f>22.66/150*200</f>
        <v>30.2133333333333</v>
      </c>
      <c r="G58" s="52">
        <f t="shared" si="10"/>
        <v>177.973333333333</v>
      </c>
      <c r="H58" s="62" t="s">
        <v>62</v>
      </c>
      <c r="I58" s="154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</row>
    <row r="59" s="1" customFormat="1" customHeight="1" spans="1:58">
      <c r="A59" s="61"/>
      <c r="B59" s="55" t="s">
        <v>54</v>
      </c>
      <c r="C59" s="56">
        <v>100</v>
      </c>
      <c r="D59" s="57">
        <f>0.33/60*40</f>
        <v>0.22</v>
      </c>
      <c r="E59" s="58">
        <f>0.06/60*40</f>
        <v>0.04</v>
      </c>
      <c r="F59" s="59">
        <f>1.14/60*40</f>
        <v>0.76</v>
      </c>
      <c r="G59" s="52">
        <f t="shared" si="10"/>
        <v>4.28</v>
      </c>
      <c r="H59" s="62" t="s">
        <v>63</v>
      </c>
      <c r="I59" s="154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</row>
    <row r="60" s="1" customFormat="1" customHeight="1" spans="1:58">
      <c r="A60" s="61"/>
      <c r="B60" s="55" t="s">
        <v>23</v>
      </c>
      <c r="C60" s="56">
        <v>40</v>
      </c>
      <c r="D60" s="57">
        <f>3.04</f>
        <v>3.04</v>
      </c>
      <c r="E60" s="58">
        <v>0.36</v>
      </c>
      <c r="F60" s="59">
        <v>18.48</v>
      </c>
      <c r="G60" s="52">
        <f t="shared" si="10"/>
        <v>89.32</v>
      </c>
      <c r="H60" s="62" t="s">
        <v>24</v>
      </c>
      <c r="I60" s="8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</row>
    <row r="61" s="1" customFormat="1" customHeight="1" spans="1:58">
      <c r="A61" s="61"/>
      <c r="B61" s="137" t="s">
        <v>174</v>
      </c>
      <c r="C61" s="56" t="s">
        <v>175</v>
      </c>
      <c r="D61" s="138">
        <v>0.4</v>
      </c>
      <c r="E61" s="139">
        <v>0.04</v>
      </c>
      <c r="F61" s="140">
        <v>32</v>
      </c>
      <c r="G61" s="52">
        <f t="shared" si="10"/>
        <v>129.96</v>
      </c>
      <c r="H61" s="62" t="s">
        <v>24</v>
      </c>
      <c r="I61" s="8" t="s">
        <v>176</v>
      </c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</row>
    <row r="62" s="1" customFormat="1" customHeight="1" spans="1:58">
      <c r="A62" s="88"/>
      <c r="B62" s="89" t="s">
        <v>64</v>
      </c>
      <c r="C62" s="90">
        <v>200</v>
      </c>
      <c r="D62" s="91">
        <f>0.06</f>
        <v>0.06</v>
      </c>
      <c r="E62" s="92">
        <v>0.01</v>
      </c>
      <c r="F62" s="93">
        <v>12.9</v>
      </c>
      <c r="G62" s="52">
        <f t="shared" si="10"/>
        <v>51.93</v>
      </c>
      <c r="H62" s="68" t="s">
        <v>65</v>
      </c>
      <c r="I62" s="8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</row>
    <row r="63" s="1" customFormat="1" customHeight="1" spans="1:58">
      <c r="A63" s="120" t="s">
        <v>25</v>
      </c>
      <c r="B63" s="141"/>
      <c r="C63" s="142">
        <f>SUM(C56:C62)+40+180+15+7</f>
        <v>912</v>
      </c>
      <c r="D63" s="143">
        <f>SUM(D56:D62)</f>
        <v>24.9122222222222</v>
      </c>
      <c r="E63" s="144">
        <f t="shared" ref="E63:G63" si="11">SUM(E56:E62)</f>
        <v>21.43</v>
      </c>
      <c r="F63" s="145">
        <f t="shared" si="11"/>
        <v>111.933333333333</v>
      </c>
      <c r="G63" s="146">
        <f t="shared" si="11"/>
        <v>740.252222222222</v>
      </c>
      <c r="H63" s="76"/>
      <c r="I63" s="8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</row>
    <row r="64" ht="17.25" customHeight="1" spans="1:17">
      <c r="A64" s="147" t="s">
        <v>26</v>
      </c>
      <c r="B64" s="124"/>
      <c r="C64" s="124"/>
      <c r="D64" s="79"/>
      <c r="E64" s="79"/>
      <c r="F64" s="80"/>
      <c r="G64" s="80"/>
      <c r="H64" s="76"/>
      <c r="I64" s="8"/>
      <c r="J64" s="153"/>
      <c r="K64" s="3"/>
      <c r="L64" s="3"/>
      <c r="M64" s="3"/>
      <c r="N64" s="3"/>
      <c r="O64" s="3"/>
      <c r="P64" s="3"/>
      <c r="Q64" s="3"/>
    </row>
    <row r="65" s="1" customFormat="1" customHeight="1" spans="1:58">
      <c r="A65" s="160"/>
      <c r="B65" s="161" t="s">
        <v>66</v>
      </c>
      <c r="C65" s="162" t="s">
        <v>168</v>
      </c>
      <c r="D65" s="84">
        <v>2.78</v>
      </c>
      <c r="E65" s="85">
        <v>3.26</v>
      </c>
      <c r="F65" s="86">
        <v>16.4</v>
      </c>
      <c r="G65" s="52">
        <f t="shared" ref="G65:G70" si="12">(D65*4)+(E65*9)+(F65*4)</f>
        <v>106.06</v>
      </c>
      <c r="H65" s="163" t="s">
        <v>67</v>
      </c>
      <c r="I65" s="8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</row>
    <row r="66" s="1" customFormat="1" customHeight="1" spans="1:58">
      <c r="A66" s="61"/>
      <c r="B66" s="55" t="s">
        <v>177</v>
      </c>
      <c r="C66" s="56">
        <v>100</v>
      </c>
      <c r="D66" s="57">
        <f>6.5/90*100</f>
        <v>7.22222222222222</v>
      </c>
      <c r="E66" s="58">
        <f>5.9/90*100</f>
        <v>6.55555555555556</v>
      </c>
      <c r="F66" s="59">
        <f>9.4/90*100</f>
        <v>10.4444444444444</v>
      </c>
      <c r="G66" s="52">
        <f t="shared" si="12"/>
        <v>129.666666666667</v>
      </c>
      <c r="H66" s="62" t="s">
        <v>69</v>
      </c>
      <c r="I66" s="8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</row>
    <row r="67" s="1" customFormat="1" ht="28.5" customHeight="1" spans="1:58">
      <c r="A67" s="61"/>
      <c r="B67" s="55" t="s">
        <v>70</v>
      </c>
      <c r="C67" s="56">
        <v>200</v>
      </c>
      <c r="D67" s="57">
        <f>5.8/150*200</f>
        <v>7.73333333333333</v>
      </c>
      <c r="E67" s="58">
        <f>4.36/150*200</f>
        <v>5.81333333333333</v>
      </c>
      <c r="F67" s="59">
        <f>27.25/150*200</f>
        <v>36.3333333333333</v>
      </c>
      <c r="G67" s="52">
        <f t="shared" si="12"/>
        <v>228.586666666667</v>
      </c>
      <c r="H67" s="62" t="s">
        <v>71</v>
      </c>
      <c r="I67" s="8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</row>
    <row r="68" s="1" customFormat="1" ht="35.25" customHeight="1" spans="1:58">
      <c r="A68" s="61"/>
      <c r="B68" s="55" t="s">
        <v>178</v>
      </c>
      <c r="C68" s="56">
        <v>100</v>
      </c>
      <c r="D68" s="57">
        <f>0.34/60*100</f>
        <v>0.566666666666667</v>
      </c>
      <c r="E68" s="58">
        <f>0.04/60*100</f>
        <v>0.0666666666666667</v>
      </c>
      <c r="F68" s="59">
        <f>0.68/60*100</f>
        <v>1.13333333333333</v>
      </c>
      <c r="G68" s="52">
        <f t="shared" si="12"/>
        <v>7.4</v>
      </c>
      <c r="H68" s="62" t="s">
        <v>63</v>
      </c>
      <c r="I68" s="153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</row>
    <row r="69" s="1" customFormat="1" customHeight="1" spans="1:58">
      <c r="A69" s="61"/>
      <c r="B69" s="55" t="s">
        <v>36</v>
      </c>
      <c r="C69" s="56" t="s">
        <v>166</v>
      </c>
      <c r="D69" s="57">
        <v>3.95</v>
      </c>
      <c r="E69" s="58">
        <v>0.5</v>
      </c>
      <c r="F69" s="59">
        <v>24.15</v>
      </c>
      <c r="G69" s="52">
        <f t="shared" si="12"/>
        <v>116.9</v>
      </c>
      <c r="H69" s="62" t="s">
        <v>24</v>
      </c>
      <c r="I69" s="8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</row>
    <row r="70" s="1" customFormat="1" customHeight="1" spans="1:58">
      <c r="A70" s="88"/>
      <c r="B70" s="89" t="s">
        <v>179</v>
      </c>
      <c r="C70" s="90">
        <v>200</v>
      </c>
      <c r="D70" s="91">
        <v>0.14</v>
      </c>
      <c r="E70" s="92">
        <v>0.04</v>
      </c>
      <c r="F70" s="93">
        <v>27.3</v>
      </c>
      <c r="G70" s="52">
        <f t="shared" si="12"/>
        <v>110.12</v>
      </c>
      <c r="H70" s="68" t="s">
        <v>74</v>
      </c>
      <c r="I70" s="8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</row>
    <row r="71" s="1" customFormat="1" customHeight="1" spans="1:58">
      <c r="A71" s="69" t="s">
        <v>25</v>
      </c>
      <c r="B71" s="94"/>
      <c r="C71" s="164">
        <f>SUM(C65:C70)+275+100</f>
        <v>975</v>
      </c>
      <c r="D71" s="165">
        <f t="shared" ref="D71:G71" si="13">SUM(D65:D70)</f>
        <v>22.3922222222222</v>
      </c>
      <c r="E71" s="166">
        <f t="shared" si="13"/>
        <v>16.2355555555556</v>
      </c>
      <c r="F71" s="167">
        <f t="shared" si="13"/>
        <v>115.761111111111</v>
      </c>
      <c r="G71" s="168">
        <f t="shared" si="13"/>
        <v>698.733333333333</v>
      </c>
      <c r="H71" s="76"/>
      <c r="I71" s="8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</row>
    <row r="72" s="1" customFormat="1" customHeight="1" spans="1:58">
      <c r="A72" s="128" t="s">
        <v>40</v>
      </c>
      <c r="B72" s="129"/>
      <c r="C72" s="130">
        <f>C71+C63</f>
        <v>1887</v>
      </c>
      <c r="D72" s="131">
        <f t="shared" ref="D72:G72" si="14">D71+D63</f>
        <v>47.3044444444444</v>
      </c>
      <c r="E72" s="169">
        <f t="shared" si="14"/>
        <v>37.6655555555555</v>
      </c>
      <c r="F72" s="170">
        <f t="shared" si="14"/>
        <v>227.694444444444</v>
      </c>
      <c r="G72" s="133">
        <f t="shared" si="14"/>
        <v>1438.98555555556</v>
      </c>
      <c r="H72" s="76"/>
      <c r="I72" s="8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</row>
    <row r="73" s="1" customFormat="1" customHeight="1" spans="1:58">
      <c r="A73" s="100"/>
      <c r="B73" s="101"/>
      <c r="C73" s="106"/>
      <c r="D73" s="171"/>
      <c r="E73" s="171"/>
      <c r="F73" s="171"/>
      <c r="G73" s="171"/>
      <c r="H73" s="76"/>
      <c r="I73" s="8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</row>
    <row r="74" ht="17.25" customHeight="1" spans="1:17">
      <c r="A74" s="134"/>
      <c r="B74" s="135" t="s">
        <v>75</v>
      </c>
      <c r="C74" s="135"/>
      <c r="D74" s="135"/>
      <c r="E74" s="135"/>
      <c r="F74" s="135"/>
      <c r="G74" s="135"/>
      <c r="H74" s="76"/>
      <c r="I74" s="8"/>
      <c r="J74" s="152"/>
      <c r="K74" s="3"/>
      <c r="L74" s="3"/>
      <c r="M74" s="3"/>
      <c r="N74" s="3"/>
      <c r="O74" s="3"/>
      <c r="P74" s="3"/>
      <c r="Q74" s="3"/>
    </row>
    <row r="75" ht="17.25" customHeight="1" spans="1:17">
      <c r="A75" s="172" t="s">
        <v>14</v>
      </c>
      <c r="B75" s="173"/>
      <c r="C75" s="110"/>
      <c r="D75" s="174"/>
      <c r="E75" s="174"/>
      <c r="F75" s="174"/>
      <c r="G75" s="174"/>
      <c r="H75" s="76"/>
      <c r="I75" s="8"/>
      <c r="J75" s="152"/>
      <c r="K75" s="3"/>
      <c r="L75" s="3"/>
      <c r="M75" s="3"/>
      <c r="N75" s="3"/>
      <c r="O75" s="3"/>
      <c r="P75" s="3"/>
      <c r="Q75" s="3"/>
    </row>
    <row r="76" s="1" customFormat="1" customHeight="1" spans="1:58">
      <c r="A76" s="175"/>
      <c r="B76" s="176" t="s">
        <v>76</v>
      </c>
      <c r="C76" s="83">
        <v>200</v>
      </c>
      <c r="D76" s="84">
        <f>19.33/160*200</f>
        <v>24.1625</v>
      </c>
      <c r="E76" s="85">
        <f>11.03/160*200</f>
        <v>13.7875</v>
      </c>
      <c r="F76" s="86">
        <f>25.26/160*200</f>
        <v>31.575</v>
      </c>
      <c r="G76" s="52">
        <f t="shared" ref="G76:G81" si="15">(D76*4)+(E76*9)+(F76*4)</f>
        <v>347.0375</v>
      </c>
      <c r="H76" s="53" t="s">
        <v>77</v>
      </c>
      <c r="I76" s="8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</row>
    <row r="77" s="1" customFormat="1" customHeight="1" spans="1:58">
      <c r="A77" s="54"/>
      <c r="B77" s="177" t="s">
        <v>78</v>
      </c>
      <c r="C77" s="56">
        <v>30</v>
      </c>
      <c r="D77" s="57">
        <f>0.39/15*30</f>
        <v>0.78</v>
      </c>
      <c r="E77" s="58">
        <f>2.25/15*30</f>
        <v>4.5</v>
      </c>
      <c r="F77" s="59">
        <f>0.54/15*30</f>
        <v>1.08</v>
      </c>
      <c r="G77" s="52">
        <f t="shared" si="15"/>
        <v>47.94</v>
      </c>
      <c r="H77" s="60" t="s">
        <v>79</v>
      </c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</row>
    <row r="78" s="1" customFormat="1" customHeight="1" spans="1:58">
      <c r="A78" s="54"/>
      <c r="B78" s="177" t="s">
        <v>80</v>
      </c>
      <c r="C78" s="56">
        <v>200</v>
      </c>
      <c r="D78" s="57">
        <v>3.9</v>
      </c>
      <c r="E78" s="58">
        <f>3</f>
        <v>3</v>
      </c>
      <c r="F78" s="59">
        <f>17.28</f>
        <v>17.28</v>
      </c>
      <c r="G78" s="52">
        <f t="shared" si="15"/>
        <v>111.72</v>
      </c>
      <c r="H78" s="60" t="s">
        <v>81</v>
      </c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</row>
    <row r="79" s="1" customFormat="1" customHeight="1" spans="1:58">
      <c r="A79" s="54"/>
      <c r="B79" s="55" t="s">
        <v>19</v>
      </c>
      <c r="C79" s="56">
        <v>20</v>
      </c>
      <c r="D79" s="57">
        <v>4.09</v>
      </c>
      <c r="E79" s="58">
        <f>4.6</f>
        <v>4.6</v>
      </c>
      <c r="F79" s="59">
        <f>0.49</f>
        <v>0.49</v>
      </c>
      <c r="G79" s="52">
        <f t="shared" si="15"/>
        <v>59.72</v>
      </c>
      <c r="H79" s="60" t="s">
        <v>20</v>
      </c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</row>
    <row r="80" s="1" customFormat="1" customHeight="1" spans="1:58">
      <c r="A80" s="54"/>
      <c r="B80" s="177" t="s">
        <v>180</v>
      </c>
      <c r="C80" s="56">
        <v>150</v>
      </c>
      <c r="D80" s="57">
        <f>0.8/100*150</f>
        <v>1.2</v>
      </c>
      <c r="E80" s="58">
        <f>0.2/100*150</f>
        <v>0.3</v>
      </c>
      <c r="F80" s="59">
        <f>7.5/100*150</f>
        <v>11.25</v>
      </c>
      <c r="G80" s="52">
        <f t="shared" si="15"/>
        <v>52.5</v>
      </c>
      <c r="H80" s="60" t="s">
        <v>24</v>
      </c>
      <c r="I80" s="8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</row>
    <row r="81" s="1" customFormat="1" customHeight="1" spans="1:58">
      <c r="A81" s="54"/>
      <c r="B81" s="178" t="s">
        <v>23</v>
      </c>
      <c r="C81" s="90">
        <v>40</v>
      </c>
      <c r="D81" s="91">
        <v>3.04</v>
      </c>
      <c r="E81" s="92">
        <v>0.36</v>
      </c>
      <c r="F81" s="93">
        <v>18.48</v>
      </c>
      <c r="G81" s="52">
        <f t="shared" si="15"/>
        <v>89.32</v>
      </c>
      <c r="H81" s="179" t="s">
        <v>24</v>
      </c>
      <c r="I81" s="8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</row>
    <row r="82" s="1" customFormat="1" customHeight="1" spans="1:58">
      <c r="A82" s="120" t="s">
        <v>25</v>
      </c>
      <c r="B82" s="141"/>
      <c r="C82" s="48">
        <f>SUM(C76:C81)</f>
        <v>640</v>
      </c>
      <c r="D82" s="143">
        <f>SUM(D76:D81)</f>
        <v>37.1725</v>
      </c>
      <c r="E82" s="144">
        <f t="shared" ref="E82:G82" si="16">SUM(E76:E81)</f>
        <v>26.5475</v>
      </c>
      <c r="F82" s="145">
        <f t="shared" si="16"/>
        <v>80.155</v>
      </c>
      <c r="G82" s="146">
        <f t="shared" si="16"/>
        <v>708.2375</v>
      </c>
      <c r="H82" s="180"/>
      <c r="I82" s="8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</row>
    <row r="83" ht="17.25" customHeight="1" spans="1:17">
      <c r="A83" s="147" t="s">
        <v>26</v>
      </c>
      <c r="B83" s="124"/>
      <c r="C83" s="124"/>
      <c r="D83" s="79"/>
      <c r="E83" s="79"/>
      <c r="F83" s="80"/>
      <c r="G83" s="80"/>
      <c r="H83" s="76"/>
      <c r="I83" s="8"/>
      <c r="J83" s="153"/>
      <c r="K83" s="3"/>
      <c r="L83" s="3"/>
      <c r="M83" s="3"/>
      <c r="N83" s="3"/>
      <c r="O83" s="3"/>
      <c r="P83" s="3"/>
      <c r="Q83" s="3"/>
    </row>
    <row r="84" s="1" customFormat="1" customHeight="1" spans="1:58">
      <c r="A84" s="175"/>
      <c r="B84" s="82" t="s">
        <v>82</v>
      </c>
      <c r="C84" s="83">
        <v>250</v>
      </c>
      <c r="D84" s="84">
        <v>2.78</v>
      </c>
      <c r="E84" s="85">
        <v>3.26</v>
      </c>
      <c r="F84" s="86">
        <v>16.4</v>
      </c>
      <c r="G84" s="52">
        <f t="shared" ref="G84:G88" si="17">(D84*4)+(E84*9)+(F84*4)</f>
        <v>106.06</v>
      </c>
      <c r="H84" s="53" t="s">
        <v>83</v>
      </c>
      <c r="I84" s="8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</row>
    <row r="85" s="1" customFormat="1" customHeight="1" spans="1:58">
      <c r="A85" s="54"/>
      <c r="B85" s="55" t="s">
        <v>84</v>
      </c>
      <c r="C85" s="56">
        <v>250</v>
      </c>
      <c r="D85" s="57">
        <f>20.8/200*250</f>
        <v>26</v>
      </c>
      <c r="E85" s="58">
        <f>5.33/200*250</f>
        <v>6.6625</v>
      </c>
      <c r="F85" s="59">
        <f>18.5/200*250</f>
        <v>23.125</v>
      </c>
      <c r="G85" s="52">
        <f t="shared" si="17"/>
        <v>256.4625</v>
      </c>
      <c r="H85" s="60" t="s">
        <v>85</v>
      </c>
      <c r="I85" s="8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</row>
    <row r="86" s="1" customFormat="1" customHeight="1" spans="1:58">
      <c r="A86" s="54"/>
      <c r="B86" s="55" t="s">
        <v>86</v>
      </c>
      <c r="C86" s="56">
        <v>100</v>
      </c>
      <c r="D86" s="57">
        <f>0.34/60*100</f>
        <v>0.566666666666667</v>
      </c>
      <c r="E86" s="58">
        <f>0.04/60*100</f>
        <v>0.0666666666666667</v>
      </c>
      <c r="F86" s="59">
        <f>0.68/60*100</f>
        <v>1.13333333333333</v>
      </c>
      <c r="G86" s="52">
        <f t="shared" si="17"/>
        <v>7.4</v>
      </c>
      <c r="H86" s="60" t="s">
        <v>87</v>
      </c>
      <c r="I86" s="8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</row>
    <row r="87" s="1" customFormat="1" customHeight="1" spans="1:58">
      <c r="A87" s="54"/>
      <c r="B87" s="55" t="s">
        <v>36</v>
      </c>
      <c r="C87" s="56" t="s">
        <v>166</v>
      </c>
      <c r="D87" s="57">
        <v>2.37</v>
      </c>
      <c r="E87" s="58">
        <v>0.3</v>
      </c>
      <c r="F87" s="59">
        <v>14.5</v>
      </c>
      <c r="G87" s="52">
        <f t="shared" si="17"/>
        <v>70.18</v>
      </c>
      <c r="H87" s="60" t="s">
        <v>24</v>
      </c>
      <c r="I87" s="153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</row>
    <row r="88" s="1" customFormat="1" customHeight="1" spans="1:58">
      <c r="A88" s="181"/>
      <c r="B88" s="89" t="s">
        <v>88</v>
      </c>
      <c r="C88" s="90">
        <v>200</v>
      </c>
      <c r="D88" s="91">
        <v>0.43</v>
      </c>
      <c r="E88" s="92">
        <v>0.02</v>
      </c>
      <c r="F88" s="93">
        <v>27.6</v>
      </c>
      <c r="G88" s="52">
        <f t="shared" si="17"/>
        <v>112.3</v>
      </c>
      <c r="H88" s="179" t="s">
        <v>89</v>
      </c>
      <c r="I88" s="8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</row>
    <row r="89" s="1" customFormat="1" customHeight="1" spans="1:58">
      <c r="A89" s="126" t="s">
        <v>25</v>
      </c>
      <c r="B89" s="70"/>
      <c r="C89" s="182">
        <f>SUM(C84:C88)+100</f>
        <v>900</v>
      </c>
      <c r="D89" s="72">
        <f>SUM(D84:D88)</f>
        <v>32.1466666666667</v>
      </c>
      <c r="E89" s="73">
        <f t="shared" ref="E89:G89" si="18">SUM(E84:E88)</f>
        <v>10.3091666666667</v>
      </c>
      <c r="F89" s="74">
        <f t="shared" si="18"/>
        <v>82.7583333333333</v>
      </c>
      <c r="G89" s="75">
        <f t="shared" si="18"/>
        <v>552.4025</v>
      </c>
      <c r="H89" s="76"/>
      <c r="I89" s="8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</row>
    <row r="90" s="1" customFormat="1" customHeight="1" spans="1:58">
      <c r="A90" s="128" t="s">
        <v>40</v>
      </c>
      <c r="B90" s="129"/>
      <c r="C90" s="164">
        <f>C89+C82</f>
        <v>1540</v>
      </c>
      <c r="D90" s="96">
        <f t="shared" ref="D90:G90" si="19">D89+D82</f>
        <v>69.3191666666667</v>
      </c>
      <c r="E90" s="97">
        <f t="shared" si="19"/>
        <v>36.8566666666667</v>
      </c>
      <c r="F90" s="98">
        <f t="shared" si="19"/>
        <v>162.913333333333</v>
      </c>
      <c r="G90" s="99">
        <f t="shared" si="19"/>
        <v>1260.64</v>
      </c>
      <c r="H90" s="81"/>
      <c r="I90" s="8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</row>
    <row r="91" s="1" customFormat="1" customHeight="1" spans="1:58">
      <c r="A91" s="100"/>
      <c r="B91" s="101"/>
      <c r="C91" s="106"/>
      <c r="D91" s="171"/>
      <c r="E91" s="171"/>
      <c r="F91" s="171"/>
      <c r="G91" s="171"/>
      <c r="H91" s="76"/>
      <c r="I91" s="8" t="s">
        <v>181</v>
      </c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</row>
    <row r="92" ht="17.25" customHeight="1" spans="1:17">
      <c r="A92" s="134"/>
      <c r="B92" s="109" t="s">
        <v>90</v>
      </c>
      <c r="C92" s="109"/>
      <c r="D92" s="109"/>
      <c r="E92" s="109"/>
      <c r="F92" s="109"/>
      <c r="G92" s="109"/>
      <c r="H92" s="76"/>
      <c r="I92" s="8"/>
      <c r="J92" s="7"/>
      <c r="K92" s="3"/>
      <c r="L92" s="3"/>
      <c r="M92" s="3"/>
      <c r="N92" s="3"/>
      <c r="O92" s="3"/>
      <c r="P92" s="3"/>
      <c r="Q92" s="3"/>
    </row>
    <row r="93" ht="17.25" customHeight="1" spans="1:17">
      <c r="A93" s="183" t="s">
        <v>14</v>
      </c>
      <c r="B93" s="184"/>
      <c r="C93" s="110"/>
      <c r="D93" s="174"/>
      <c r="E93" s="174"/>
      <c r="F93" s="174"/>
      <c r="G93" s="174"/>
      <c r="H93" s="76"/>
      <c r="I93" s="8"/>
      <c r="J93" s="7"/>
      <c r="K93" s="3"/>
      <c r="L93" s="3"/>
      <c r="M93" s="3"/>
      <c r="N93" s="3"/>
      <c r="O93" s="3"/>
      <c r="P93" s="3"/>
      <c r="Q93" s="3"/>
    </row>
    <row r="94" s="1" customFormat="1" customHeight="1" spans="1:58">
      <c r="A94" s="185"/>
      <c r="B94" s="177" t="s">
        <v>91</v>
      </c>
      <c r="C94" s="83">
        <v>100</v>
      </c>
      <c r="D94" s="84">
        <f>17.02/90*100</f>
        <v>18.9111111111111</v>
      </c>
      <c r="E94" s="85">
        <f>18.74/90*100</f>
        <v>20.8222222222222</v>
      </c>
      <c r="F94" s="86">
        <f>2.41/90*100</f>
        <v>2.67777777777778</v>
      </c>
      <c r="G94" s="52">
        <f t="shared" ref="G94:G99" si="20">(D94*4)+(E94*9)+(F94*4)</f>
        <v>273.755555555556</v>
      </c>
      <c r="H94" s="186" t="s">
        <v>92</v>
      </c>
      <c r="I94" s="8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</row>
    <row r="95" s="1" customFormat="1" customHeight="1" spans="1:58">
      <c r="A95" s="115"/>
      <c r="B95" s="177" t="s">
        <v>182</v>
      </c>
      <c r="C95" s="56">
        <v>100</v>
      </c>
      <c r="D95" s="57">
        <f>0.1/60*100</f>
        <v>0.166666666666667</v>
      </c>
      <c r="E95" s="58">
        <f>0.03/60*100</f>
        <v>0.05</v>
      </c>
      <c r="F95" s="59">
        <f>1.1/60*100</f>
        <v>1.83333333333333</v>
      </c>
      <c r="G95" s="52">
        <f t="shared" si="20"/>
        <v>8.45</v>
      </c>
      <c r="H95" s="187" t="s">
        <v>63</v>
      </c>
      <c r="I95" s="8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</row>
    <row r="96" s="1" customFormat="1" customHeight="1" spans="1:58">
      <c r="A96" s="115"/>
      <c r="B96" s="177" t="s">
        <v>93</v>
      </c>
      <c r="C96" s="56">
        <v>200</v>
      </c>
      <c r="D96" s="188">
        <v>4.5</v>
      </c>
      <c r="E96" s="189">
        <v>5.1</v>
      </c>
      <c r="F96" s="190">
        <v>21.9</v>
      </c>
      <c r="G96" s="52">
        <f t="shared" si="20"/>
        <v>151.5</v>
      </c>
      <c r="H96" s="187" t="s">
        <v>94</v>
      </c>
      <c r="I96" s="7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</row>
    <row r="97" s="1" customFormat="1" customHeight="1" spans="1:58">
      <c r="A97" s="115"/>
      <c r="B97" s="177" t="s">
        <v>64</v>
      </c>
      <c r="C97" s="56">
        <v>200</v>
      </c>
      <c r="D97" s="57">
        <f>0.06</f>
        <v>0.06</v>
      </c>
      <c r="E97" s="58">
        <f>0.01</f>
        <v>0.01</v>
      </c>
      <c r="F97" s="59">
        <f>12.19</f>
        <v>12.19</v>
      </c>
      <c r="G97" s="52">
        <f t="shared" si="20"/>
        <v>49.09</v>
      </c>
      <c r="H97" s="187" t="s">
        <v>95</v>
      </c>
      <c r="I97" s="7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</row>
    <row r="98" s="1" customFormat="1" customHeight="1" spans="1:58">
      <c r="A98" s="115"/>
      <c r="B98" s="177" t="s">
        <v>23</v>
      </c>
      <c r="C98" s="191">
        <v>50</v>
      </c>
      <c r="D98" s="57">
        <f>1.58/40*50</f>
        <v>1.975</v>
      </c>
      <c r="E98" s="58">
        <f>0.2/40*50</f>
        <v>0.25</v>
      </c>
      <c r="F98" s="59">
        <f>9.66/40*50</f>
        <v>12.075</v>
      </c>
      <c r="G98" s="52">
        <f t="shared" si="20"/>
        <v>58.45</v>
      </c>
      <c r="H98" s="187" t="s">
        <v>24</v>
      </c>
      <c r="I98" s="8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</row>
    <row r="99" s="1" customFormat="1" customHeight="1" spans="1:58">
      <c r="A99" s="192"/>
      <c r="B99" s="193" t="s">
        <v>183</v>
      </c>
      <c r="C99" s="194">
        <v>100</v>
      </c>
      <c r="D99" s="91">
        <f>5.45/50*100</f>
        <v>10.9</v>
      </c>
      <c r="E99" s="92">
        <f>5.73/50*100</f>
        <v>11.46</v>
      </c>
      <c r="F99" s="93">
        <f>32.28/50*100</f>
        <v>64.56</v>
      </c>
      <c r="G99" s="52">
        <f t="shared" si="20"/>
        <v>404.98</v>
      </c>
      <c r="H99" s="195" t="s">
        <v>184</v>
      </c>
      <c r="I99" s="8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</row>
    <row r="100" s="1" customFormat="1" customHeight="1" spans="1:58">
      <c r="A100" s="120" t="s">
        <v>25</v>
      </c>
      <c r="B100" s="141"/>
      <c r="C100" s="48">
        <f>SUM(C94:C99)+180+15+7</f>
        <v>952</v>
      </c>
      <c r="D100" s="143">
        <f>SUM(D94:D99)</f>
        <v>36.5127777777778</v>
      </c>
      <c r="E100" s="144">
        <f t="shared" ref="E100:G100" si="21">SUM(E94:E99)</f>
        <v>37.6922222222222</v>
      </c>
      <c r="F100" s="145">
        <f t="shared" si="21"/>
        <v>115.236111111111</v>
      </c>
      <c r="G100" s="146">
        <f t="shared" si="21"/>
        <v>946.225555555556</v>
      </c>
      <c r="H100" s="41"/>
      <c r="I100" s="8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</row>
    <row r="101" ht="17.25" customHeight="1" spans="1:17">
      <c r="A101" s="147" t="s">
        <v>26</v>
      </c>
      <c r="B101" s="124"/>
      <c r="C101" s="124"/>
      <c r="D101" s="79"/>
      <c r="E101" s="79"/>
      <c r="F101" s="80"/>
      <c r="G101" s="80"/>
      <c r="H101" s="76"/>
      <c r="I101" s="8"/>
      <c r="J101" s="153"/>
      <c r="K101" s="3"/>
      <c r="L101" s="3"/>
      <c r="M101" s="3"/>
      <c r="N101" s="3"/>
      <c r="O101" s="3"/>
      <c r="P101" s="3"/>
      <c r="Q101" s="3"/>
    </row>
    <row r="102" s="1" customFormat="1" customHeight="1" spans="1:58">
      <c r="A102" s="196"/>
      <c r="B102" s="82" t="s">
        <v>96</v>
      </c>
      <c r="C102" s="83">
        <v>250</v>
      </c>
      <c r="D102" s="84">
        <v>4.82</v>
      </c>
      <c r="E102" s="85">
        <v>4.9</v>
      </c>
      <c r="F102" s="86">
        <v>12.72</v>
      </c>
      <c r="G102" s="52">
        <f t="shared" ref="G102:G107" si="22">(D102*4)+(E102*9)+(F102*4)</f>
        <v>114.26</v>
      </c>
      <c r="H102" s="197" t="s">
        <v>97</v>
      </c>
      <c r="I102" s="8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</row>
    <row r="103" s="1" customFormat="1" customHeight="1" spans="1:58">
      <c r="A103" s="198"/>
      <c r="B103" s="55" t="s">
        <v>98</v>
      </c>
      <c r="C103" s="56">
        <v>110</v>
      </c>
      <c r="D103" s="57">
        <f>7.66/90*110</f>
        <v>9.36222222222222</v>
      </c>
      <c r="E103" s="58">
        <f>3.85/90*110</f>
        <v>4.70555555555556</v>
      </c>
      <c r="F103" s="59">
        <f>2.2/90*110</f>
        <v>2.68888888888889</v>
      </c>
      <c r="G103" s="52">
        <f t="shared" si="22"/>
        <v>90.5544444444444</v>
      </c>
      <c r="H103" s="199" t="s">
        <v>99</v>
      </c>
      <c r="I103" s="8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</row>
    <row r="104" s="1" customFormat="1" customHeight="1" spans="1:58">
      <c r="A104" s="115"/>
      <c r="B104" s="55" t="s">
        <v>185</v>
      </c>
      <c r="C104" s="56">
        <v>200</v>
      </c>
      <c r="D104" s="57">
        <f>3.06/150*200</f>
        <v>4.08</v>
      </c>
      <c r="E104" s="58">
        <f>4.8/150*200</f>
        <v>6.4</v>
      </c>
      <c r="F104" s="59">
        <f>20.4/150*200</f>
        <v>27.2</v>
      </c>
      <c r="G104" s="52">
        <f t="shared" si="22"/>
        <v>182.72</v>
      </c>
      <c r="H104" s="62" t="s">
        <v>62</v>
      </c>
      <c r="I104" s="8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</row>
    <row r="105" s="1" customFormat="1" customHeight="1" spans="1:58">
      <c r="A105" s="61"/>
      <c r="B105" s="55" t="s">
        <v>44</v>
      </c>
      <c r="C105" s="56">
        <v>100</v>
      </c>
      <c r="D105" s="57">
        <f>0.93/60*100</f>
        <v>1.55</v>
      </c>
      <c r="E105" s="58">
        <f>0.06/60*100</f>
        <v>0.1</v>
      </c>
      <c r="F105" s="59">
        <f>1.95/60*100</f>
        <v>3.25</v>
      </c>
      <c r="G105" s="52">
        <f t="shared" si="22"/>
        <v>20.1</v>
      </c>
      <c r="H105" s="62" t="s">
        <v>45</v>
      </c>
      <c r="I105" s="153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</row>
    <row r="106" s="1" customFormat="1" customHeight="1" spans="1:58">
      <c r="A106" s="61"/>
      <c r="B106" s="55" t="s">
        <v>36</v>
      </c>
      <c r="C106" s="56" t="s">
        <v>166</v>
      </c>
      <c r="D106" s="57">
        <v>2.37</v>
      </c>
      <c r="E106" s="58">
        <f>0.4</f>
        <v>0.4</v>
      </c>
      <c r="F106" s="59">
        <v>14.49</v>
      </c>
      <c r="G106" s="52">
        <f t="shared" si="22"/>
        <v>71.04</v>
      </c>
      <c r="H106" s="62" t="s">
        <v>24</v>
      </c>
      <c r="I106" s="8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</row>
    <row r="107" s="1" customFormat="1" customHeight="1" spans="1:58">
      <c r="A107" s="88"/>
      <c r="B107" s="89" t="s">
        <v>38</v>
      </c>
      <c r="C107" s="90">
        <v>200</v>
      </c>
      <c r="D107" s="91">
        <v>0.43</v>
      </c>
      <c r="E107" s="92">
        <v>0.02</v>
      </c>
      <c r="F107" s="93">
        <v>27.6</v>
      </c>
      <c r="G107" s="52">
        <f t="shared" si="22"/>
        <v>112.3</v>
      </c>
      <c r="H107" s="68" t="s">
        <v>39</v>
      </c>
      <c r="I107" s="8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</row>
    <row r="108" s="1" customFormat="1" customHeight="1" spans="1:58">
      <c r="A108" s="126" t="s">
        <v>25</v>
      </c>
      <c r="B108" s="70"/>
      <c r="C108" s="182">
        <f>SUM(C102:C107)+100</f>
        <v>960</v>
      </c>
      <c r="D108" s="200">
        <f t="shared" ref="D108:G108" si="23">SUM(D102:D107)</f>
        <v>22.6122222222222</v>
      </c>
      <c r="E108" s="201">
        <f t="shared" si="23"/>
        <v>16.5255555555556</v>
      </c>
      <c r="F108" s="202">
        <f t="shared" si="23"/>
        <v>87.9488888888889</v>
      </c>
      <c r="G108" s="203">
        <f t="shared" si="23"/>
        <v>590.974444444445</v>
      </c>
      <c r="H108" s="81"/>
      <c r="I108" s="8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</row>
    <row r="109" s="1" customFormat="1" customHeight="1" spans="1:58">
      <c r="A109" s="128" t="s">
        <v>40</v>
      </c>
      <c r="B109" s="129"/>
      <c r="C109" s="164">
        <f>C108+C100</f>
        <v>1912</v>
      </c>
      <c r="D109" s="96">
        <f t="shared" ref="D109:G109" si="24">D108+D100</f>
        <v>59.125</v>
      </c>
      <c r="E109" s="97">
        <f t="shared" si="24"/>
        <v>54.2177777777778</v>
      </c>
      <c r="F109" s="98">
        <f t="shared" si="24"/>
        <v>203.185</v>
      </c>
      <c r="G109" s="99">
        <f t="shared" si="24"/>
        <v>1537.2</v>
      </c>
      <c r="H109" s="76"/>
      <c r="I109" s="8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</row>
    <row r="110" s="1" customFormat="1" customHeight="1" spans="1:58">
      <c r="A110" s="100"/>
      <c r="B110" s="101"/>
      <c r="C110" s="106"/>
      <c r="D110" s="171"/>
      <c r="E110" s="171"/>
      <c r="F110" s="171"/>
      <c r="G110" s="171"/>
      <c r="H110" s="76"/>
      <c r="I110" s="8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</row>
    <row r="111" ht="17.25" customHeight="1" spans="1:17">
      <c r="A111" s="204" t="s">
        <v>101</v>
      </c>
      <c r="B111" s="205"/>
      <c r="C111" s="205"/>
      <c r="D111" s="205"/>
      <c r="E111" s="205"/>
      <c r="F111" s="205"/>
      <c r="G111" s="205"/>
      <c r="H111" s="76"/>
      <c r="I111" s="8"/>
      <c r="J111" s="7"/>
      <c r="K111" s="3"/>
      <c r="L111" s="3"/>
      <c r="M111" s="3"/>
      <c r="N111" s="3"/>
      <c r="O111" s="3"/>
      <c r="P111" s="3"/>
      <c r="Q111" s="3"/>
    </row>
    <row r="112" ht="17.25" customHeight="1" spans="1:17">
      <c r="A112" s="42"/>
      <c r="B112" s="206" t="s">
        <v>13</v>
      </c>
      <c r="C112" s="206"/>
      <c r="D112" s="206"/>
      <c r="E112" s="206"/>
      <c r="F112" s="206"/>
      <c r="G112" s="206"/>
      <c r="H112" s="76"/>
      <c r="I112" s="8"/>
      <c r="J112" s="7"/>
      <c r="K112" s="3"/>
      <c r="L112" s="3"/>
      <c r="M112" s="3"/>
      <c r="N112" s="3"/>
      <c r="O112" s="3"/>
      <c r="P112" s="3"/>
      <c r="Q112" s="3"/>
    </row>
    <row r="113" ht="17.25" customHeight="1" spans="1:17">
      <c r="A113" s="172" t="s">
        <v>14</v>
      </c>
      <c r="B113" s="173"/>
      <c r="C113" s="110"/>
      <c r="D113" s="174"/>
      <c r="E113" s="174"/>
      <c r="F113" s="174"/>
      <c r="G113" s="174"/>
      <c r="H113" s="76"/>
      <c r="I113" s="8"/>
      <c r="J113" s="152"/>
      <c r="K113" s="3"/>
      <c r="L113" s="3"/>
      <c r="M113" s="3"/>
      <c r="N113" s="3"/>
      <c r="O113" s="3"/>
      <c r="P113" s="3"/>
      <c r="Q113" s="3"/>
    </row>
    <row r="114" s="1" customFormat="1" customHeight="1" spans="1:58">
      <c r="A114" s="207"/>
      <c r="B114" s="82" t="s">
        <v>186</v>
      </c>
      <c r="C114" s="83">
        <v>100</v>
      </c>
      <c r="D114" s="84">
        <f>0.33</f>
        <v>0.33</v>
      </c>
      <c r="E114" s="85">
        <f>0.06</f>
        <v>0.06</v>
      </c>
      <c r="F114" s="86">
        <f>1.14</f>
        <v>1.14</v>
      </c>
      <c r="G114" s="52">
        <f t="shared" ref="G114:G119" si="25">(D114*4)+(E114*9)+(F114*4)</f>
        <v>6.42</v>
      </c>
      <c r="H114" s="87" t="s">
        <v>102</v>
      </c>
      <c r="I114" s="8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</row>
    <row r="115" s="1" customFormat="1" customHeight="1" spans="1:58">
      <c r="A115" s="115"/>
      <c r="B115" s="55" t="s">
        <v>103</v>
      </c>
      <c r="C115" s="56">
        <v>100</v>
      </c>
      <c r="D115" s="57">
        <f>10.86</f>
        <v>10.86</v>
      </c>
      <c r="E115" s="58">
        <f>8.25</f>
        <v>8.25</v>
      </c>
      <c r="F115" s="59">
        <f>12.31</f>
        <v>12.31</v>
      </c>
      <c r="G115" s="52">
        <f t="shared" si="25"/>
        <v>166.93</v>
      </c>
      <c r="H115" s="187" t="s">
        <v>104</v>
      </c>
      <c r="I115" s="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</row>
    <row r="116" s="1" customFormat="1" customHeight="1" spans="1:58">
      <c r="A116" s="115"/>
      <c r="B116" s="55" t="s">
        <v>187</v>
      </c>
      <c r="C116" s="56">
        <v>200</v>
      </c>
      <c r="D116" s="57">
        <f>3.33</f>
        <v>3.33</v>
      </c>
      <c r="E116" s="58">
        <f>3.28</f>
        <v>3.28</v>
      </c>
      <c r="F116" s="59">
        <f>22.66</f>
        <v>22.66</v>
      </c>
      <c r="G116" s="52">
        <f t="shared" si="25"/>
        <v>133.48</v>
      </c>
      <c r="H116" s="187" t="s">
        <v>62</v>
      </c>
      <c r="I116" s="7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</row>
    <row r="117" s="1" customFormat="1" customHeight="1" spans="1:58">
      <c r="A117" s="115"/>
      <c r="B117" s="55" t="s">
        <v>46</v>
      </c>
      <c r="C117" s="56">
        <v>200</v>
      </c>
      <c r="D117" s="57">
        <f>5.71</f>
        <v>5.71</v>
      </c>
      <c r="E117" s="58">
        <f>4.8</f>
        <v>4.8</v>
      </c>
      <c r="F117" s="59">
        <f>20.82</f>
        <v>20.82</v>
      </c>
      <c r="G117" s="52">
        <f t="shared" si="25"/>
        <v>149.32</v>
      </c>
      <c r="H117" s="187" t="s">
        <v>47</v>
      </c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</row>
    <row r="118" s="1" customFormat="1" customHeight="1" spans="1:58">
      <c r="A118" s="61"/>
      <c r="B118" s="55" t="s">
        <v>23</v>
      </c>
      <c r="C118" s="191">
        <v>50</v>
      </c>
      <c r="D118" s="57">
        <f>3.04</f>
        <v>3.04</v>
      </c>
      <c r="E118" s="58">
        <f>0.36</f>
        <v>0.36</v>
      </c>
      <c r="F118" s="59">
        <f>18.48</f>
        <v>18.48</v>
      </c>
      <c r="G118" s="52">
        <f t="shared" si="25"/>
        <v>89.32</v>
      </c>
      <c r="H118" s="62" t="s">
        <v>24</v>
      </c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</row>
    <row r="119" s="1" customFormat="1" ht="30.75" customHeight="1" spans="1:58">
      <c r="A119" s="88"/>
      <c r="B119" s="208" t="s">
        <v>188</v>
      </c>
      <c r="C119" s="90" t="s">
        <v>175</v>
      </c>
      <c r="D119" s="91">
        <v>0.08</v>
      </c>
      <c r="E119" s="92">
        <v>0</v>
      </c>
      <c r="F119" s="93">
        <f>12</f>
        <v>12</v>
      </c>
      <c r="G119" s="52">
        <f t="shared" si="25"/>
        <v>48.32</v>
      </c>
      <c r="H119" s="68" t="s">
        <v>24</v>
      </c>
      <c r="I119" s="210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</row>
    <row r="120" s="1" customFormat="1" customHeight="1" spans="1:58">
      <c r="A120" s="120" t="s">
        <v>25</v>
      </c>
      <c r="B120" s="141"/>
      <c r="C120" s="209">
        <f>SUM(C114:C119)+40</f>
        <v>690</v>
      </c>
      <c r="D120" s="143">
        <f t="shared" ref="D120:G120" si="26">D114+D115+D116+D117+D119+D118</f>
        <v>23.35</v>
      </c>
      <c r="E120" s="144">
        <f t="shared" si="26"/>
        <v>16.75</v>
      </c>
      <c r="F120" s="145">
        <f t="shared" si="26"/>
        <v>87.41</v>
      </c>
      <c r="G120" s="146">
        <f t="shared" si="26"/>
        <v>593.79</v>
      </c>
      <c r="H120" s="180"/>
      <c r="I120" s="8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</row>
    <row r="121" ht="17.25" customHeight="1" spans="1:17">
      <c r="A121" s="147" t="s">
        <v>26</v>
      </c>
      <c r="B121" s="124"/>
      <c r="C121" s="124"/>
      <c r="D121" s="79"/>
      <c r="E121" s="79"/>
      <c r="F121" s="80"/>
      <c r="G121" s="80"/>
      <c r="H121" s="180"/>
      <c r="I121" s="8"/>
      <c r="J121" s="153"/>
      <c r="K121" s="3"/>
      <c r="L121" s="3"/>
      <c r="M121" s="3"/>
      <c r="N121" s="3"/>
      <c r="O121" s="3"/>
      <c r="P121" s="3"/>
      <c r="Q121" s="3"/>
    </row>
    <row r="122" s="1" customFormat="1" ht="30.75" customHeight="1" spans="1:58">
      <c r="A122" s="207"/>
      <c r="B122" s="82" t="s">
        <v>189</v>
      </c>
      <c r="C122" s="83">
        <v>250</v>
      </c>
      <c r="D122" s="84">
        <v>3.8</v>
      </c>
      <c r="E122" s="85">
        <v>4.9</v>
      </c>
      <c r="F122" s="86">
        <v>14.3</v>
      </c>
      <c r="G122" s="52">
        <f t="shared" ref="G122:G126" si="27">(D122*4)+(E122*9)+(F122*4)</f>
        <v>116.5</v>
      </c>
      <c r="H122" s="87" t="s">
        <v>107</v>
      </c>
      <c r="I122" s="8" t="s">
        <v>190</v>
      </c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</row>
    <row r="123" s="1" customFormat="1" customHeight="1" spans="1:58">
      <c r="A123" s="61"/>
      <c r="B123" s="55" t="s">
        <v>108</v>
      </c>
      <c r="C123" s="56">
        <v>250</v>
      </c>
      <c r="D123" s="57">
        <v>21.47</v>
      </c>
      <c r="E123" s="58">
        <v>19.69</v>
      </c>
      <c r="F123" s="59">
        <v>35.69</v>
      </c>
      <c r="G123" s="52">
        <f t="shared" si="27"/>
        <v>405.85</v>
      </c>
      <c r="H123" s="62" t="s">
        <v>109</v>
      </c>
      <c r="I123" s="8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</row>
    <row r="124" s="1" customFormat="1" customHeight="1" spans="1:58">
      <c r="A124" s="61"/>
      <c r="B124" s="55" t="s">
        <v>54</v>
      </c>
      <c r="C124" s="56">
        <v>100</v>
      </c>
      <c r="D124" s="57">
        <v>0.4</v>
      </c>
      <c r="E124" s="58">
        <v>0.05</v>
      </c>
      <c r="F124" s="59">
        <v>0.85</v>
      </c>
      <c r="G124" s="52">
        <f t="shared" si="27"/>
        <v>5.45</v>
      </c>
      <c r="H124" s="62" t="s">
        <v>63</v>
      </c>
      <c r="I124" s="8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</row>
    <row r="125" s="1" customFormat="1" customHeight="1" spans="1:58">
      <c r="A125" s="61"/>
      <c r="B125" s="55" t="s">
        <v>36</v>
      </c>
      <c r="C125" s="56" t="s">
        <v>166</v>
      </c>
      <c r="D125" s="57">
        <v>3.95</v>
      </c>
      <c r="E125" s="58">
        <v>0.5</v>
      </c>
      <c r="F125" s="59">
        <v>24.15</v>
      </c>
      <c r="G125" s="52">
        <f t="shared" si="27"/>
        <v>116.9</v>
      </c>
      <c r="H125" s="62" t="s">
        <v>24</v>
      </c>
      <c r="I125" s="153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</row>
    <row r="126" s="1" customFormat="1" customHeight="1" spans="1:58">
      <c r="A126" s="88"/>
      <c r="B126" s="89" t="s">
        <v>88</v>
      </c>
      <c r="C126" s="90">
        <v>200</v>
      </c>
      <c r="D126" s="91">
        <v>0.43</v>
      </c>
      <c r="E126" s="92">
        <v>0.02</v>
      </c>
      <c r="F126" s="93">
        <v>27.6</v>
      </c>
      <c r="G126" s="52">
        <f t="shared" si="27"/>
        <v>112.3</v>
      </c>
      <c r="H126" s="68" t="s">
        <v>110</v>
      </c>
      <c r="I126" s="8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</row>
    <row r="127" s="1" customFormat="1" customHeight="1" spans="1:58">
      <c r="A127" s="126" t="s">
        <v>25</v>
      </c>
      <c r="B127" s="70"/>
      <c r="C127" s="182">
        <f>SUM(C122:C126)+100</f>
        <v>900</v>
      </c>
      <c r="D127" s="200">
        <f t="shared" ref="D127:G127" si="28">SUM(D122:D126)</f>
        <v>30.05</v>
      </c>
      <c r="E127" s="201">
        <f t="shared" si="28"/>
        <v>25.16</v>
      </c>
      <c r="F127" s="202">
        <f t="shared" si="28"/>
        <v>102.59</v>
      </c>
      <c r="G127" s="203">
        <f t="shared" si="28"/>
        <v>757</v>
      </c>
      <c r="H127" s="76"/>
      <c r="I127" s="8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</row>
    <row r="128" s="1" customFormat="1" customHeight="1" spans="1:58">
      <c r="A128" s="128" t="s">
        <v>40</v>
      </c>
      <c r="B128" s="129"/>
      <c r="C128" s="164">
        <f>C127+C120</f>
        <v>1590</v>
      </c>
      <c r="D128" s="96">
        <f t="shared" ref="D128:G128" si="29">D127+D120</f>
        <v>53.4</v>
      </c>
      <c r="E128" s="97">
        <f t="shared" si="29"/>
        <v>41.91</v>
      </c>
      <c r="F128" s="98">
        <f t="shared" si="29"/>
        <v>190</v>
      </c>
      <c r="G128" s="99">
        <f t="shared" si="29"/>
        <v>1350.79</v>
      </c>
      <c r="H128" s="81"/>
      <c r="I128" s="8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</row>
    <row r="129" s="1" customFormat="1" customHeight="1" spans="1:58">
      <c r="A129" s="100"/>
      <c r="B129" s="101"/>
      <c r="C129" s="106"/>
      <c r="D129" s="171"/>
      <c r="E129" s="171"/>
      <c r="F129" s="171"/>
      <c r="G129" s="171"/>
      <c r="H129" s="76"/>
      <c r="I129" s="8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</row>
    <row r="130" ht="17.25" customHeight="1" spans="1:17">
      <c r="A130" s="134"/>
      <c r="B130" s="109" t="s">
        <v>41</v>
      </c>
      <c r="C130" s="109"/>
      <c r="D130" s="109"/>
      <c r="E130" s="109"/>
      <c r="F130" s="109"/>
      <c r="G130" s="109"/>
      <c r="H130" s="76"/>
      <c r="I130" s="8"/>
      <c r="J130" s="152"/>
      <c r="K130" s="3"/>
      <c r="L130" s="3"/>
      <c r="M130" s="3"/>
      <c r="N130" s="3"/>
      <c r="O130" s="3"/>
      <c r="P130" s="3"/>
      <c r="Q130" s="3"/>
    </row>
    <row r="131" ht="17.25" customHeight="1" spans="1:17">
      <c r="A131" s="172" t="s">
        <v>14</v>
      </c>
      <c r="B131" s="173"/>
      <c r="C131" s="110"/>
      <c r="D131" s="174"/>
      <c r="E131" s="174"/>
      <c r="F131" s="174"/>
      <c r="G131" s="174"/>
      <c r="H131" s="76"/>
      <c r="I131" s="8"/>
      <c r="J131" s="152"/>
      <c r="K131" s="3"/>
      <c r="L131" s="3"/>
      <c r="M131" s="3"/>
      <c r="N131" s="3"/>
      <c r="O131" s="3"/>
      <c r="P131" s="3"/>
      <c r="Q131" s="3"/>
    </row>
    <row r="132" s="1" customFormat="1" customHeight="1" spans="1:58">
      <c r="A132" s="175"/>
      <c r="B132" s="82" t="s">
        <v>76</v>
      </c>
      <c r="C132" s="83">
        <v>200</v>
      </c>
      <c r="D132" s="84">
        <v>21.62</v>
      </c>
      <c r="E132" s="85">
        <v>16.34</v>
      </c>
      <c r="F132" s="86">
        <v>24.19</v>
      </c>
      <c r="G132" s="52">
        <f t="shared" ref="G132:G136" si="30">(D132*4)+(E132*9)+(F132*4)</f>
        <v>330.3</v>
      </c>
      <c r="H132" s="53" t="s">
        <v>77</v>
      </c>
      <c r="I132" s="8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</row>
    <row r="133" s="1" customFormat="1" customHeight="1" spans="1:58">
      <c r="A133" s="211"/>
      <c r="B133" s="55" t="s">
        <v>78</v>
      </c>
      <c r="C133" s="56">
        <v>30</v>
      </c>
      <c r="D133" s="57">
        <v>0.05</v>
      </c>
      <c r="E133" s="58">
        <v>0.01</v>
      </c>
      <c r="F133" s="59">
        <v>8.62</v>
      </c>
      <c r="G133" s="52">
        <f t="shared" si="30"/>
        <v>34.77</v>
      </c>
      <c r="H133" s="212" t="s">
        <v>112</v>
      </c>
      <c r="I133" s="8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</row>
    <row r="134" s="1" customFormat="1" customHeight="1" spans="1:58">
      <c r="A134" s="211"/>
      <c r="B134" s="55" t="s">
        <v>64</v>
      </c>
      <c r="C134" s="56">
        <v>200</v>
      </c>
      <c r="D134" s="57">
        <v>0.06</v>
      </c>
      <c r="E134" s="58">
        <v>0.01</v>
      </c>
      <c r="F134" s="59">
        <v>12.19</v>
      </c>
      <c r="G134" s="52">
        <f t="shared" si="30"/>
        <v>49.09</v>
      </c>
      <c r="H134" s="212" t="s">
        <v>65</v>
      </c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</row>
    <row r="135" s="1" customFormat="1" customHeight="1" spans="1:58">
      <c r="A135" s="211"/>
      <c r="B135" s="55" t="s">
        <v>23</v>
      </c>
      <c r="C135" s="56">
        <v>50</v>
      </c>
      <c r="D135" s="57">
        <v>3.04</v>
      </c>
      <c r="E135" s="58">
        <v>0.36</v>
      </c>
      <c r="F135" s="59">
        <v>18.48</v>
      </c>
      <c r="G135" s="52">
        <f t="shared" si="30"/>
        <v>89.32</v>
      </c>
      <c r="H135" s="212" t="s">
        <v>24</v>
      </c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</row>
    <row r="136" s="1" customFormat="1" customHeight="1" spans="1:58">
      <c r="A136" s="181"/>
      <c r="B136" s="89" t="s">
        <v>191</v>
      </c>
      <c r="C136" s="194">
        <v>150</v>
      </c>
      <c r="D136" s="91">
        <v>0.6</v>
      </c>
      <c r="E136" s="92">
        <v>0.6</v>
      </c>
      <c r="F136" s="93">
        <v>14.7</v>
      </c>
      <c r="G136" s="52">
        <f t="shared" si="30"/>
        <v>66.6</v>
      </c>
      <c r="H136" s="179" t="s">
        <v>24</v>
      </c>
      <c r="I136" s="8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</row>
    <row r="137" s="1" customFormat="1" customHeight="1" spans="1:58">
      <c r="A137" s="120" t="s">
        <v>25</v>
      </c>
      <c r="B137" s="141"/>
      <c r="C137" s="209">
        <f>SUM(C132:C136)+200+15+7</f>
        <v>852</v>
      </c>
      <c r="D137" s="143">
        <f t="shared" ref="D137:G137" si="31">SUM(D132:D136)</f>
        <v>25.37</v>
      </c>
      <c r="E137" s="144">
        <f t="shared" si="31"/>
        <v>17.32</v>
      </c>
      <c r="F137" s="145">
        <f t="shared" si="31"/>
        <v>78.18</v>
      </c>
      <c r="G137" s="146">
        <f t="shared" si="31"/>
        <v>570.08</v>
      </c>
      <c r="H137" s="180"/>
      <c r="I137" s="8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</row>
    <row r="138" ht="17.25" customHeight="1" spans="1:17">
      <c r="A138" s="147" t="s">
        <v>26</v>
      </c>
      <c r="B138" s="124"/>
      <c r="C138" s="124"/>
      <c r="D138" s="79"/>
      <c r="E138" s="79"/>
      <c r="F138" s="80"/>
      <c r="G138" s="80"/>
      <c r="H138" s="180"/>
      <c r="I138" s="8"/>
      <c r="J138" s="153"/>
      <c r="K138" s="3"/>
      <c r="L138" s="3"/>
      <c r="M138" s="3"/>
      <c r="N138" s="3"/>
      <c r="O138" s="3"/>
      <c r="P138" s="3"/>
      <c r="Q138" s="3"/>
    </row>
    <row r="139" s="1" customFormat="1" customHeight="1" spans="1:58">
      <c r="A139" s="207"/>
      <c r="B139" s="82" t="s">
        <v>113</v>
      </c>
      <c r="C139" s="83">
        <v>250</v>
      </c>
      <c r="D139" s="84">
        <v>3.1</v>
      </c>
      <c r="E139" s="85">
        <v>4.5</v>
      </c>
      <c r="F139" s="86">
        <v>20.1</v>
      </c>
      <c r="G139" s="52">
        <f t="shared" ref="G139:G144" si="32">(D139*4)+(E139*9)+(F139*4)</f>
        <v>133.3</v>
      </c>
      <c r="H139" s="87" t="s">
        <v>114</v>
      </c>
      <c r="I139" s="8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</row>
    <row r="140" s="1" customFormat="1" customHeight="1" spans="1:58">
      <c r="A140" s="61"/>
      <c r="B140" s="55" t="s">
        <v>192</v>
      </c>
      <c r="C140" s="56">
        <v>100</v>
      </c>
      <c r="D140" s="57">
        <v>11.2</v>
      </c>
      <c r="E140" s="58">
        <v>9.4</v>
      </c>
      <c r="F140" s="59">
        <v>7.3</v>
      </c>
      <c r="G140" s="52">
        <f t="shared" si="32"/>
        <v>158.6</v>
      </c>
      <c r="H140" s="62" t="s">
        <v>116</v>
      </c>
      <c r="I140" s="8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</row>
    <row r="141" s="1" customFormat="1" customHeight="1" spans="1:58">
      <c r="A141" s="61"/>
      <c r="B141" s="55" t="s">
        <v>52</v>
      </c>
      <c r="C141" s="56">
        <v>200</v>
      </c>
      <c r="D141" s="57">
        <v>6.5</v>
      </c>
      <c r="E141" s="58">
        <v>4.8</v>
      </c>
      <c r="F141" s="59">
        <v>38.8</v>
      </c>
      <c r="G141" s="52">
        <f t="shared" si="32"/>
        <v>224.4</v>
      </c>
      <c r="H141" s="62" t="s">
        <v>94</v>
      </c>
      <c r="I141" s="8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</row>
    <row r="142" s="1" customFormat="1" customHeight="1" spans="1:58">
      <c r="A142" s="61"/>
      <c r="B142" s="55" t="s">
        <v>44</v>
      </c>
      <c r="C142" s="56">
        <v>100</v>
      </c>
      <c r="D142" s="57">
        <v>0.93</v>
      </c>
      <c r="E142" s="58">
        <v>0.06</v>
      </c>
      <c r="F142" s="59">
        <v>1.95</v>
      </c>
      <c r="G142" s="52">
        <f t="shared" si="32"/>
        <v>12.06</v>
      </c>
      <c r="H142" s="62" t="s">
        <v>45</v>
      </c>
      <c r="I142" s="153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</row>
    <row r="143" s="1" customFormat="1" customHeight="1" spans="1:58">
      <c r="A143" s="61"/>
      <c r="B143" s="55" t="s">
        <v>36</v>
      </c>
      <c r="C143" s="56" t="s">
        <v>166</v>
      </c>
      <c r="D143" s="57">
        <v>2.37</v>
      </c>
      <c r="E143" s="58">
        <v>0.3</v>
      </c>
      <c r="F143" s="59">
        <v>14.49</v>
      </c>
      <c r="G143" s="52">
        <f t="shared" si="32"/>
        <v>70.14</v>
      </c>
      <c r="H143" s="62" t="s">
        <v>24</v>
      </c>
      <c r="I143" s="8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2"/>
      <c r="BF143" s="152"/>
    </row>
    <row r="144" s="1" customFormat="1" customHeight="1" spans="1:58">
      <c r="A144" s="88"/>
      <c r="B144" s="89" t="s">
        <v>38</v>
      </c>
      <c r="C144" s="90">
        <v>200</v>
      </c>
      <c r="D144" s="91">
        <v>0.4</v>
      </c>
      <c r="E144" s="92">
        <v>0.02</v>
      </c>
      <c r="F144" s="93">
        <v>22.9</v>
      </c>
      <c r="G144" s="52">
        <f t="shared" si="32"/>
        <v>93.38</v>
      </c>
      <c r="H144" s="68" t="s">
        <v>117</v>
      </c>
      <c r="I144" s="8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</row>
    <row r="145" s="1" customFormat="1" customHeight="1" spans="1:58">
      <c r="A145" s="126" t="s">
        <v>25</v>
      </c>
      <c r="B145" s="70"/>
      <c r="C145" s="182">
        <f>SUM(C139:C144)+100</f>
        <v>950</v>
      </c>
      <c r="D145" s="200">
        <f t="shared" ref="D145:G145" si="33">SUM(D139:D144)</f>
        <v>24.5</v>
      </c>
      <c r="E145" s="201">
        <f t="shared" si="33"/>
        <v>19.08</v>
      </c>
      <c r="F145" s="202">
        <f t="shared" si="33"/>
        <v>105.54</v>
      </c>
      <c r="G145" s="203">
        <f t="shared" si="33"/>
        <v>691.88</v>
      </c>
      <c r="H145" s="81"/>
      <c r="I145" s="8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</row>
    <row r="146" s="1" customFormat="1" customHeight="1" spans="1:58">
      <c r="A146" s="128" t="s">
        <v>40</v>
      </c>
      <c r="B146" s="129"/>
      <c r="C146" s="95">
        <f>C145+C137</f>
        <v>1802</v>
      </c>
      <c r="D146" s="96">
        <f t="shared" ref="D146:G146" si="34">D145+D137</f>
        <v>49.87</v>
      </c>
      <c r="E146" s="97">
        <f t="shared" si="34"/>
        <v>36.4</v>
      </c>
      <c r="F146" s="98">
        <f t="shared" si="34"/>
        <v>183.72</v>
      </c>
      <c r="G146" s="99">
        <f t="shared" si="34"/>
        <v>1261.96</v>
      </c>
      <c r="H146" s="76"/>
      <c r="I146" s="8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2"/>
      <c r="BF146" s="152"/>
    </row>
    <row r="147" s="1" customFormat="1" customHeight="1" spans="1:58">
      <c r="A147" s="100"/>
      <c r="B147" s="101"/>
      <c r="C147" s="106"/>
      <c r="D147" s="171"/>
      <c r="E147" s="171"/>
      <c r="F147" s="171"/>
      <c r="G147" s="171"/>
      <c r="H147" s="76"/>
      <c r="I147" s="8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</row>
    <row r="148" ht="17.25" customHeight="1" spans="1:17">
      <c r="A148" s="213"/>
      <c r="B148" s="109" t="s">
        <v>58</v>
      </c>
      <c r="C148" s="109"/>
      <c r="D148" s="109"/>
      <c r="E148" s="109"/>
      <c r="F148" s="109"/>
      <c r="G148" s="109"/>
      <c r="H148" s="76"/>
      <c r="I148" s="8"/>
      <c r="J148" s="7"/>
      <c r="K148" s="3"/>
      <c r="L148" s="3"/>
      <c r="M148" s="3"/>
      <c r="N148" s="3"/>
      <c r="O148" s="3"/>
      <c r="P148" s="3"/>
      <c r="Q148" s="3"/>
    </row>
    <row r="149" ht="17.25" customHeight="1" spans="1:17">
      <c r="A149" s="172" t="s">
        <v>14</v>
      </c>
      <c r="B149" s="173"/>
      <c r="C149" s="110"/>
      <c r="D149" s="174"/>
      <c r="E149" s="174"/>
      <c r="F149" s="174"/>
      <c r="G149" s="174"/>
      <c r="H149" s="76"/>
      <c r="I149" s="8"/>
      <c r="J149" s="7"/>
      <c r="K149" s="3"/>
      <c r="L149" s="3"/>
      <c r="M149" s="3"/>
      <c r="N149" s="3"/>
      <c r="O149" s="3"/>
      <c r="P149" s="3"/>
      <c r="Q149" s="3"/>
    </row>
    <row r="150" s="1" customFormat="1" customHeight="1" spans="1:58">
      <c r="A150" s="196"/>
      <c r="B150" s="176" t="s">
        <v>193</v>
      </c>
      <c r="C150" s="83">
        <v>100</v>
      </c>
      <c r="D150" s="84">
        <v>0.1</v>
      </c>
      <c r="E150" s="85">
        <v>0.03</v>
      </c>
      <c r="F150" s="86">
        <v>1.1</v>
      </c>
      <c r="G150" s="52">
        <f t="shared" ref="G150:G154" si="35">(D150*4)+(E150*9)+(F150*4)</f>
        <v>5.07</v>
      </c>
      <c r="H150" s="197" t="s">
        <v>63</v>
      </c>
      <c r="I150" s="8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  <c r="BD150" s="152"/>
      <c r="BE150" s="152"/>
      <c r="BF150" s="152"/>
    </row>
    <row r="151" s="1" customFormat="1" customHeight="1" spans="1:58">
      <c r="A151" s="61"/>
      <c r="B151" s="55" t="s">
        <v>194</v>
      </c>
      <c r="C151" s="56">
        <v>200</v>
      </c>
      <c r="D151" s="57">
        <v>21.58</v>
      </c>
      <c r="E151" s="58">
        <v>8.71</v>
      </c>
      <c r="F151" s="59">
        <v>38.57</v>
      </c>
      <c r="G151" s="52">
        <f t="shared" si="35"/>
        <v>318.99</v>
      </c>
      <c r="H151" s="62" t="s">
        <v>119</v>
      </c>
      <c r="I151" s="8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2"/>
      <c r="BF151" s="152"/>
    </row>
    <row r="152" s="1" customFormat="1" customHeight="1" spans="1:58">
      <c r="A152" s="61"/>
      <c r="B152" s="177" t="s">
        <v>195</v>
      </c>
      <c r="C152" s="56">
        <v>30</v>
      </c>
      <c r="D152" s="57">
        <v>0.57</v>
      </c>
      <c r="E152" s="58">
        <v>1.23</v>
      </c>
      <c r="F152" s="59">
        <v>2.26</v>
      </c>
      <c r="G152" s="52">
        <f t="shared" si="35"/>
        <v>22.39</v>
      </c>
      <c r="H152" s="62" t="s">
        <v>196</v>
      </c>
      <c r="I152" s="8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</row>
    <row r="153" s="1" customFormat="1" customHeight="1" spans="1:58">
      <c r="A153" s="61"/>
      <c r="B153" s="177" t="s">
        <v>80</v>
      </c>
      <c r="C153" s="56">
        <v>200</v>
      </c>
      <c r="D153" s="57">
        <v>5.71</v>
      </c>
      <c r="E153" s="58">
        <v>4.8</v>
      </c>
      <c r="F153" s="59">
        <v>20.82</v>
      </c>
      <c r="G153" s="52">
        <f t="shared" si="35"/>
        <v>149.32</v>
      </c>
      <c r="H153" s="62" t="s">
        <v>120</v>
      </c>
      <c r="I153" s="8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</row>
    <row r="154" s="1" customFormat="1" customHeight="1" spans="1:58">
      <c r="A154" s="88"/>
      <c r="B154" s="178" t="s">
        <v>23</v>
      </c>
      <c r="C154" s="194">
        <v>50</v>
      </c>
      <c r="D154" s="91">
        <v>1.58</v>
      </c>
      <c r="E154" s="92">
        <v>0.2</v>
      </c>
      <c r="F154" s="93">
        <v>9.66</v>
      </c>
      <c r="G154" s="52">
        <f t="shared" si="35"/>
        <v>46.76</v>
      </c>
      <c r="H154" s="68" t="s">
        <v>24</v>
      </c>
      <c r="I154" s="8" t="s">
        <v>121</v>
      </c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</row>
    <row r="155" s="1" customFormat="1" customHeight="1" spans="1:58">
      <c r="A155" s="120" t="s">
        <v>25</v>
      </c>
      <c r="B155" s="141"/>
      <c r="C155" s="209">
        <f>SUM(C150:C154)+40</f>
        <v>620</v>
      </c>
      <c r="D155" s="143">
        <f t="shared" ref="D155:G155" si="36">SUM(D150:D154)</f>
        <v>29.54</v>
      </c>
      <c r="E155" s="144">
        <f t="shared" si="36"/>
        <v>14.97</v>
      </c>
      <c r="F155" s="145">
        <f t="shared" si="36"/>
        <v>72.41</v>
      </c>
      <c r="G155" s="146">
        <f t="shared" si="36"/>
        <v>542.53</v>
      </c>
      <c r="H155" s="76"/>
      <c r="I155" s="7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</row>
    <row r="156" ht="17.25" customHeight="1" spans="1:17">
      <c r="A156" s="147" t="s">
        <v>26</v>
      </c>
      <c r="B156" s="124"/>
      <c r="C156" s="124"/>
      <c r="D156" s="79"/>
      <c r="E156" s="79"/>
      <c r="F156" s="80"/>
      <c r="G156" s="80"/>
      <c r="H156" s="76"/>
      <c r="I156" s="7"/>
      <c r="J156" s="153"/>
      <c r="K156" s="3"/>
      <c r="L156" s="3"/>
      <c r="M156" s="3"/>
      <c r="N156" s="3"/>
      <c r="O156" s="3"/>
      <c r="P156" s="3"/>
      <c r="Q156" s="3"/>
    </row>
    <row r="157" s="1" customFormat="1" customHeight="1" spans="1:58">
      <c r="A157" s="207"/>
      <c r="B157" s="82" t="s">
        <v>197</v>
      </c>
      <c r="C157" s="83">
        <v>250</v>
      </c>
      <c r="D157" s="84">
        <v>5.47</v>
      </c>
      <c r="E157" s="85">
        <v>5.25</v>
      </c>
      <c r="F157" s="86">
        <v>16.28</v>
      </c>
      <c r="G157" s="52">
        <f t="shared" ref="G157:G161" si="37">(D157*4)+(E157*9)+(F157*4)</f>
        <v>134.25</v>
      </c>
      <c r="H157" s="87" t="s">
        <v>123</v>
      </c>
      <c r="I157" s="8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2"/>
      <c r="BC157" s="152"/>
      <c r="BD157" s="152"/>
      <c r="BE157" s="152"/>
      <c r="BF157" s="152"/>
    </row>
    <row r="158" s="1" customFormat="1" customHeight="1" spans="1:58">
      <c r="A158" s="61"/>
      <c r="B158" s="55" t="s">
        <v>124</v>
      </c>
      <c r="C158" s="56">
        <v>100</v>
      </c>
      <c r="D158" s="57">
        <v>7.61</v>
      </c>
      <c r="E158" s="58">
        <v>2.45</v>
      </c>
      <c r="F158" s="59">
        <v>5.33</v>
      </c>
      <c r="G158" s="52">
        <f t="shared" si="37"/>
        <v>73.81</v>
      </c>
      <c r="H158" s="62" t="s">
        <v>125</v>
      </c>
      <c r="I158" s="8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  <c r="BD158" s="152"/>
      <c r="BE158" s="152"/>
      <c r="BF158" s="152"/>
    </row>
    <row r="159" s="1" customFormat="1" customHeight="1" spans="1:58">
      <c r="A159" s="61"/>
      <c r="B159" s="55" t="s">
        <v>126</v>
      </c>
      <c r="C159" s="56">
        <v>200</v>
      </c>
      <c r="D159" s="57">
        <v>3.05</v>
      </c>
      <c r="E159" s="58">
        <v>4.17</v>
      </c>
      <c r="F159" s="59">
        <v>24.8</v>
      </c>
      <c r="G159" s="52">
        <f t="shared" si="37"/>
        <v>148.93</v>
      </c>
      <c r="H159" s="62" t="s">
        <v>127</v>
      </c>
      <c r="I159" s="8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  <c r="AS159" s="152"/>
      <c r="AT159" s="152"/>
      <c r="AU159" s="152"/>
      <c r="AV159" s="152"/>
      <c r="AW159" s="152"/>
      <c r="AX159" s="152"/>
      <c r="AY159" s="152"/>
      <c r="AZ159" s="152"/>
      <c r="BA159" s="152"/>
      <c r="BB159" s="152"/>
      <c r="BC159" s="152"/>
      <c r="BD159" s="152"/>
      <c r="BE159" s="152"/>
      <c r="BF159" s="152"/>
    </row>
    <row r="160" s="1" customFormat="1" customHeight="1" spans="1:58">
      <c r="A160" s="54"/>
      <c r="B160" s="55" t="s">
        <v>86</v>
      </c>
      <c r="C160" s="56">
        <v>100</v>
      </c>
      <c r="D160" s="57">
        <v>0.34</v>
      </c>
      <c r="E160" s="58">
        <v>0.04</v>
      </c>
      <c r="F160" s="59">
        <v>0.68</v>
      </c>
      <c r="G160" s="52">
        <f t="shared" si="37"/>
        <v>4.44</v>
      </c>
      <c r="H160" s="60" t="s">
        <v>87</v>
      </c>
      <c r="I160" s="8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</row>
    <row r="161" s="1" customFormat="1" customHeight="1" spans="1:58">
      <c r="A161" s="88"/>
      <c r="B161" s="89" t="s">
        <v>38</v>
      </c>
      <c r="C161" s="90">
        <v>200</v>
      </c>
      <c r="D161" s="91">
        <v>0.13</v>
      </c>
      <c r="E161" s="92">
        <v>0.04</v>
      </c>
      <c r="F161" s="93">
        <v>27.3</v>
      </c>
      <c r="G161" s="52">
        <f t="shared" si="37"/>
        <v>110.08</v>
      </c>
      <c r="H161" s="68" t="s">
        <v>117</v>
      </c>
      <c r="I161" s="8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</row>
    <row r="162" s="1" customFormat="1" customHeight="1" spans="1:58">
      <c r="A162" s="126" t="s">
        <v>25</v>
      </c>
      <c r="B162" s="70"/>
      <c r="C162" s="214">
        <f>SUM(C157:C161)</f>
        <v>850</v>
      </c>
      <c r="D162" s="200">
        <f t="shared" ref="D162:G162" si="38">SUM(D157:D161)</f>
        <v>16.6</v>
      </c>
      <c r="E162" s="201">
        <f t="shared" si="38"/>
        <v>11.95</v>
      </c>
      <c r="F162" s="202">
        <f t="shared" si="38"/>
        <v>74.39</v>
      </c>
      <c r="G162" s="203">
        <f t="shared" si="38"/>
        <v>471.51</v>
      </c>
      <c r="H162" s="76"/>
      <c r="I162" s="8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</row>
    <row r="163" s="1" customFormat="1" customHeight="1" spans="1:58">
      <c r="A163" s="128" t="s">
        <v>40</v>
      </c>
      <c r="B163" s="129"/>
      <c r="C163" s="215">
        <f>C162+C155</f>
        <v>1470</v>
      </c>
      <c r="D163" s="96">
        <f t="shared" ref="D163:G163" si="39">D162+D155</f>
        <v>46.14</v>
      </c>
      <c r="E163" s="97">
        <f t="shared" si="39"/>
        <v>26.92</v>
      </c>
      <c r="F163" s="98">
        <f t="shared" si="39"/>
        <v>146.8</v>
      </c>
      <c r="G163" s="99">
        <f t="shared" si="39"/>
        <v>1014.04</v>
      </c>
      <c r="H163" s="76"/>
      <c r="I163" s="153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</row>
    <row r="164" s="1" customFormat="1" customHeight="1" spans="1:58">
      <c r="A164" s="100"/>
      <c r="B164" s="101"/>
      <c r="C164" s="106"/>
      <c r="D164" s="171"/>
      <c r="E164" s="171"/>
      <c r="F164" s="171"/>
      <c r="G164" s="171"/>
      <c r="H164" s="76"/>
      <c r="I164" s="8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</row>
    <row r="165" ht="17.25" customHeight="1" spans="1:17">
      <c r="A165" s="134"/>
      <c r="B165" s="109" t="s">
        <v>75</v>
      </c>
      <c r="C165" s="109"/>
      <c r="D165" s="109"/>
      <c r="E165" s="109"/>
      <c r="F165" s="109"/>
      <c r="G165" s="109"/>
      <c r="H165" s="76"/>
      <c r="I165" s="8"/>
      <c r="J165" s="7"/>
      <c r="K165" s="3"/>
      <c r="L165" s="3"/>
      <c r="M165" s="3"/>
      <c r="N165" s="3"/>
      <c r="O165" s="3"/>
      <c r="P165" s="3"/>
      <c r="Q165" s="3"/>
    </row>
    <row r="166" ht="17.25" customHeight="1" spans="1:17">
      <c r="A166" s="172" t="s">
        <v>14</v>
      </c>
      <c r="B166" s="173"/>
      <c r="C166" s="110"/>
      <c r="D166" s="174"/>
      <c r="E166" s="174"/>
      <c r="F166" s="174"/>
      <c r="G166" s="174"/>
      <c r="H166" s="81"/>
      <c r="I166" s="8"/>
      <c r="J166" s="7"/>
      <c r="K166" s="3"/>
      <c r="L166" s="3"/>
      <c r="M166" s="3"/>
      <c r="N166" s="3"/>
      <c r="O166" s="3"/>
      <c r="P166" s="3"/>
      <c r="Q166" s="3"/>
    </row>
    <row r="167" s="1" customFormat="1" customHeight="1" spans="1:58">
      <c r="A167" s="196"/>
      <c r="B167" s="176" t="s">
        <v>193</v>
      </c>
      <c r="C167" s="83">
        <v>100</v>
      </c>
      <c r="D167" s="84">
        <v>0.1</v>
      </c>
      <c r="E167" s="85">
        <v>0.03</v>
      </c>
      <c r="F167" s="86">
        <v>1.1</v>
      </c>
      <c r="G167" s="52">
        <f t="shared" ref="G167:G172" si="40">(D167*4)+(E167*9)+(F167*4)</f>
        <v>5.07</v>
      </c>
      <c r="H167" s="197" t="s">
        <v>63</v>
      </c>
      <c r="I167" s="8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  <c r="AS167" s="152"/>
      <c r="AT167" s="152"/>
      <c r="AU167" s="152"/>
      <c r="AV167" s="152"/>
      <c r="AW167" s="152"/>
      <c r="AX167" s="152"/>
      <c r="AY167" s="152"/>
      <c r="AZ167" s="152"/>
      <c r="BA167" s="152"/>
      <c r="BB167" s="152"/>
      <c r="BC167" s="152"/>
      <c r="BD167" s="152"/>
      <c r="BE167" s="152"/>
      <c r="BF167" s="152"/>
    </row>
    <row r="168" s="1" customFormat="1" customHeight="1" spans="1:58">
      <c r="A168" s="61"/>
      <c r="B168" s="55" t="s">
        <v>198</v>
      </c>
      <c r="C168" s="56">
        <v>100</v>
      </c>
      <c r="D168" s="57">
        <v>12.27</v>
      </c>
      <c r="E168" s="58">
        <v>12.81</v>
      </c>
      <c r="F168" s="59">
        <v>11.97</v>
      </c>
      <c r="G168" s="52">
        <f t="shared" si="40"/>
        <v>212.25</v>
      </c>
      <c r="H168" s="62" t="s">
        <v>130</v>
      </c>
      <c r="I168" s="8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2"/>
      <c r="AU168" s="152"/>
      <c r="AV168" s="15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</row>
    <row r="169" s="1" customFormat="1" customHeight="1" spans="1:58">
      <c r="A169" s="61"/>
      <c r="B169" s="55" t="s">
        <v>93</v>
      </c>
      <c r="C169" s="56">
        <v>200</v>
      </c>
      <c r="D169" s="57">
        <v>8.69</v>
      </c>
      <c r="E169" s="58">
        <v>2.28</v>
      </c>
      <c r="F169" s="59">
        <v>39.4</v>
      </c>
      <c r="G169" s="52">
        <f t="shared" si="40"/>
        <v>212.88</v>
      </c>
      <c r="H169" s="62" t="s">
        <v>94</v>
      </c>
      <c r="I169" s="8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  <c r="AS169" s="152"/>
      <c r="AT169" s="152"/>
      <c r="AU169" s="152"/>
      <c r="AV169" s="152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</row>
    <row r="170" s="1" customFormat="1" customHeight="1" spans="1:58">
      <c r="A170" s="61"/>
      <c r="B170" s="55" t="s">
        <v>80</v>
      </c>
      <c r="C170" s="56">
        <v>200</v>
      </c>
      <c r="D170" s="57">
        <v>3.9</v>
      </c>
      <c r="E170" s="58">
        <v>3</v>
      </c>
      <c r="F170" s="59">
        <v>17.28</v>
      </c>
      <c r="G170" s="52">
        <f t="shared" si="40"/>
        <v>111.72</v>
      </c>
      <c r="H170" s="62" t="s">
        <v>120</v>
      </c>
      <c r="I170" s="8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  <c r="AS170" s="152"/>
      <c r="AT170" s="152"/>
      <c r="AU170" s="152"/>
      <c r="AV170" s="152"/>
      <c r="AW170" s="152"/>
      <c r="AX170" s="152"/>
      <c r="AY170" s="152"/>
      <c r="AZ170" s="152"/>
      <c r="BA170" s="152"/>
      <c r="BB170" s="152"/>
      <c r="BC170" s="152"/>
      <c r="BD170" s="152"/>
      <c r="BE170" s="152"/>
      <c r="BF170" s="152"/>
    </row>
    <row r="171" s="1" customFormat="1" ht="27.75" customHeight="1" spans="1:58">
      <c r="A171" s="61"/>
      <c r="B171" s="137" t="s">
        <v>174</v>
      </c>
      <c r="C171" s="56" t="s">
        <v>175</v>
      </c>
      <c r="D171" s="57">
        <v>0.08</v>
      </c>
      <c r="E171" s="58">
        <v>0</v>
      </c>
      <c r="F171" s="59">
        <v>12</v>
      </c>
      <c r="G171" s="52">
        <f t="shared" si="40"/>
        <v>48.32</v>
      </c>
      <c r="H171" s="62" t="s">
        <v>24</v>
      </c>
      <c r="I171" s="8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  <c r="AS171" s="152"/>
      <c r="AT171" s="152"/>
      <c r="AU171" s="152"/>
      <c r="AV171" s="152"/>
      <c r="AW171" s="152"/>
      <c r="AX171" s="152"/>
      <c r="AY171" s="152"/>
      <c r="AZ171" s="152"/>
      <c r="BA171" s="152"/>
      <c r="BB171" s="152"/>
      <c r="BC171" s="152"/>
      <c r="BD171" s="152"/>
      <c r="BE171" s="152"/>
      <c r="BF171" s="152"/>
    </row>
    <row r="172" s="1" customFormat="1" customHeight="1" spans="1:58">
      <c r="A172" s="88"/>
      <c r="B172" s="89" t="s">
        <v>23</v>
      </c>
      <c r="C172" s="194">
        <v>50</v>
      </c>
      <c r="D172" s="91">
        <v>3.04</v>
      </c>
      <c r="E172" s="92">
        <v>0.36</v>
      </c>
      <c r="F172" s="93">
        <v>18.48</v>
      </c>
      <c r="G172" s="52">
        <f t="shared" si="40"/>
        <v>89.32</v>
      </c>
      <c r="H172" s="68" t="s">
        <v>24</v>
      </c>
      <c r="I172" s="7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  <c r="AS172" s="152"/>
      <c r="AT172" s="152"/>
      <c r="AU172" s="152"/>
      <c r="AV172" s="152"/>
      <c r="AW172" s="152"/>
      <c r="AX172" s="152"/>
      <c r="AY172" s="152"/>
      <c r="AZ172" s="152"/>
      <c r="BA172" s="152"/>
      <c r="BB172" s="152"/>
      <c r="BC172" s="152"/>
      <c r="BD172" s="152"/>
      <c r="BE172" s="152"/>
      <c r="BF172" s="152"/>
    </row>
    <row r="173" s="1" customFormat="1" customHeight="1" spans="1:58">
      <c r="A173" s="120" t="s">
        <v>25</v>
      </c>
      <c r="B173" s="141"/>
      <c r="C173" s="209">
        <f>SUM(C167:C172)+40</f>
        <v>690</v>
      </c>
      <c r="D173" s="143">
        <f t="shared" ref="D173:G173" si="41">SUM(D167:D172)</f>
        <v>28.08</v>
      </c>
      <c r="E173" s="144">
        <f t="shared" si="41"/>
        <v>18.48</v>
      </c>
      <c r="F173" s="145">
        <f t="shared" si="41"/>
        <v>100.23</v>
      </c>
      <c r="G173" s="146">
        <f t="shared" si="41"/>
        <v>679.56</v>
      </c>
      <c r="H173" s="76"/>
      <c r="I173" s="153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52"/>
      <c r="AU173" s="152"/>
      <c r="AV173" s="152"/>
      <c r="AW173" s="152"/>
      <c r="AX173" s="152"/>
      <c r="AY173" s="152"/>
      <c r="AZ173" s="152"/>
      <c r="BA173" s="152"/>
      <c r="BB173" s="152"/>
      <c r="BC173" s="152"/>
      <c r="BD173" s="152"/>
      <c r="BE173" s="152"/>
      <c r="BF173" s="152"/>
    </row>
    <row r="174" ht="17.25" customHeight="1" spans="1:17">
      <c r="A174" s="147" t="s">
        <v>26</v>
      </c>
      <c r="B174" s="124"/>
      <c r="C174" s="124"/>
      <c r="D174" s="79"/>
      <c r="E174" s="79"/>
      <c r="F174" s="80"/>
      <c r="G174" s="80"/>
      <c r="H174" s="76"/>
      <c r="I174" s="8"/>
      <c r="J174" s="153"/>
      <c r="K174" s="3"/>
      <c r="L174" s="3"/>
      <c r="M174" s="3"/>
      <c r="N174" s="3"/>
      <c r="O174" s="3"/>
      <c r="P174" s="3"/>
      <c r="Q174" s="3"/>
    </row>
    <row r="175" s="1" customFormat="1" customHeight="1" spans="1:58">
      <c r="A175" s="196"/>
      <c r="B175" s="82" t="s">
        <v>96</v>
      </c>
      <c r="C175" s="83">
        <v>250</v>
      </c>
      <c r="D175" s="84">
        <v>4.82</v>
      </c>
      <c r="E175" s="85">
        <v>4.9</v>
      </c>
      <c r="F175" s="86">
        <v>12.72</v>
      </c>
      <c r="G175" s="52">
        <f t="shared" ref="G175:G179" si="42">(D175*4)+(E175*9)+(F175*4)</f>
        <v>114.26</v>
      </c>
      <c r="H175" s="197" t="s">
        <v>97</v>
      </c>
      <c r="I175" s="8" t="s">
        <v>199</v>
      </c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2"/>
      <c r="AL175" s="152"/>
      <c r="AM175" s="152"/>
      <c r="AN175" s="152"/>
      <c r="AO175" s="152"/>
      <c r="AP175" s="152"/>
      <c r="AQ175" s="152"/>
      <c r="AR175" s="152"/>
      <c r="AS175" s="152"/>
      <c r="AT175" s="152"/>
      <c r="AU175" s="152"/>
      <c r="AV175" s="152"/>
      <c r="AW175" s="152"/>
      <c r="AX175" s="152"/>
      <c r="AY175" s="152"/>
      <c r="AZ175" s="152"/>
      <c r="BA175" s="152"/>
      <c r="BB175" s="152"/>
      <c r="BC175" s="152"/>
      <c r="BD175" s="152"/>
      <c r="BE175" s="152"/>
      <c r="BF175" s="152"/>
    </row>
    <row r="176" s="1" customFormat="1" customHeight="1" spans="1:58">
      <c r="A176" s="61"/>
      <c r="B176" s="55" t="s">
        <v>200</v>
      </c>
      <c r="C176" s="56">
        <v>250</v>
      </c>
      <c r="D176" s="57">
        <v>12.6</v>
      </c>
      <c r="E176" s="58">
        <v>10.3</v>
      </c>
      <c r="F176" s="59">
        <v>20.37</v>
      </c>
      <c r="G176" s="52">
        <f t="shared" si="42"/>
        <v>224.58</v>
      </c>
      <c r="H176" s="62" t="s">
        <v>133</v>
      </c>
      <c r="I176" s="8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  <c r="AZ176" s="152"/>
      <c r="BA176" s="152"/>
      <c r="BB176" s="152"/>
      <c r="BC176" s="152"/>
      <c r="BD176" s="152"/>
      <c r="BE176" s="152"/>
      <c r="BF176" s="152"/>
    </row>
    <row r="177" s="1" customFormat="1" customHeight="1" spans="1:58">
      <c r="A177" s="61"/>
      <c r="B177" s="55" t="s">
        <v>54</v>
      </c>
      <c r="C177" s="56">
        <v>100</v>
      </c>
      <c r="D177" s="57">
        <v>0.8</v>
      </c>
      <c r="E177" s="58">
        <v>0.05</v>
      </c>
      <c r="F177" s="59">
        <v>0.85</v>
      </c>
      <c r="G177" s="52">
        <f t="shared" si="42"/>
        <v>7.05</v>
      </c>
      <c r="H177" s="62" t="s">
        <v>63</v>
      </c>
      <c r="I177" s="8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</row>
    <row r="178" s="1" customFormat="1" customHeight="1" spans="1:58">
      <c r="A178" s="61"/>
      <c r="B178" s="55" t="s">
        <v>36</v>
      </c>
      <c r="C178" s="56" t="s">
        <v>166</v>
      </c>
      <c r="D178" s="57">
        <v>3.16</v>
      </c>
      <c r="E178" s="58">
        <v>0.4</v>
      </c>
      <c r="F178" s="59">
        <v>19.6</v>
      </c>
      <c r="G178" s="52">
        <f t="shared" si="42"/>
        <v>94.64</v>
      </c>
      <c r="H178" s="62" t="s">
        <v>24</v>
      </c>
      <c r="I178" s="8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2"/>
      <c r="AY178" s="152"/>
      <c r="AZ178" s="152"/>
      <c r="BA178" s="152"/>
      <c r="BB178" s="152"/>
      <c r="BC178" s="152"/>
      <c r="BD178" s="152"/>
      <c r="BE178" s="152"/>
      <c r="BF178" s="152"/>
    </row>
    <row r="179" s="1" customFormat="1" customHeight="1" spans="1:58">
      <c r="A179" s="88"/>
      <c r="B179" s="89" t="s">
        <v>201</v>
      </c>
      <c r="C179" s="90">
        <v>200</v>
      </c>
      <c r="D179" s="91">
        <v>0.43</v>
      </c>
      <c r="E179" s="92">
        <v>0.02</v>
      </c>
      <c r="F179" s="93">
        <v>27.6</v>
      </c>
      <c r="G179" s="52">
        <f t="shared" si="42"/>
        <v>112.3</v>
      </c>
      <c r="H179" s="68" t="s">
        <v>134</v>
      </c>
      <c r="I179" s="8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52"/>
      <c r="AU179" s="152"/>
      <c r="AV179" s="152"/>
      <c r="AW179" s="152"/>
      <c r="AX179" s="152"/>
      <c r="AY179" s="152"/>
      <c r="AZ179" s="152"/>
      <c r="BA179" s="152"/>
      <c r="BB179" s="152"/>
      <c r="BC179" s="152"/>
      <c r="BD179" s="152"/>
      <c r="BE179" s="152"/>
      <c r="BF179" s="152"/>
    </row>
    <row r="180" s="1" customFormat="1" customHeight="1" spans="1:58">
      <c r="A180" s="126" t="s">
        <v>25</v>
      </c>
      <c r="B180" s="70"/>
      <c r="C180" s="182">
        <f>SUM(C175:C179)+100</f>
        <v>900</v>
      </c>
      <c r="D180" s="72">
        <f t="shared" ref="D180:G180" si="43">SUM(D175:D179)</f>
        <v>21.81</v>
      </c>
      <c r="E180" s="73">
        <f t="shared" si="43"/>
        <v>15.67</v>
      </c>
      <c r="F180" s="74">
        <f t="shared" si="43"/>
        <v>81.14</v>
      </c>
      <c r="G180" s="75">
        <f t="shared" si="43"/>
        <v>552.83</v>
      </c>
      <c r="H180" s="76"/>
      <c r="I180" s="8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52"/>
      <c r="AU180" s="152"/>
      <c r="AV180" s="152"/>
      <c r="AW180" s="152"/>
      <c r="AX180" s="152"/>
      <c r="AY180" s="152"/>
      <c r="AZ180" s="152"/>
      <c r="BA180" s="152"/>
      <c r="BB180" s="152"/>
      <c r="BC180" s="152"/>
      <c r="BD180" s="152"/>
      <c r="BE180" s="152"/>
      <c r="BF180" s="152"/>
    </row>
    <row r="181" s="1" customFormat="1" customHeight="1" spans="1:58">
      <c r="A181" s="128" t="s">
        <v>40</v>
      </c>
      <c r="B181" s="129"/>
      <c r="C181" s="95">
        <f>C180+C173</f>
        <v>1590</v>
      </c>
      <c r="D181" s="96">
        <f t="shared" ref="D181:G181" si="44">D180+D173</f>
        <v>49.89</v>
      </c>
      <c r="E181" s="97">
        <f t="shared" si="44"/>
        <v>34.15</v>
      </c>
      <c r="F181" s="98">
        <f t="shared" si="44"/>
        <v>181.37</v>
      </c>
      <c r="G181" s="99">
        <f t="shared" si="44"/>
        <v>1232.39</v>
      </c>
      <c r="H181" s="76"/>
      <c r="I181" s="8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152"/>
      <c r="AR181" s="152"/>
      <c r="AS181" s="152"/>
      <c r="AT181" s="152"/>
      <c r="AU181" s="152"/>
      <c r="AV181" s="152"/>
      <c r="AW181" s="152"/>
      <c r="AX181" s="152"/>
      <c r="AY181" s="152"/>
      <c r="AZ181" s="152"/>
      <c r="BA181" s="152"/>
      <c r="BB181" s="152"/>
      <c r="BC181" s="152"/>
      <c r="BD181" s="152"/>
      <c r="BE181" s="152"/>
      <c r="BF181" s="152"/>
    </row>
    <row r="182" s="1" customFormat="1" customHeight="1" spans="1:58">
      <c r="A182" s="100"/>
      <c r="B182" s="101"/>
      <c r="C182" s="106"/>
      <c r="D182" s="171"/>
      <c r="E182" s="171"/>
      <c r="F182" s="171"/>
      <c r="G182" s="171"/>
      <c r="H182" s="76"/>
      <c r="I182" s="7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52"/>
      <c r="AU182" s="152"/>
      <c r="AV182" s="152"/>
      <c r="AW182" s="152"/>
      <c r="AX182" s="152"/>
      <c r="AY182" s="152"/>
      <c r="AZ182" s="152"/>
      <c r="BA182" s="152"/>
      <c r="BB182" s="152"/>
      <c r="BC182" s="152"/>
      <c r="BD182" s="152"/>
      <c r="BE182" s="152"/>
      <c r="BF182" s="152"/>
    </row>
    <row r="183" ht="17.25" customHeight="1" spans="1:17">
      <c r="A183" s="134"/>
      <c r="B183" s="109" t="s">
        <v>90</v>
      </c>
      <c r="C183" s="109"/>
      <c r="D183" s="109"/>
      <c r="E183" s="109"/>
      <c r="F183" s="109"/>
      <c r="G183" s="109"/>
      <c r="H183" s="76"/>
      <c r="I183" s="7"/>
      <c r="J183" s="7"/>
      <c r="K183" s="3"/>
      <c r="L183" s="3"/>
      <c r="M183" s="3"/>
      <c r="N183" s="3"/>
      <c r="O183" s="3"/>
      <c r="P183" s="3"/>
      <c r="Q183" s="3"/>
    </row>
    <row r="184" ht="17.25" customHeight="1" spans="1:17">
      <c r="A184" s="172" t="s">
        <v>14</v>
      </c>
      <c r="B184" s="173"/>
      <c r="C184" s="110"/>
      <c r="D184" s="174"/>
      <c r="E184" s="174"/>
      <c r="F184" s="174"/>
      <c r="G184" s="174"/>
      <c r="H184" s="76"/>
      <c r="I184" s="8"/>
      <c r="J184" s="7"/>
      <c r="K184" s="3"/>
      <c r="L184" s="3"/>
      <c r="M184" s="3"/>
      <c r="N184" s="3"/>
      <c r="O184" s="3"/>
      <c r="P184" s="3"/>
      <c r="Q184" s="3"/>
    </row>
    <row r="185" s="1" customFormat="1" customHeight="1" spans="1:58">
      <c r="A185" s="207"/>
      <c r="B185" s="82" t="s">
        <v>135</v>
      </c>
      <c r="C185" s="83">
        <v>205</v>
      </c>
      <c r="D185" s="84">
        <v>7.56</v>
      </c>
      <c r="E185" s="85">
        <v>8.14</v>
      </c>
      <c r="F185" s="86">
        <v>34.25</v>
      </c>
      <c r="G185" s="52">
        <f t="shared" ref="G185:G190" si="45">(D185*4)+(E185*9)+(F185*4)</f>
        <v>240.5</v>
      </c>
      <c r="H185" s="87" t="s">
        <v>136</v>
      </c>
      <c r="I185" s="8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  <c r="AA185" s="152"/>
      <c r="AB185" s="152"/>
      <c r="AC185" s="152"/>
      <c r="AD185" s="152"/>
      <c r="AE185" s="152"/>
      <c r="AF185" s="152"/>
      <c r="AG185" s="152"/>
      <c r="AH185" s="152"/>
      <c r="AI185" s="152"/>
      <c r="AJ185" s="152"/>
      <c r="AK185" s="152"/>
      <c r="AL185" s="152"/>
      <c r="AM185" s="152"/>
      <c r="AN185" s="152"/>
      <c r="AO185" s="152"/>
      <c r="AP185" s="152"/>
      <c r="AQ185" s="152"/>
      <c r="AR185" s="152"/>
      <c r="AS185" s="152"/>
      <c r="AT185" s="152"/>
      <c r="AU185" s="152"/>
      <c r="AV185" s="152"/>
      <c r="AW185" s="152"/>
      <c r="AX185" s="152"/>
      <c r="AY185" s="152"/>
      <c r="AZ185" s="152"/>
      <c r="BA185" s="152"/>
      <c r="BB185" s="152"/>
      <c r="BC185" s="152"/>
      <c r="BD185" s="152"/>
      <c r="BE185" s="152"/>
      <c r="BF185" s="152"/>
    </row>
    <row r="186" s="1" customFormat="1" customHeight="1" spans="1:58">
      <c r="A186" s="61"/>
      <c r="B186" s="55" t="s">
        <v>137</v>
      </c>
      <c r="C186" s="56">
        <v>200</v>
      </c>
      <c r="D186" s="57">
        <v>0</v>
      </c>
      <c r="E186" s="58">
        <v>0</v>
      </c>
      <c r="F186" s="59">
        <v>11.98</v>
      </c>
      <c r="G186" s="52">
        <f t="shared" si="45"/>
        <v>47.92</v>
      </c>
      <c r="H186" s="62" t="s">
        <v>138</v>
      </c>
      <c r="I186" s="8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  <c r="AA186" s="152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52"/>
      <c r="AN186" s="152"/>
      <c r="AO186" s="152"/>
      <c r="AP186" s="152"/>
      <c r="AQ186" s="152"/>
      <c r="AR186" s="152"/>
      <c r="AS186" s="152"/>
      <c r="AT186" s="152"/>
      <c r="AU186" s="152"/>
      <c r="AV186" s="152"/>
      <c r="AW186" s="152"/>
      <c r="AX186" s="152"/>
      <c r="AY186" s="152"/>
      <c r="AZ186" s="152"/>
      <c r="BA186" s="152"/>
      <c r="BB186" s="152"/>
      <c r="BC186" s="152"/>
      <c r="BD186" s="152"/>
      <c r="BE186" s="152"/>
      <c r="BF186" s="152"/>
    </row>
    <row r="187" s="1" customFormat="1" customHeight="1" spans="1:58">
      <c r="A187" s="61"/>
      <c r="B187" s="55" t="s">
        <v>21</v>
      </c>
      <c r="C187" s="56">
        <v>10</v>
      </c>
      <c r="D187" s="57">
        <v>0.08</v>
      </c>
      <c r="E187" s="58">
        <v>7.25</v>
      </c>
      <c r="F187" s="59">
        <v>0.13</v>
      </c>
      <c r="G187" s="52">
        <f t="shared" si="45"/>
        <v>66.09</v>
      </c>
      <c r="H187" s="62" t="s">
        <v>139</v>
      </c>
      <c r="I187" s="8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  <c r="AS187" s="152"/>
      <c r="AT187" s="152"/>
      <c r="AU187" s="152"/>
      <c r="AV187" s="152"/>
      <c r="AW187" s="152"/>
      <c r="AX187" s="152"/>
      <c r="AY187" s="152"/>
      <c r="AZ187" s="152"/>
      <c r="BA187" s="152"/>
      <c r="BB187" s="152"/>
      <c r="BC187" s="152"/>
      <c r="BD187" s="152"/>
      <c r="BE187" s="152"/>
      <c r="BF187" s="152"/>
    </row>
    <row r="188" s="1" customFormat="1" customHeight="1" spans="1:58">
      <c r="A188" s="61"/>
      <c r="B188" s="55" t="s">
        <v>19</v>
      </c>
      <c r="C188" s="56">
        <v>10</v>
      </c>
      <c r="D188" s="57">
        <v>4.09</v>
      </c>
      <c r="E188" s="58">
        <v>4.6</v>
      </c>
      <c r="F188" s="59">
        <v>0.49</v>
      </c>
      <c r="G188" s="52">
        <f t="shared" si="45"/>
        <v>59.72</v>
      </c>
      <c r="H188" s="62" t="s">
        <v>140</v>
      </c>
      <c r="I188" s="8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  <c r="AS188" s="152"/>
      <c r="AT188" s="152"/>
      <c r="AU188" s="152"/>
      <c r="AV188" s="152"/>
      <c r="AW188" s="152"/>
      <c r="AX188" s="152"/>
      <c r="AY188" s="152"/>
      <c r="AZ188" s="152"/>
      <c r="BA188" s="152"/>
      <c r="BB188" s="152"/>
      <c r="BC188" s="152"/>
      <c r="BD188" s="152"/>
      <c r="BE188" s="152"/>
      <c r="BF188" s="152"/>
    </row>
    <row r="189" s="1" customFormat="1" customHeight="1" spans="1:58">
      <c r="A189" s="61"/>
      <c r="B189" s="55" t="s">
        <v>23</v>
      </c>
      <c r="C189" s="191">
        <v>50</v>
      </c>
      <c r="D189" s="57">
        <v>3.04</v>
      </c>
      <c r="E189" s="58">
        <v>0.36</v>
      </c>
      <c r="F189" s="59">
        <v>18.48</v>
      </c>
      <c r="G189" s="52">
        <f t="shared" si="45"/>
        <v>89.32</v>
      </c>
      <c r="H189" s="62" t="s">
        <v>24</v>
      </c>
      <c r="I189" s="8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  <c r="AS189" s="152"/>
      <c r="AT189" s="152"/>
      <c r="AU189" s="152"/>
      <c r="AV189" s="152"/>
      <c r="AW189" s="152"/>
      <c r="AX189" s="152"/>
      <c r="AY189" s="152"/>
      <c r="AZ189" s="152"/>
      <c r="BA189" s="152"/>
      <c r="BB189" s="152"/>
      <c r="BC189" s="152"/>
      <c r="BD189" s="152"/>
      <c r="BE189" s="152"/>
      <c r="BF189" s="152"/>
    </row>
    <row r="190" s="1" customFormat="1" customHeight="1" spans="1:58">
      <c r="A190" s="181"/>
      <c r="B190" s="89" t="s">
        <v>163</v>
      </c>
      <c r="C190" s="90">
        <v>150</v>
      </c>
      <c r="D190" s="91">
        <v>0.6</v>
      </c>
      <c r="E190" s="92">
        <v>0.6</v>
      </c>
      <c r="F190" s="93">
        <v>14.7</v>
      </c>
      <c r="G190" s="52">
        <f t="shared" si="45"/>
        <v>66.6</v>
      </c>
      <c r="H190" s="179" t="s">
        <v>24</v>
      </c>
      <c r="I190" s="8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  <c r="AS190" s="152"/>
      <c r="AT190" s="152"/>
      <c r="AU190" s="152"/>
      <c r="AV190" s="152"/>
      <c r="AW190" s="152"/>
      <c r="AX190" s="152"/>
      <c r="AY190" s="152"/>
      <c r="AZ190" s="152"/>
      <c r="BA190" s="152"/>
      <c r="BB190" s="152"/>
      <c r="BC190" s="152"/>
      <c r="BD190" s="152"/>
      <c r="BE190" s="152"/>
      <c r="BF190" s="152"/>
    </row>
    <row r="191" s="1" customFormat="1" customHeight="1" spans="1:58">
      <c r="A191" s="120" t="s">
        <v>25</v>
      </c>
      <c r="B191" s="141"/>
      <c r="C191" s="209">
        <f>SUM(C185:C190)</f>
        <v>625</v>
      </c>
      <c r="D191" s="143">
        <f t="shared" ref="D191:G191" si="46">SUM(D185:D190)</f>
        <v>15.37</v>
      </c>
      <c r="E191" s="144">
        <f t="shared" si="46"/>
        <v>20.95</v>
      </c>
      <c r="F191" s="145">
        <f t="shared" si="46"/>
        <v>80.03</v>
      </c>
      <c r="G191" s="146">
        <f t="shared" si="46"/>
        <v>570.15</v>
      </c>
      <c r="H191" s="76"/>
      <c r="I191" s="153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  <c r="AS191" s="152"/>
      <c r="AT191" s="152"/>
      <c r="AU191" s="152"/>
      <c r="AV191" s="152"/>
      <c r="AW191" s="152"/>
      <c r="AX191" s="152"/>
      <c r="AY191" s="152"/>
      <c r="AZ191" s="152"/>
      <c r="BA191" s="152"/>
      <c r="BB191" s="152"/>
      <c r="BC191" s="152"/>
      <c r="BD191" s="152"/>
      <c r="BE191" s="152"/>
      <c r="BF191" s="152"/>
    </row>
    <row r="192" ht="17.25" customHeight="1" spans="1:17">
      <c r="A192" s="147" t="s">
        <v>26</v>
      </c>
      <c r="B192" s="124"/>
      <c r="C192" s="124"/>
      <c r="D192" s="79"/>
      <c r="E192" s="79"/>
      <c r="F192" s="80"/>
      <c r="G192" s="80"/>
      <c r="H192" s="76"/>
      <c r="I192" s="8"/>
      <c r="J192" s="153"/>
      <c r="K192" s="3"/>
      <c r="L192" s="3"/>
      <c r="M192" s="3"/>
      <c r="N192" s="3"/>
      <c r="O192" s="3"/>
      <c r="P192" s="3"/>
      <c r="Q192" s="3"/>
    </row>
    <row r="193" s="1" customFormat="1" customHeight="1" spans="1:58">
      <c r="A193" s="207"/>
      <c r="B193" s="82" t="s">
        <v>202</v>
      </c>
      <c r="C193" s="83">
        <v>250</v>
      </c>
      <c r="D193" s="84">
        <v>4.82</v>
      </c>
      <c r="E193" s="85">
        <v>4.9</v>
      </c>
      <c r="F193" s="86">
        <v>12.72</v>
      </c>
      <c r="G193" s="52">
        <f t="shared" ref="G193:G198" si="47">(D193*4)+(E193*9)+(F193*4)</f>
        <v>114.26</v>
      </c>
      <c r="H193" s="87" t="s">
        <v>67</v>
      </c>
      <c r="I193" s="8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2"/>
      <c r="BC193" s="152"/>
      <c r="BD193" s="152"/>
      <c r="BE193" s="152"/>
      <c r="BF193" s="152"/>
    </row>
    <row r="194" s="1" customFormat="1" customHeight="1" spans="1:58">
      <c r="A194" s="61"/>
      <c r="B194" s="55" t="s">
        <v>203</v>
      </c>
      <c r="C194" s="56">
        <v>100</v>
      </c>
      <c r="D194" s="57">
        <v>5.52</v>
      </c>
      <c r="E194" s="58">
        <v>5.27</v>
      </c>
      <c r="F194" s="59">
        <v>6.01</v>
      </c>
      <c r="G194" s="52">
        <f t="shared" si="47"/>
        <v>93.55</v>
      </c>
      <c r="H194" s="62" t="s">
        <v>143</v>
      </c>
      <c r="I194" s="8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  <c r="AS194" s="152"/>
      <c r="AT194" s="152"/>
      <c r="AU194" s="152"/>
      <c r="AV194" s="152"/>
      <c r="AW194" s="152"/>
      <c r="AX194" s="152"/>
      <c r="AY194" s="152"/>
      <c r="AZ194" s="152"/>
      <c r="BA194" s="152"/>
      <c r="BB194" s="152"/>
      <c r="BC194" s="152"/>
      <c r="BD194" s="152"/>
      <c r="BE194" s="152"/>
      <c r="BF194" s="152"/>
    </row>
    <row r="195" s="1" customFormat="1" customHeight="1" spans="1:58">
      <c r="A195" s="61"/>
      <c r="B195" s="55" t="s">
        <v>144</v>
      </c>
      <c r="C195" s="56">
        <v>200</v>
      </c>
      <c r="D195" s="57">
        <v>10.2</v>
      </c>
      <c r="E195" s="58">
        <v>7.3</v>
      </c>
      <c r="F195" s="59">
        <v>46.3</v>
      </c>
      <c r="G195" s="52">
        <f t="shared" si="47"/>
        <v>291.7</v>
      </c>
      <c r="H195" s="62" t="s">
        <v>94</v>
      </c>
      <c r="I195" s="8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  <c r="AS195" s="152"/>
      <c r="AT195" s="152"/>
      <c r="AU195" s="152"/>
      <c r="AV195" s="152"/>
      <c r="AW195" s="152"/>
      <c r="AX195" s="152"/>
      <c r="AY195" s="152"/>
      <c r="AZ195" s="152"/>
      <c r="BA195" s="152"/>
      <c r="BB195" s="152"/>
      <c r="BC195" s="152"/>
      <c r="BD195" s="152"/>
      <c r="BE195" s="152"/>
      <c r="BF195" s="152"/>
    </row>
    <row r="196" s="1" customFormat="1" customHeight="1" spans="1:58">
      <c r="A196" s="61"/>
      <c r="B196" s="55" t="s">
        <v>34</v>
      </c>
      <c r="C196" s="56">
        <v>100</v>
      </c>
      <c r="D196" s="57">
        <v>1</v>
      </c>
      <c r="E196" s="58">
        <v>4.5</v>
      </c>
      <c r="F196" s="59">
        <v>4.25</v>
      </c>
      <c r="G196" s="52">
        <f t="shared" si="47"/>
        <v>61.5</v>
      </c>
      <c r="H196" s="62" t="s">
        <v>145</v>
      </c>
      <c r="I196" s="8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2"/>
      <c r="BD196" s="152"/>
      <c r="BE196" s="152"/>
      <c r="BF196" s="152"/>
    </row>
    <row r="197" s="1" customFormat="1" customHeight="1" spans="1:58">
      <c r="A197" s="61"/>
      <c r="B197" s="55" t="s">
        <v>36</v>
      </c>
      <c r="C197" s="56" t="s">
        <v>166</v>
      </c>
      <c r="D197" s="57">
        <v>3.95</v>
      </c>
      <c r="E197" s="58">
        <v>0.5</v>
      </c>
      <c r="F197" s="59">
        <v>24.15</v>
      </c>
      <c r="G197" s="52">
        <f t="shared" si="47"/>
        <v>116.9</v>
      </c>
      <c r="H197" s="62" t="s">
        <v>24</v>
      </c>
      <c r="I197" s="8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  <c r="AS197" s="152"/>
      <c r="AT197" s="152"/>
      <c r="AU197" s="152"/>
      <c r="AV197" s="152"/>
      <c r="AW197" s="152"/>
      <c r="AX197" s="152"/>
      <c r="AY197" s="152"/>
      <c r="AZ197" s="152"/>
      <c r="BA197" s="152"/>
      <c r="BB197" s="152"/>
      <c r="BC197" s="152"/>
      <c r="BD197" s="152"/>
      <c r="BE197" s="152"/>
      <c r="BF197" s="152"/>
    </row>
    <row r="198" s="1" customFormat="1" customHeight="1" spans="1:58">
      <c r="A198" s="88"/>
      <c r="B198" s="89" t="s">
        <v>88</v>
      </c>
      <c r="C198" s="90">
        <v>200</v>
      </c>
      <c r="D198" s="91">
        <v>0.14</v>
      </c>
      <c r="E198" s="92">
        <v>0.04</v>
      </c>
      <c r="F198" s="93">
        <v>27.3</v>
      </c>
      <c r="G198" s="52">
        <f t="shared" si="47"/>
        <v>110.12</v>
      </c>
      <c r="H198" s="68" t="s">
        <v>146</v>
      </c>
      <c r="I198" s="8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  <c r="AS198" s="152"/>
      <c r="AT198" s="152"/>
      <c r="AU198" s="152"/>
      <c r="AV198" s="152"/>
      <c r="AW198" s="152"/>
      <c r="AX198" s="152"/>
      <c r="AY198" s="152"/>
      <c r="AZ198" s="152"/>
      <c r="BA198" s="152"/>
      <c r="BB198" s="152"/>
      <c r="BC198" s="152"/>
      <c r="BD198" s="152"/>
      <c r="BE198" s="152"/>
      <c r="BF198" s="152"/>
    </row>
    <row r="199" s="1" customFormat="1" customHeight="1" spans="1:58">
      <c r="A199" s="126" t="s">
        <v>25</v>
      </c>
      <c r="B199" s="70"/>
      <c r="C199" s="182">
        <f>SUM(C193:C198)+100</f>
        <v>950</v>
      </c>
      <c r="D199" s="200">
        <f>SUM(D193:D198)</f>
        <v>25.63</v>
      </c>
      <c r="E199" s="201">
        <f t="shared" ref="E199:G199" si="48">SUM(E193:E198)</f>
        <v>22.51</v>
      </c>
      <c r="F199" s="202">
        <f t="shared" si="48"/>
        <v>120.73</v>
      </c>
      <c r="G199" s="203">
        <f t="shared" si="48"/>
        <v>788.03</v>
      </c>
      <c r="H199" s="76"/>
      <c r="I199" s="8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  <c r="AS199" s="152"/>
      <c r="AT199" s="152"/>
      <c r="AU199" s="152"/>
      <c r="AV199" s="152"/>
      <c r="AW199" s="152"/>
      <c r="AX199" s="152"/>
      <c r="AY199" s="152"/>
      <c r="AZ199" s="152"/>
      <c r="BA199" s="152"/>
      <c r="BB199" s="152"/>
      <c r="BC199" s="152"/>
      <c r="BD199" s="152"/>
      <c r="BE199" s="152"/>
      <c r="BF199" s="152"/>
    </row>
    <row r="200" s="1" customFormat="1" customHeight="1" spans="1:58">
      <c r="A200" s="128" t="s">
        <v>40</v>
      </c>
      <c r="B200" s="129"/>
      <c r="C200" s="95">
        <f>C199+C191</f>
        <v>1575</v>
      </c>
      <c r="D200" s="96">
        <f t="shared" ref="D200:G200" si="49">D199+D191</f>
        <v>41</v>
      </c>
      <c r="E200" s="97">
        <f t="shared" si="49"/>
        <v>43.46</v>
      </c>
      <c r="F200" s="98">
        <f t="shared" si="49"/>
        <v>200.76</v>
      </c>
      <c r="G200" s="99">
        <f t="shared" si="49"/>
        <v>1358.18</v>
      </c>
      <c r="H200" s="76"/>
      <c r="I200" s="8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  <c r="AS200" s="152"/>
      <c r="AT200" s="152"/>
      <c r="AU200" s="152"/>
      <c r="AV200" s="152"/>
      <c r="AW200" s="152"/>
      <c r="AX200" s="152"/>
      <c r="AY200" s="152"/>
      <c r="AZ200" s="152"/>
      <c r="BA200" s="152"/>
      <c r="BB200" s="152"/>
      <c r="BC200" s="152"/>
      <c r="BD200" s="152"/>
      <c r="BE200" s="152"/>
      <c r="BF200" s="152"/>
    </row>
    <row r="201" s="1" customFormat="1" customHeight="1" spans="1:58">
      <c r="A201" s="100"/>
      <c r="B201" s="101"/>
      <c r="C201" s="106"/>
      <c r="D201" s="171"/>
      <c r="E201" s="171"/>
      <c r="F201" s="171"/>
      <c r="G201" s="171"/>
      <c r="H201" s="76"/>
      <c r="I201" s="8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152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152"/>
      <c r="BD201" s="152"/>
      <c r="BE201" s="152"/>
      <c r="BF201" s="152"/>
    </row>
    <row r="202" s="1" customFormat="1" customHeight="1" spans="1:65">
      <c r="A202" s="216" t="s">
        <v>147</v>
      </c>
      <c r="B202" s="110"/>
      <c r="C202" s="217"/>
      <c r="D202" s="218">
        <f t="shared" ref="D202:F202" si="50">D200+D181+D163+D146+D128+D109+D90+D72+D52+D34</f>
        <v>565.351166666667</v>
      </c>
      <c r="E202" s="218">
        <f t="shared" si="50"/>
        <v>462.355</v>
      </c>
      <c r="F202" s="218">
        <f t="shared" si="50"/>
        <v>2699.94875</v>
      </c>
      <c r="G202" s="219">
        <f t="shared" ref="G202" si="51">(D202*4)+(E202*9)+(F202*4)</f>
        <v>17222.3946666667</v>
      </c>
      <c r="H202" s="220"/>
      <c r="I202" s="223"/>
      <c r="J202" s="223"/>
      <c r="K202" s="223"/>
      <c r="L202" s="223"/>
      <c r="M202" s="223"/>
      <c r="N202" s="223"/>
      <c r="O202" s="223"/>
      <c r="P202" s="8"/>
      <c r="Q202" s="152"/>
      <c r="R202" s="152"/>
      <c r="S202" s="152"/>
      <c r="T202" s="152"/>
      <c r="U202" s="152"/>
      <c r="V202" s="152"/>
      <c r="W202" s="152"/>
      <c r="X202" s="152"/>
      <c r="Y202" s="152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52"/>
      <c r="AM202" s="152"/>
      <c r="AN202" s="152"/>
      <c r="AO202" s="152"/>
      <c r="AP202" s="152"/>
      <c r="AQ202" s="152"/>
      <c r="AR202" s="152"/>
      <c r="AS202" s="152"/>
      <c r="AT202" s="152"/>
      <c r="AU202" s="152"/>
      <c r="AV202" s="152"/>
      <c r="AW202" s="152"/>
      <c r="AX202" s="152"/>
      <c r="AY202" s="152"/>
      <c r="AZ202" s="152"/>
      <c r="BA202" s="152"/>
      <c r="BB202" s="152"/>
      <c r="BC202" s="152"/>
      <c r="BD202" s="152"/>
      <c r="BE202" s="152"/>
      <c r="BF202" s="152"/>
      <c r="BG202" s="152"/>
      <c r="BH202" s="152"/>
      <c r="BI202" s="152"/>
      <c r="BJ202" s="152"/>
      <c r="BK202" s="152"/>
      <c r="BL202" s="152"/>
      <c r="BM202" s="152"/>
    </row>
    <row r="203" s="1" customFormat="1" ht="7.5" customHeight="1" spans="1:65">
      <c r="A203" s="221"/>
      <c r="B203" s="136"/>
      <c r="C203" s="136"/>
      <c r="D203" s="222"/>
      <c r="E203" s="222"/>
      <c r="F203" s="222"/>
      <c r="G203" s="222"/>
      <c r="H203" s="223"/>
      <c r="I203" s="223"/>
      <c r="J203" s="223"/>
      <c r="K203" s="223"/>
      <c r="L203" s="223"/>
      <c r="M203" s="223"/>
      <c r="N203" s="223"/>
      <c r="O203" s="223"/>
      <c r="P203" s="8"/>
      <c r="Q203" s="152"/>
      <c r="R203" s="152"/>
      <c r="S203" s="152"/>
      <c r="T203" s="152"/>
      <c r="U203" s="152"/>
      <c r="V203" s="152"/>
      <c r="W203" s="152"/>
      <c r="X203" s="152"/>
      <c r="Y203" s="152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52"/>
      <c r="AM203" s="152"/>
      <c r="AN203" s="152"/>
      <c r="AO203" s="152"/>
      <c r="AP203" s="152"/>
      <c r="AQ203" s="152"/>
      <c r="AR203" s="152"/>
      <c r="AS203" s="152"/>
      <c r="AT203" s="152"/>
      <c r="AU203" s="152"/>
      <c r="AV203" s="152"/>
      <c r="AW203" s="152"/>
      <c r="AX203" s="152"/>
      <c r="AY203" s="152"/>
      <c r="AZ203" s="152"/>
      <c r="BA203" s="152"/>
      <c r="BB203" s="152"/>
      <c r="BC203" s="152"/>
      <c r="BD203" s="152"/>
      <c r="BE203" s="152"/>
      <c r="BF203" s="152"/>
      <c r="BG203" s="152"/>
      <c r="BH203" s="152"/>
      <c r="BI203" s="152"/>
      <c r="BJ203" s="152"/>
      <c r="BK203" s="152"/>
      <c r="BL203" s="152"/>
      <c r="BM203" s="152"/>
    </row>
    <row r="204" s="1" customFormat="1" ht="14.25" customHeight="1" spans="1:65">
      <c r="A204" s="224" t="s">
        <v>148</v>
      </c>
      <c r="B204" s="225"/>
      <c r="C204" s="226"/>
      <c r="D204" s="227"/>
      <c r="E204" s="227"/>
      <c r="F204" s="227"/>
      <c r="G204" s="227"/>
      <c r="H204" s="223"/>
      <c r="I204" s="223"/>
      <c r="J204" s="223"/>
      <c r="K204" s="223"/>
      <c r="L204" s="223"/>
      <c r="M204" s="223"/>
      <c r="N204" s="223"/>
      <c r="O204" s="223"/>
      <c r="P204" s="8"/>
      <c r="Q204" s="152"/>
      <c r="R204" s="152"/>
      <c r="S204" s="152"/>
      <c r="T204" s="152"/>
      <c r="U204" s="152"/>
      <c r="V204" s="152"/>
      <c r="W204" s="152"/>
      <c r="X204" s="152"/>
      <c r="Y204" s="152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152"/>
      <c r="AR204" s="152"/>
      <c r="AS204" s="152"/>
      <c r="AT204" s="152"/>
      <c r="AU204" s="152"/>
      <c r="AV204" s="152"/>
      <c r="AW204" s="152"/>
      <c r="AX204" s="152"/>
      <c r="AY204" s="152"/>
      <c r="AZ204" s="152"/>
      <c r="BA204" s="152"/>
      <c r="BB204" s="152"/>
      <c r="BC204" s="152"/>
      <c r="BD204" s="152"/>
      <c r="BE204" s="152"/>
      <c r="BF204" s="152"/>
      <c r="BG204" s="152"/>
      <c r="BH204" s="152"/>
      <c r="BI204" s="152"/>
      <c r="BJ204" s="152"/>
      <c r="BK204" s="152"/>
      <c r="BL204" s="152"/>
      <c r="BM204" s="152"/>
    </row>
    <row r="205" s="1" customFormat="1" ht="14.25" customHeight="1" spans="1:65">
      <c r="A205" s="224" t="s">
        <v>149</v>
      </c>
      <c r="B205" s="225"/>
      <c r="C205" s="226"/>
      <c r="D205" s="227"/>
      <c r="E205" s="227"/>
      <c r="F205" s="227"/>
      <c r="G205" s="227"/>
      <c r="H205" s="223"/>
      <c r="I205" s="223"/>
      <c r="J205" s="223"/>
      <c r="K205" s="223"/>
      <c r="L205" s="223"/>
      <c r="M205" s="223"/>
      <c r="N205" s="223"/>
      <c r="O205" s="223"/>
      <c r="P205" s="8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52"/>
      <c r="AQ205" s="152"/>
      <c r="AR205" s="152"/>
      <c r="AS205" s="152"/>
      <c r="AT205" s="152"/>
      <c r="AU205" s="152"/>
      <c r="AV205" s="152"/>
      <c r="AW205" s="152"/>
      <c r="AX205" s="152"/>
      <c r="AY205" s="152"/>
      <c r="AZ205" s="152"/>
      <c r="BA205" s="152"/>
      <c r="BB205" s="152"/>
      <c r="BC205" s="152"/>
      <c r="BD205" s="152"/>
      <c r="BE205" s="152"/>
      <c r="BF205" s="152"/>
      <c r="BG205" s="152"/>
      <c r="BH205" s="152"/>
      <c r="BI205" s="152"/>
      <c r="BJ205" s="152"/>
      <c r="BK205" s="152"/>
      <c r="BL205" s="152"/>
      <c r="BM205" s="152"/>
    </row>
    <row r="206" s="1" customFormat="1" ht="14.25" customHeight="1" spans="1:65">
      <c r="A206" s="224" t="s">
        <v>150</v>
      </c>
      <c r="B206" s="225"/>
      <c r="C206" s="226"/>
      <c r="D206" s="227"/>
      <c r="E206" s="227"/>
      <c r="F206" s="227"/>
      <c r="G206" s="227"/>
      <c r="H206" s="223"/>
      <c r="I206" s="223"/>
      <c r="J206" s="223"/>
      <c r="K206" s="223"/>
      <c r="L206" s="223"/>
      <c r="M206" s="223"/>
      <c r="N206" s="223"/>
      <c r="O206" s="223"/>
      <c r="P206" s="8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152"/>
      <c r="AR206" s="152"/>
      <c r="AS206" s="152"/>
      <c r="AT206" s="152"/>
      <c r="AU206" s="152"/>
      <c r="AV206" s="152"/>
      <c r="AW206" s="152"/>
      <c r="AX206" s="152"/>
      <c r="AY206" s="152"/>
      <c r="AZ206" s="152"/>
      <c r="BA206" s="152"/>
      <c r="BB206" s="152"/>
      <c r="BC206" s="152"/>
      <c r="BD206" s="152"/>
      <c r="BE206" s="152"/>
      <c r="BF206" s="152"/>
      <c r="BG206" s="152"/>
      <c r="BH206" s="152"/>
      <c r="BI206" s="152"/>
      <c r="BJ206" s="152"/>
      <c r="BK206" s="152"/>
      <c r="BL206" s="152"/>
      <c r="BM206" s="152"/>
    </row>
    <row r="207" s="1" customFormat="1" ht="14.25" customHeight="1" spans="1:65">
      <c r="A207" s="224" t="s">
        <v>151</v>
      </c>
      <c r="B207" s="225"/>
      <c r="C207" s="226"/>
      <c r="D207" s="227"/>
      <c r="E207" s="227"/>
      <c r="F207" s="227"/>
      <c r="G207" s="227"/>
      <c r="H207" s="223"/>
      <c r="I207" s="223"/>
      <c r="J207" s="223"/>
      <c r="K207" s="223"/>
      <c r="L207" s="223"/>
      <c r="M207" s="223"/>
      <c r="N207" s="223"/>
      <c r="O207" s="223"/>
      <c r="P207" s="8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  <c r="AS207" s="152"/>
      <c r="AT207" s="152"/>
      <c r="AU207" s="152"/>
      <c r="AV207" s="152"/>
      <c r="AW207" s="152"/>
      <c r="AX207" s="152"/>
      <c r="AY207" s="152"/>
      <c r="AZ207" s="152"/>
      <c r="BA207" s="152"/>
      <c r="BB207" s="152"/>
      <c r="BC207" s="152"/>
      <c r="BD207" s="152"/>
      <c r="BE207" s="152"/>
      <c r="BF207" s="152"/>
      <c r="BG207" s="152"/>
      <c r="BH207" s="152"/>
      <c r="BI207" s="152"/>
      <c r="BJ207" s="152"/>
      <c r="BK207" s="152"/>
      <c r="BL207" s="152"/>
      <c r="BM207" s="152"/>
    </row>
    <row r="208" s="1" customFormat="1" ht="14.25" customHeight="1" spans="1:65">
      <c r="A208" s="224" t="s">
        <v>152</v>
      </c>
      <c r="B208" s="225"/>
      <c r="C208" s="226"/>
      <c r="D208" s="227"/>
      <c r="E208" s="227"/>
      <c r="F208" s="227"/>
      <c r="G208" s="227"/>
      <c r="H208" s="6"/>
      <c r="I208" s="6"/>
      <c r="J208" s="6"/>
      <c r="K208" s="6"/>
      <c r="L208" s="6"/>
      <c r="M208" s="6"/>
      <c r="N208" s="6"/>
      <c r="O208" s="6"/>
      <c r="P208" s="8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  <c r="AA208" s="152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152"/>
      <c r="AR208" s="152"/>
      <c r="AS208" s="152"/>
      <c r="AT208" s="152"/>
      <c r="AU208" s="152"/>
      <c r="AV208" s="152"/>
      <c r="AW208" s="152"/>
      <c r="AX208" s="152"/>
      <c r="AY208" s="152"/>
      <c r="AZ208" s="152"/>
      <c r="BA208" s="152"/>
      <c r="BB208" s="152"/>
      <c r="BC208" s="152"/>
      <c r="BD208" s="152"/>
      <c r="BE208" s="152"/>
      <c r="BF208" s="152"/>
      <c r="BG208" s="152"/>
      <c r="BH208" s="152"/>
      <c r="BI208" s="152"/>
      <c r="BJ208" s="152"/>
      <c r="BK208" s="152"/>
      <c r="BL208" s="152"/>
      <c r="BM208" s="152"/>
    </row>
    <row r="209" s="1" customFormat="1" ht="14.25" customHeight="1" spans="1:65">
      <c r="A209" s="224" t="s">
        <v>153</v>
      </c>
      <c r="B209" s="225"/>
      <c r="C209" s="226"/>
      <c r="D209" s="227"/>
      <c r="E209" s="227"/>
      <c r="F209" s="227"/>
      <c r="G209" s="227"/>
      <c r="H209" s="6"/>
      <c r="I209" s="6"/>
      <c r="J209" s="6"/>
      <c r="K209" s="6"/>
      <c r="L209" s="6"/>
      <c r="M209" s="6"/>
      <c r="N209" s="6"/>
      <c r="O209" s="6"/>
      <c r="P209" s="8" t="s">
        <v>154</v>
      </c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  <c r="AS209" s="152"/>
      <c r="AT209" s="152"/>
      <c r="AU209" s="152"/>
      <c r="AV209" s="152"/>
      <c r="AW209" s="152"/>
      <c r="AX209" s="152"/>
      <c r="AY209" s="152"/>
      <c r="AZ209" s="152"/>
      <c r="BA209" s="152"/>
      <c r="BB209" s="152"/>
      <c r="BC209" s="152"/>
      <c r="BD209" s="152"/>
      <c r="BE209" s="152"/>
      <c r="BF209" s="152"/>
      <c r="BG209" s="152"/>
      <c r="BH209" s="152"/>
      <c r="BI209" s="152"/>
      <c r="BJ209" s="152"/>
      <c r="BK209" s="152"/>
      <c r="BL209" s="152"/>
      <c r="BM209" s="152"/>
    </row>
    <row r="210" customHeight="1" spans="16:16">
      <c r="P210" s="8"/>
    </row>
    <row r="211" customHeight="1" spans="16:16">
      <c r="P211" s="8"/>
    </row>
    <row r="212" customHeight="1" spans="16:16">
      <c r="P212" s="8"/>
    </row>
  </sheetData>
  <mergeCells count="53">
    <mergeCell ref="K2:P2"/>
    <mergeCell ref="J3:P3"/>
    <mergeCell ref="J4:P4"/>
    <mergeCell ref="J5:P5"/>
    <mergeCell ref="A9:P9"/>
    <mergeCell ref="A10:P10"/>
    <mergeCell ref="A11:P11"/>
    <mergeCell ref="B12:N12"/>
    <mergeCell ref="D14:F14"/>
    <mergeCell ref="A25:B25"/>
    <mergeCell ref="A33:B33"/>
    <mergeCell ref="A34:B34"/>
    <mergeCell ref="A35:C35"/>
    <mergeCell ref="A43:B43"/>
    <mergeCell ref="A51:B51"/>
    <mergeCell ref="A52:B52"/>
    <mergeCell ref="A53:C53"/>
    <mergeCell ref="A63:B63"/>
    <mergeCell ref="A71:B71"/>
    <mergeCell ref="A72:B72"/>
    <mergeCell ref="A73:C73"/>
    <mergeCell ref="A82:B82"/>
    <mergeCell ref="A89:B89"/>
    <mergeCell ref="A90:B90"/>
    <mergeCell ref="A91:C91"/>
    <mergeCell ref="A100:B100"/>
    <mergeCell ref="A108:B108"/>
    <mergeCell ref="A109:B109"/>
    <mergeCell ref="A110:C110"/>
    <mergeCell ref="A120:B120"/>
    <mergeCell ref="A127:B127"/>
    <mergeCell ref="A128:B128"/>
    <mergeCell ref="A129:C129"/>
    <mergeCell ref="A137:B137"/>
    <mergeCell ref="A145:B145"/>
    <mergeCell ref="A146:B146"/>
    <mergeCell ref="A147:C147"/>
    <mergeCell ref="A155:B155"/>
    <mergeCell ref="A162:B162"/>
    <mergeCell ref="A163:B163"/>
    <mergeCell ref="A164:C164"/>
    <mergeCell ref="A173:B173"/>
    <mergeCell ref="A180:B180"/>
    <mergeCell ref="A181:B181"/>
    <mergeCell ref="A182:C182"/>
    <mergeCell ref="A191:B191"/>
    <mergeCell ref="A199:B199"/>
    <mergeCell ref="A200:B200"/>
    <mergeCell ref="A201:C201"/>
    <mergeCell ref="A202:C202"/>
    <mergeCell ref="B14:B15"/>
    <mergeCell ref="C14:C15"/>
    <mergeCell ref="G14:G15"/>
  </mergeCells>
  <pageMargins left="0.25" right="0.25" top="0.75" bottom="0.75" header="0.3" footer="0.3"/>
  <pageSetup paperSize="9" scale="82" orientation="landscape"/>
  <headerFooter/>
  <rowBreaks count="1" manualBreakCount="1">
    <brk id="175" max="15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7-11</vt:lpstr>
      <vt:lpstr>11 и ст.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2006-09-28T05:33:00Z</dcterms:created>
  <dcterms:modified xsi:type="dcterms:W3CDTF">2022-08-22T16:40:16Z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D7B08DF3B0D242199B9A88A507F9ECC6</vt:lpwstr>
  </property>
  <property fmtid="{D5CDD505-2E9C-101B-9397-08002B2CF9AE}" pid="3" name="KSOProductBuildVer">
    <vt:lpwstr>1049-11.2.0.11254</vt:lpwstr>
  </property>
</Properties>
</file>